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omments18.xml" ContentType="application/vnd.openxmlformats-officedocument.spreadsheetml.comments+xml"/>
  <Override PartName="/xl/drawings/drawing21.xml" ContentType="application/vnd.openxmlformats-officedocument.drawing+xml"/>
  <Override PartName="/xl/drawings/drawing22.xml" ContentType="application/vnd.openxmlformats-officedocument.drawing+xml"/>
  <Override PartName="/xl/comments19.xml" ContentType="application/vnd.openxmlformats-officedocument.spreadsheetml.comments+xml"/>
  <Override PartName="/xl/drawings/drawing23.xml" ContentType="application/vnd.openxmlformats-officedocument.drawing+xml"/>
  <Override PartName="/xl/comments20.xml" ContentType="application/vnd.openxmlformats-officedocument.spreadsheetml.comments+xml"/>
  <Override PartName="/xl/drawings/drawing24.xml" ContentType="application/vnd.openxmlformats-officedocument.drawing+xml"/>
  <Override PartName="/xl/comments21.xml" ContentType="application/vnd.openxmlformats-officedocument.spreadsheetml.comments+xml"/>
  <Override PartName="/xl/drawings/drawing25.xml" ContentType="application/vnd.openxmlformats-officedocument.drawing+xml"/>
  <Override PartName="/xl/drawings/drawing26.xml" ContentType="application/vnd.openxmlformats-officedocument.drawing+xml"/>
  <Override PartName="/xl/comments22.xml" ContentType="application/vnd.openxmlformats-officedocument.spreadsheetml.comments+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comments23.xml" ContentType="application/vnd.openxmlformats-officedocument.spreadsheetml.comments+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autoCompressPictures="0"/>
  <mc:AlternateContent xmlns:mc="http://schemas.openxmlformats.org/markup-compatibility/2006">
    <mc:Choice Requires="x15">
      <x15ac:absPath xmlns:x15ac="http://schemas.microsoft.com/office/spreadsheetml/2010/11/ac" url="D:\GUSTAVO ZAPATA 20 05 2019\AÑO 2026\PROGRAMA DE SEGUROS 2026\documentos revisados por el corredor\carpeta 2\DOCUMENTOS PARA COMITE DE CONTRATACION\EXTERNOS\"/>
    </mc:Choice>
  </mc:AlternateContent>
  <xr:revisionPtr revIDLastSave="0" documentId="13_ncr:1_{5D54E222-090D-4371-B996-B005BE4C4D7C}" xr6:coauthVersionLast="47" xr6:coauthVersionMax="47" xr10:uidLastSave="{00000000-0000-0000-0000-000000000000}"/>
  <bookViews>
    <workbookView xWindow="-120" yWindow="-120" windowWidth="29040" windowHeight="15840" tabRatio="802" firstSheet="1" activeTab="1" xr2:uid="{00000000-000D-0000-FFFF-FFFF00000000}"/>
  </bookViews>
  <sheets>
    <sheet name="Instructivo" sheetId="60" state="hidden" r:id="rId1"/>
    <sheet name="Plan Ejecución" sheetId="25" r:id="rId2"/>
    <sheet name="Presupuesto Contrato" sheetId="26" r:id="rId3"/>
    <sheet name="Ppto PSP" sheetId="75" state="hidden" r:id="rId4"/>
    <sheet name="Presupuesto Convenio" sheetId="53" state="hidden" r:id="rId5"/>
    <sheet name="Memoria de cálculo O1" sheetId="9" r:id="rId6"/>
    <sheet name="PE1 -TARIFA 1 " sheetId="102" state="hidden" r:id="rId7"/>
    <sheet name="PE1 -TARIFA 2" sheetId="104" state="hidden" r:id="rId8"/>
    <sheet name="Hoja1" sheetId="117" state="hidden" r:id="rId9"/>
    <sheet name="PE2-FPE" sheetId="86" state="hidden" r:id="rId10"/>
    <sheet name="PE3-FPE" sheetId="89" state="hidden" r:id="rId11"/>
    <sheet name="PE4-FPE" sheetId="92" state="hidden" r:id="rId12"/>
    <sheet name="PE5-FPE" sheetId="95" state="hidden" r:id="rId13"/>
    <sheet name="PE6-FPE 2" sheetId="113" state="hidden" r:id="rId14"/>
    <sheet name="PE7-FPE" sheetId="100" state="hidden" r:id="rId15"/>
    <sheet name="Memoria de cálculo O2" sheetId="64" state="hidden" r:id="rId16"/>
    <sheet name="Memoria de cálculo O3" sheetId="62" state="hidden" r:id="rId17"/>
    <sheet name="Gastos de adm" sheetId="23" state="hidden" r:id="rId18"/>
    <sheet name="Bienes relevantes" sheetId="76" state="hidden" r:id="rId19"/>
    <sheet name="Propuesta económica O2" sheetId="41" state="hidden" r:id="rId20"/>
    <sheet name="Propuesta económica O3" sheetId="63" state="hidden" r:id="rId21"/>
    <sheet name="PAB CA" sheetId="67" state="hidden" r:id="rId22"/>
    <sheet name="Evaluación financiera" sheetId="50" state="hidden" r:id="rId23"/>
    <sheet name="PAB CR" sheetId="68" state="hidden" r:id="rId24"/>
    <sheet name="Habilitados - SI" sheetId="57" state="hidden" r:id="rId25"/>
    <sheet name="A. Lances - SIP" sheetId="56" state="hidden" r:id="rId26"/>
    <sheet name="D. Lances - SIP" sheetId="58" state="hidden" r:id="rId27"/>
    <sheet name="DD. Lances - SIP" sheetId="61" state="hidden" r:id="rId28"/>
    <sheet name="Gtos DyM" sheetId="46" state="hidden" r:id="rId29"/>
    <sheet name="Honorarios" sheetId="28" state="hidden" r:id="rId30"/>
    <sheet name="Jornal" sheetId="39" state="hidden" r:id="rId31"/>
    <sheet name="Salarios" sheetId="59" state="hidden" r:id="rId32"/>
    <sheet name="Alimentación" sheetId="38" state="hidden" r:id="rId33"/>
    <sheet name="Distintivos" sheetId="48" state="hidden" r:id="rId34"/>
    <sheet name="Cuantías" sheetId="77" state="hidden" r:id="rId35"/>
    <sheet name="Apoyo" sheetId="73" state="hidden" r:id="rId36"/>
    <sheet name="Obra&amp;K" sheetId="72" state="hidden" r:id="rId37"/>
    <sheet name="Imp &amp; garantías" sheetId="65" state="hidden" r:id="rId38"/>
    <sheet name="A&amp;PA" sheetId="69" state="hidden" r:id="rId39"/>
    <sheet name="IVA" sheetId="70" state="hidden" r:id="rId40"/>
    <sheet name="Notas PE" sheetId="55" state="hidden" r:id="rId41"/>
    <sheet name="CF&amp;O" sheetId="71" state="hidden" r:id="rId42"/>
    <sheet name="Ayuda honorarios" sheetId="78" state="hidden" r:id="rId43"/>
  </sheets>
  <externalReferences>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s>
  <definedNames>
    <definedName name="_____________________________________________________TEP44">[1]BASE!$D$116</definedName>
    <definedName name="_____________________________________________________TZ216">[1]BASE!$D$87</definedName>
    <definedName name="____________________________________________________ADM4">[2]BASE!$D$120</definedName>
    <definedName name="____________________________________________________AIU1">#REF!</definedName>
    <definedName name="____________________________________________________TPE1132">[1]BASE!#REF!</definedName>
    <definedName name="____________________________________________________TPE12">#REF!</definedName>
    <definedName name="____________________________________________________TPE1331">[1]BASE!#REF!</definedName>
    <definedName name="____________________________________________________TPE1702">[1]BASE!#REF!</definedName>
    <definedName name="____________________________________________________TPE1703">[1]BASE!#REF!</definedName>
    <definedName name="____________________________________________________TPE1704">[1]BASE!#REF!</definedName>
    <definedName name="____________________________________________________TPE1706">[1]BASE!#REF!</definedName>
    <definedName name="____________________________________________________TPE1708">[1]BASE!#REF!</definedName>
    <definedName name="____________________________________________________TPE1710">[1]BASE!#REF!</definedName>
    <definedName name="____________________________________________________TPE1735">[1]BASE!#REF!</definedName>
    <definedName name="____________________________________________________TPE1763">[1]BASE!#REF!</definedName>
    <definedName name="____________________________________________________TPE1790">[1]BASE!#REF!</definedName>
    <definedName name="____________________________________________________TUZ22">'[3]BASE ORIGINAL'!#REF!</definedName>
    <definedName name="____________________________________________________TUZ36">'[3]BASE ORIGINAL'!#REF!</definedName>
    <definedName name="____________________________________________________TZ214">[1]BASE!$D$86</definedName>
    <definedName name="____________________________________________________TZ323">'[3]BASE ORIGINAL'!#REF!</definedName>
    <definedName name="____________________________________________________TZ324">'[3]BASE ORIGINAL'!#REF!</definedName>
    <definedName name="____________________________________________________TZ32510">[1]BASE!$D$106</definedName>
    <definedName name="___________________________________________________ADM4">[2]BASE!$D$120</definedName>
    <definedName name="___________________________________________________TEP44">[1]BASE!$D$116</definedName>
    <definedName name="___________________________________________________TZ216">[1]BASE!$D$87</definedName>
    <definedName name="__________________________________________________ADH12">[2]BASE!$D$218</definedName>
    <definedName name="__________________________________________________ADM12">[2]BASE!$D$219</definedName>
    <definedName name="__________________________________________________ADM4">[2]BASE!$D$120</definedName>
    <definedName name="__________________________________________________AIU1">#REF!</definedName>
    <definedName name="__________________________________________________AIU2">[4]BASE!$C$5</definedName>
    <definedName name="__________________________________________________BAZ10">[2]BASE!$D$270</definedName>
    <definedName name="__________________________________________________BLO20">[2]BASE!$D$56</definedName>
    <definedName name="__________________________________________________CAN28">[2]BASE!$D$315</definedName>
    <definedName name="__________________________________________________Cod1">#REF!</definedName>
    <definedName name="__________________________________________________CUA44">[2]BASE!$D$253</definedName>
    <definedName name="__________________________________________________LA124">[2]BASE!$D$64</definedName>
    <definedName name="__________________________________________________LAC18">[5]BASE!$D$252</definedName>
    <definedName name="__________________________________________________Po2">[6]REAJUSTESACTA1PROVI!#REF!</definedName>
    <definedName name="__________________________________________________R84JH">[5]BASE!$D$172</definedName>
    <definedName name="__________________________________________________REP43">[7]BASE!$D$136</definedName>
    <definedName name="__________________________________________________TEP44">[1]BASE!$D$116</definedName>
    <definedName name="__________________________________________________TPE1132">[1]BASE!#REF!</definedName>
    <definedName name="__________________________________________________TPE12">#REF!</definedName>
    <definedName name="__________________________________________________TPE1331">[1]BASE!#REF!</definedName>
    <definedName name="__________________________________________________TPE1702">[1]BASE!#REF!</definedName>
    <definedName name="__________________________________________________TPE1703">[1]BASE!#REF!</definedName>
    <definedName name="__________________________________________________TPE1704">[1]BASE!#REF!</definedName>
    <definedName name="__________________________________________________TPE1706">[1]BASE!#REF!</definedName>
    <definedName name="__________________________________________________TPE1708">[1]BASE!#REF!</definedName>
    <definedName name="__________________________________________________TPE1710">[1]BASE!#REF!</definedName>
    <definedName name="__________________________________________________TPE1735">[1]BASE!#REF!</definedName>
    <definedName name="__________________________________________________TPE1763">[1]BASE!#REF!</definedName>
    <definedName name="__________________________________________________TPE1790">[1]BASE!#REF!</definedName>
    <definedName name="__________________________________________________TPF12">[2]BASE!$D$217</definedName>
    <definedName name="__________________________________________________TUZ22">'[3]BASE ORIGINAL'!#REF!</definedName>
    <definedName name="__________________________________________________TUZ36">'[3]BASE ORIGINAL'!#REF!</definedName>
    <definedName name="__________________________________________________TZ2110">[2]BASE!$D$79</definedName>
    <definedName name="__________________________________________________TZ214">[1]BASE!$D$86</definedName>
    <definedName name="__________________________________________________TZ216">[1]BASE!$D$87</definedName>
    <definedName name="__________________________________________________TZ268">[5]BASE!$D$85</definedName>
    <definedName name="__________________________________________________TZ323">'[3]BASE ORIGINAL'!#REF!</definedName>
    <definedName name="__________________________________________________TZ324">'[3]BASE ORIGINAL'!#REF!</definedName>
    <definedName name="__________________________________________________TZ32510">[1]BASE!$D$106</definedName>
    <definedName name="_________________________________________________ADH12">[2]BASE!$D$218</definedName>
    <definedName name="_________________________________________________ADM12">[2]BASE!$D$219</definedName>
    <definedName name="_________________________________________________ADM4">[2]BASE!$D$120</definedName>
    <definedName name="_________________________________________________AIU1">#REF!</definedName>
    <definedName name="_________________________________________________AIU2">[4]BASE!$C$5</definedName>
    <definedName name="_________________________________________________BAZ10">[2]BASE!$D$270</definedName>
    <definedName name="_________________________________________________BLO20">[2]BASE!$D$56</definedName>
    <definedName name="_________________________________________________CAN28">[2]BASE!$D$315</definedName>
    <definedName name="_________________________________________________Cod1">#REF!</definedName>
    <definedName name="_________________________________________________CUA44">[2]BASE!$D$253</definedName>
    <definedName name="_________________________________________________LA124">[2]BASE!$D$64</definedName>
    <definedName name="_________________________________________________LAC18">[5]BASE!$D$252</definedName>
    <definedName name="_________________________________________________Po2">[6]REAJUSTESACTA1PROVI!#REF!</definedName>
    <definedName name="_________________________________________________R84JH">[5]BASE!$D$172</definedName>
    <definedName name="_________________________________________________REP43">[7]BASE!$D$136</definedName>
    <definedName name="_________________________________________________TEP44">[1]BASE!$D$116</definedName>
    <definedName name="_________________________________________________TPE1132">[1]BASE!#REF!</definedName>
    <definedName name="_________________________________________________TPE12">#REF!</definedName>
    <definedName name="_________________________________________________TPE1331">[1]BASE!#REF!</definedName>
    <definedName name="_________________________________________________TPE1702">[1]BASE!#REF!</definedName>
    <definedName name="_________________________________________________TPE1703">[1]BASE!#REF!</definedName>
    <definedName name="_________________________________________________TPE1704">[1]BASE!#REF!</definedName>
    <definedName name="_________________________________________________TPE1706">[1]BASE!#REF!</definedName>
    <definedName name="_________________________________________________TPE1708">[1]BASE!#REF!</definedName>
    <definedName name="_________________________________________________TPE1710">[1]BASE!#REF!</definedName>
    <definedName name="_________________________________________________TPE1735">[1]BASE!#REF!</definedName>
    <definedName name="_________________________________________________TPE1763">[1]BASE!#REF!</definedName>
    <definedName name="_________________________________________________TPE1790">[1]BASE!#REF!</definedName>
    <definedName name="_________________________________________________TPF12">[2]BASE!$D$217</definedName>
    <definedName name="_________________________________________________TUZ22">'[3]BASE ORIGINAL'!#REF!</definedName>
    <definedName name="_________________________________________________TUZ36">'[3]BASE ORIGINAL'!#REF!</definedName>
    <definedName name="_________________________________________________TZ2110">[2]BASE!$D$79</definedName>
    <definedName name="_________________________________________________TZ214">[1]BASE!$D$86</definedName>
    <definedName name="_________________________________________________TZ216">[1]BASE!$D$87</definedName>
    <definedName name="_________________________________________________TZ268">[5]BASE!$D$85</definedName>
    <definedName name="_________________________________________________TZ323">'[3]BASE ORIGINAL'!#REF!</definedName>
    <definedName name="_________________________________________________TZ324">'[3]BASE ORIGINAL'!#REF!</definedName>
    <definedName name="_________________________________________________TZ32510">[1]BASE!$D$106</definedName>
    <definedName name="________________________________________________ADH12">[2]BASE!$D$218</definedName>
    <definedName name="________________________________________________ADM12">[2]BASE!$D$219</definedName>
    <definedName name="________________________________________________ADM4">#REF!</definedName>
    <definedName name="________________________________________________AIU1">#REF!</definedName>
    <definedName name="________________________________________________AIU2">[4]BASE!$C$5</definedName>
    <definedName name="________________________________________________BAZ10">[2]BASE!$D$270</definedName>
    <definedName name="________________________________________________BLO20">[2]BASE!$D$56</definedName>
    <definedName name="________________________________________________CAN28">[2]BASE!$D$315</definedName>
    <definedName name="________________________________________________Cod1">#REF!</definedName>
    <definedName name="________________________________________________CUA44">[2]BASE!$D$253</definedName>
    <definedName name="________________________________________________LA124">[2]BASE!$D$64</definedName>
    <definedName name="________________________________________________LAC18">[5]BASE!$D$252</definedName>
    <definedName name="________________________________________________Po2">[6]REAJUSTESACTA1PROVI!#REF!</definedName>
    <definedName name="________________________________________________R84JH">[5]BASE!$D$172</definedName>
    <definedName name="________________________________________________REP43">[7]BASE!$D$136</definedName>
    <definedName name="________________________________________________TEP44">[1]BASE!$D$116</definedName>
    <definedName name="________________________________________________TPE1132">[1]BASE!#REF!</definedName>
    <definedName name="________________________________________________TPE12">#REF!</definedName>
    <definedName name="________________________________________________TPE1331">[1]BASE!#REF!</definedName>
    <definedName name="________________________________________________TPE1702">[1]BASE!#REF!</definedName>
    <definedName name="________________________________________________TPE1703">[1]BASE!#REF!</definedName>
    <definedName name="________________________________________________TPE1704">[1]BASE!#REF!</definedName>
    <definedName name="________________________________________________TPE1706">[1]BASE!#REF!</definedName>
    <definedName name="________________________________________________TPE1708">[1]BASE!#REF!</definedName>
    <definedName name="________________________________________________TPE1710">[1]BASE!#REF!</definedName>
    <definedName name="________________________________________________TPE1735">[1]BASE!#REF!</definedName>
    <definedName name="________________________________________________TPE1763">[1]BASE!#REF!</definedName>
    <definedName name="________________________________________________TPE1790">[1]BASE!#REF!</definedName>
    <definedName name="________________________________________________TPF12">[2]BASE!$D$217</definedName>
    <definedName name="________________________________________________TUZ22">'[3]BASE ORIGINAL'!#REF!</definedName>
    <definedName name="________________________________________________TUZ36">'[3]BASE ORIGINAL'!#REF!</definedName>
    <definedName name="________________________________________________TZ2110">[2]BASE!$D$79</definedName>
    <definedName name="________________________________________________TZ214">[1]BASE!$D$86</definedName>
    <definedName name="________________________________________________TZ216">[1]BASE!$D$87</definedName>
    <definedName name="________________________________________________TZ268">[5]BASE!$D$85</definedName>
    <definedName name="________________________________________________TZ323">'[3]BASE ORIGINAL'!#REF!</definedName>
    <definedName name="________________________________________________TZ324">'[3]BASE ORIGINAL'!#REF!</definedName>
    <definedName name="________________________________________________TZ32510">[1]BASE!$D$106</definedName>
    <definedName name="_______________________________________________ADH12">[2]BASE!$D$218</definedName>
    <definedName name="_______________________________________________ADM12">[2]BASE!$D$219</definedName>
    <definedName name="_______________________________________________ADM4">[8]BASE!$D$120</definedName>
    <definedName name="_______________________________________________AIU1">#REF!</definedName>
    <definedName name="_______________________________________________AIU2">[4]BASE!$C$5</definedName>
    <definedName name="_______________________________________________BAZ10">[2]BASE!$D$270</definedName>
    <definedName name="_______________________________________________BLO20">[2]BASE!$D$56</definedName>
    <definedName name="_______________________________________________CAN28">[2]BASE!$D$315</definedName>
    <definedName name="_______________________________________________Cod1">#REF!</definedName>
    <definedName name="_______________________________________________CUA44">[2]BASE!$D$253</definedName>
    <definedName name="_______________________________________________LA124">[2]BASE!$D$64</definedName>
    <definedName name="_______________________________________________LAC18">[5]BASE!$D$252</definedName>
    <definedName name="_______________________________________________Po2">[6]REAJUSTESACTA1PROVI!#REF!</definedName>
    <definedName name="_______________________________________________R84JH">[5]BASE!$D$172</definedName>
    <definedName name="_______________________________________________REP43">[7]BASE!$D$136</definedName>
    <definedName name="_______________________________________________TPE1132">[1]BASE!#REF!</definedName>
    <definedName name="_______________________________________________TPE12">#REF!</definedName>
    <definedName name="_______________________________________________TPE1331">[1]BASE!#REF!</definedName>
    <definedName name="_______________________________________________TPE1702">[1]BASE!#REF!</definedName>
    <definedName name="_______________________________________________TPE1703">[1]BASE!#REF!</definedName>
    <definedName name="_______________________________________________TPE1704">[1]BASE!#REF!</definedName>
    <definedName name="_______________________________________________TPE1706">[1]BASE!#REF!</definedName>
    <definedName name="_______________________________________________TPE1708">[1]BASE!#REF!</definedName>
    <definedName name="_______________________________________________TPE1710">[1]BASE!#REF!</definedName>
    <definedName name="_______________________________________________TPE1735">[1]BASE!#REF!</definedName>
    <definedName name="_______________________________________________TPE1763">[1]BASE!#REF!</definedName>
    <definedName name="_______________________________________________TPE1790">[1]BASE!#REF!</definedName>
    <definedName name="_______________________________________________TPF12">[2]BASE!$D$217</definedName>
    <definedName name="_______________________________________________TUZ22">'[3]BASE ORIGINAL'!#REF!</definedName>
    <definedName name="_______________________________________________TUZ36">'[3]BASE ORIGINAL'!#REF!</definedName>
    <definedName name="_______________________________________________TZ2110">[2]BASE!$D$79</definedName>
    <definedName name="_______________________________________________TZ214">[1]BASE!$D$86</definedName>
    <definedName name="_______________________________________________TZ268">[5]BASE!$D$85</definedName>
    <definedName name="_______________________________________________TZ323">'[3]BASE ORIGINAL'!#REF!</definedName>
    <definedName name="_______________________________________________TZ324">'[3]BASE ORIGINAL'!#REF!</definedName>
    <definedName name="_______________________________________________TZ32510">[1]BASE!$D$106</definedName>
    <definedName name="______________________________________________ADH12">#REF!</definedName>
    <definedName name="______________________________________________ADM12">#REF!</definedName>
    <definedName name="______________________________________________ADM4">[8]BASE!$D$120</definedName>
    <definedName name="______________________________________________AIU2">[4]BASE!$C$5</definedName>
    <definedName name="______________________________________________BAZ10">#REF!</definedName>
    <definedName name="______________________________________________BLO20">#REF!</definedName>
    <definedName name="______________________________________________CAN28">#REF!</definedName>
    <definedName name="______________________________________________Cod1">#REF!</definedName>
    <definedName name="______________________________________________CUA44">#REF!</definedName>
    <definedName name="______________________________________________LA124">#REF!</definedName>
    <definedName name="______________________________________________LAC18">[5]BASE!$D$252</definedName>
    <definedName name="______________________________________________Po2">[6]REAJUSTESACTA1PROVI!#REF!</definedName>
    <definedName name="______________________________________________R84JH">[5]BASE!$D$172</definedName>
    <definedName name="______________________________________________REP43">[7]BASE!$D$136</definedName>
    <definedName name="______________________________________________TEP44">[1]BASE!$D$116</definedName>
    <definedName name="______________________________________________TPF12">#REF!</definedName>
    <definedName name="______________________________________________TZ2110">#REF!</definedName>
    <definedName name="______________________________________________TZ216">[1]BASE!$D$87</definedName>
    <definedName name="______________________________________________TZ268">[5]BASE!$D$85</definedName>
    <definedName name="_____________________________________________ADH12">[8]BASE!$D$218</definedName>
    <definedName name="_____________________________________________ADM12">[8]BASE!$D$219</definedName>
    <definedName name="_____________________________________________ADM4">[8]BASE!$D$120</definedName>
    <definedName name="_____________________________________________AIU1">#REF!</definedName>
    <definedName name="_____________________________________________AIU2">[4]BASE!$C$5</definedName>
    <definedName name="_____________________________________________BAZ10">[8]BASE!$D$270</definedName>
    <definedName name="_____________________________________________BLO20">[8]BASE!$D$56</definedName>
    <definedName name="_____________________________________________CAN28">[8]BASE!$D$315</definedName>
    <definedName name="_____________________________________________Cod1">#REF!</definedName>
    <definedName name="_____________________________________________CUA44">[8]BASE!$D$253</definedName>
    <definedName name="_____________________________________________LA124">[8]BASE!$D$64</definedName>
    <definedName name="_____________________________________________LAC18">[5]BASE!$D$252</definedName>
    <definedName name="_____________________________________________Po2">[6]REAJUSTESACTA1PROVI!#REF!</definedName>
    <definedName name="_____________________________________________R84JH">[5]BASE!$D$172</definedName>
    <definedName name="_____________________________________________REP43">[7]BASE!$D$136</definedName>
    <definedName name="_____________________________________________TEP44">[9]BASE!$D$116</definedName>
    <definedName name="_____________________________________________TPE1132">[1]BASE!#REF!</definedName>
    <definedName name="_____________________________________________TPE12">#REF!</definedName>
    <definedName name="_____________________________________________TPE1331">[1]BASE!#REF!</definedName>
    <definedName name="_____________________________________________TPE1702">[1]BASE!#REF!</definedName>
    <definedName name="_____________________________________________TPE1703">[1]BASE!#REF!</definedName>
    <definedName name="_____________________________________________TPE1704">[1]BASE!#REF!</definedName>
    <definedName name="_____________________________________________TPE1706">[1]BASE!#REF!</definedName>
    <definedName name="_____________________________________________TPE1708">[1]BASE!#REF!</definedName>
    <definedName name="_____________________________________________TPE1710">[1]BASE!#REF!</definedName>
    <definedName name="_____________________________________________TPE1735">[1]BASE!#REF!</definedName>
    <definedName name="_____________________________________________TPE1763">[1]BASE!#REF!</definedName>
    <definedName name="_____________________________________________TPE1790">[1]BASE!#REF!</definedName>
    <definedName name="_____________________________________________TPF12">[8]BASE!$D$217</definedName>
    <definedName name="_____________________________________________TUZ22">'[3]BASE ORIGINAL'!#REF!</definedName>
    <definedName name="_____________________________________________TUZ36">'[3]BASE ORIGINAL'!#REF!</definedName>
    <definedName name="_____________________________________________TZ2110">[8]BASE!$D$79</definedName>
    <definedName name="_____________________________________________TZ214">[1]BASE!$D$86</definedName>
    <definedName name="_____________________________________________TZ216">[9]BASE!$D$87</definedName>
    <definedName name="_____________________________________________TZ268">[5]BASE!$D$85</definedName>
    <definedName name="_____________________________________________TZ323">'[3]BASE ORIGINAL'!#REF!</definedName>
    <definedName name="_____________________________________________TZ324">'[3]BASE ORIGINAL'!#REF!</definedName>
    <definedName name="_____________________________________________TZ32510">[1]BASE!$D$106</definedName>
    <definedName name="____________________________________________ADH12">[8]BASE!$D$218</definedName>
    <definedName name="____________________________________________ADM12">[8]BASE!$D$219</definedName>
    <definedName name="____________________________________________ADM4">[8]BASE!$D$120</definedName>
    <definedName name="____________________________________________AIU1">#REF!</definedName>
    <definedName name="____________________________________________AIU2">[4]BASE!$C$5</definedName>
    <definedName name="____________________________________________BAZ10">[8]BASE!$D$270</definedName>
    <definedName name="____________________________________________BLO20">[8]BASE!$D$56</definedName>
    <definedName name="____________________________________________CAN28">[8]BASE!$D$315</definedName>
    <definedName name="____________________________________________Cod1">#REF!</definedName>
    <definedName name="____________________________________________CUA44">[8]BASE!$D$253</definedName>
    <definedName name="____________________________________________LA124">[8]BASE!$D$64</definedName>
    <definedName name="____________________________________________LAC18">[5]BASE!$D$252</definedName>
    <definedName name="____________________________________________Po2">[6]REAJUSTESACTA1PROVI!#REF!</definedName>
    <definedName name="____________________________________________R84JH">[5]BASE!$D$172</definedName>
    <definedName name="____________________________________________REP43">[7]BASE!$D$136</definedName>
    <definedName name="____________________________________________TEP44">[1]BASE!$D$116</definedName>
    <definedName name="____________________________________________TPE1132">[9]BASE!#REF!</definedName>
    <definedName name="____________________________________________TPE12">#REF!</definedName>
    <definedName name="____________________________________________TPE1331">[9]BASE!#REF!</definedName>
    <definedName name="____________________________________________TPE1702">[9]BASE!#REF!</definedName>
    <definedName name="____________________________________________TPE1703">[9]BASE!#REF!</definedName>
    <definedName name="____________________________________________TPE1704">[9]BASE!#REF!</definedName>
    <definedName name="____________________________________________TPE1706">[9]BASE!#REF!</definedName>
    <definedName name="____________________________________________TPE1708">[9]BASE!#REF!</definedName>
    <definedName name="____________________________________________TPE1710">[9]BASE!#REF!</definedName>
    <definedName name="____________________________________________TPE1735">[9]BASE!#REF!</definedName>
    <definedName name="____________________________________________TPE1763">[9]BASE!#REF!</definedName>
    <definedName name="____________________________________________TPE1790">[9]BASE!#REF!</definedName>
    <definedName name="____________________________________________TPF12">[8]BASE!$D$217</definedName>
    <definedName name="____________________________________________TUZ22">'[10]BASE ORIGINAL'!#REF!</definedName>
    <definedName name="____________________________________________TUZ36">'[10]BASE ORIGINAL'!#REF!</definedName>
    <definedName name="____________________________________________TZ2110">[8]BASE!$D$79</definedName>
    <definedName name="____________________________________________TZ214">[9]BASE!$D$86</definedName>
    <definedName name="____________________________________________TZ216">[1]BASE!$D$87</definedName>
    <definedName name="____________________________________________TZ268">[5]BASE!$D$85</definedName>
    <definedName name="____________________________________________TZ323">'[10]BASE ORIGINAL'!#REF!</definedName>
    <definedName name="____________________________________________TZ324">'[10]BASE ORIGINAL'!#REF!</definedName>
    <definedName name="____________________________________________TZ32510">[9]BASE!$D$106</definedName>
    <definedName name="___________________________________________ADH12">[8]BASE!$D$218</definedName>
    <definedName name="___________________________________________ADM12">[8]BASE!$D$219</definedName>
    <definedName name="___________________________________________ADM4">[8]BASE!$D$120</definedName>
    <definedName name="___________________________________________AIU1">#REF!</definedName>
    <definedName name="___________________________________________AIU2">[4]BASE!$C$5</definedName>
    <definedName name="___________________________________________BAZ10">[8]BASE!$D$270</definedName>
    <definedName name="___________________________________________BLO20">[8]BASE!$D$56</definedName>
    <definedName name="___________________________________________CAN28">[8]BASE!$D$315</definedName>
    <definedName name="___________________________________________Cod1">#REF!</definedName>
    <definedName name="___________________________________________CUA44">[8]BASE!$D$253</definedName>
    <definedName name="___________________________________________LA124">[8]BASE!$D$64</definedName>
    <definedName name="___________________________________________LAC18">[5]BASE!$D$252</definedName>
    <definedName name="___________________________________________Po2">[6]REAJUSTESACTA1PROVI!#REF!</definedName>
    <definedName name="___________________________________________R84JH">[5]BASE!$D$172</definedName>
    <definedName name="___________________________________________REP43">[7]BASE!$D$136</definedName>
    <definedName name="___________________________________________TEP44">[9]BASE!$D$116</definedName>
    <definedName name="___________________________________________TPE1132">[1]BASE!#REF!</definedName>
    <definedName name="___________________________________________TPE12">#REF!</definedName>
    <definedName name="___________________________________________TPE1331">[1]BASE!#REF!</definedName>
    <definedName name="___________________________________________TPE1702">[1]BASE!#REF!</definedName>
    <definedName name="___________________________________________TPE1703">[1]BASE!#REF!</definedName>
    <definedName name="___________________________________________TPE1704">[1]BASE!#REF!</definedName>
    <definedName name="___________________________________________TPE1706">[1]BASE!#REF!</definedName>
    <definedName name="___________________________________________TPE1708">[1]BASE!#REF!</definedName>
    <definedName name="___________________________________________TPE1710">[1]BASE!#REF!</definedName>
    <definedName name="___________________________________________TPE1735">[1]BASE!#REF!</definedName>
    <definedName name="___________________________________________TPE1763">[1]BASE!#REF!</definedName>
    <definedName name="___________________________________________TPE1790">[1]BASE!#REF!</definedName>
    <definedName name="___________________________________________TPF12">[8]BASE!$D$217</definedName>
    <definedName name="___________________________________________TUZ22">'[3]BASE ORIGINAL'!#REF!</definedName>
    <definedName name="___________________________________________TUZ36">'[3]BASE ORIGINAL'!#REF!</definedName>
    <definedName name="___________________________________________TZ2110">[8]BASE!$D$79</definedName>
    <definedName name="___________________________________________TZ214">[1]BASE!$D$86</definedName>
    <definedName name="___________________________________________TZ216">[9]BASE!$D$87</definedName>
    <definedName name="___________________________________________TZ268">[5]BASE!$D$85</definedName>
    <definedName name="___________________________________________TZ323">'[3]BASE ORIGINAL'!#REF!</definedName>
    <definedName name="___________________________________________TZ324">'[3]BASE ORIGINAL'!#REF!</definedName>
    <definedName name="___________________________________________TZ32510">[1]BASE!$D$106</definedName>
    <definedName name="__________________________________________ADH12">[8]BASE!$D$218</definedName>
    <definedName name="__________________________________________ADM12">[8]BASE!$D$219</definedName>
    <definedName name="__________________________________________ADM4">[8]BASE!$D$120</definedName>
    <definedName name="__________________________________________AIU1">#REF!</definedName>
    <definedName name="__________________________________________AIU2">[4]BASE!$C$5</definedName>
    <definedName name="__________________________________________BAZ10">[8]BASE!$D$270</definedName>
    <definedName name="__________________________________________BLO20">[8]BASE!$D$56</definedName>
    <definedName name="__________________________________________CAN28">[8]BASE!$D$315</definedName>
    <definedName name="__________________________________________Cod1">#REF!</definedName>
    <definedName name="__________________________________________CUA44">[8]BASE!$D$253</definedName>
    <definedName name="__________________________________________LA124">[8]BASE!$D$64</definedName>
    <definedName name="__________________________________________LAC18">[5]BASE!$D$252</definedName>
    <definedName name="__________________________________________Po2">[6]REAJUSTESACTA1PROVI!#REF!</definedName>
    <definedName name="__________________________________________R84JH">[5]BASE!$D$172</definedName>
    <definedName name="__________________________________________REP43">[7]BASE!$D$136</definedName>
    <definedName name="__________________________________________TEP44">[1]BASE!$D$116</definedName>
    <definedName name="__________________________________________TPE1132">[9]BASE!#REF!</definedName>
    <definedName name="__________________________________________TPE12">#REF!</definedName>
    <definedName name="__________________________________________TPE1331">[9]BASE!#REF!</definedName>
    <definedName name="__________________________________________TPE1702">[9]BASE!#REF!</definedName>
    <definedName name="__________________________________________TPE1703">[9]BASE!#REF!</definedName>
    <definedName name="__________________________________________TPE1704">[9]BASE!#REF!</definedName>
    <definedName name="__________________________________________TPE1706">[9]BASE!#REF!</definedName>
    <definedName name="__________________________________________TPE1708">[9]BASE!#REF!</definedName>
    <definedName name="__________________________________________TPE1710">[9]BASE!#REF!</definedName>
    <definedName name="__________________________________________TPE1735">[9]BASE!#REF!</definedName>
    <definedName name="__________________________________________TPE1763">[9]BASE!#REF!</definedName>
    <definedName name="__________________________________________TPE1790">[9]BASE!#REF!</definedName>
    <definedName name="__________________________________________TPF12">[8]BASE!$D$217</definedName>
    <definedName name="__________________________________________TUZ22">'[10]BASE ORIGINAL'!#REF!</definedName>
    <definedName name="__________________________________________TUZ36">'[10]BASE ORIGINAL'!#REF!</definedName>
    <definedName name="__________________________________________TZ2110">[8]BASE!$D$79</definedName>
    <definedName name="__________________________________________TZ214">[9]BASE!$D$86</definedName>
    <definedName name="__________________________________________TZ216">[1]BASE!$D$87</definedName>
    <definedName name="__________________________________________TZ268">[5]BASE!$D$85</definedName>
    <definedName name="__________________________________________TZ323">'[10]BASE ORIGINAL'!#REF!</definedName>
    <definedName name="__________________________________________TZ324">'[10]BASE ORIGINAL'!#REF!</definedName>
    <definedName name="__________________________________________TZ32510">[9]BASE!$D$106</definedName>
    <definedName name="_________________________________________ADH12">[8]BASE!$D$218</definedName>
    <definedName name="_________________________________________ADM12">[8]BASE!$D$219</definedName>
    <definedName name="_________________________________________ADM4">[8]BASE!$D$120</definedName>
    <definedName name="_________________________________________AIU1">#REF!</definedName>
    <definedName name="_________________________________________AIU2">[4]BASE!$C$5</definedName>
    <definedName name="_________________________________________BAZ10">[8]BASE!$D$270</definedName>
    <definedName name="_________________________________________BLO20">[8]BASE!$D$56</definedName>
    <definedName name="_________________________________________CAN28">[8]BASE!$D$315</definedName>
    <definedName name="_________________________________________Cod1">#REF!</definedName>
    <definedName name="_________________________________________CUA44">[8]BASE!$D$253</definedName>
    <definedName name="_________________________________________LA124">[8]BASE!$D$64</definedName>
    <definedName name="_________________________________________LAC18">[5]BASE!$D$252</definedName>
    <definedName name="_________________________________________Po2">[6]REAJUSTESACTA1PROVI!#REF!</definedName>
    <definedName name="_________________________________________R84JH">[5]BASE!$D$172</definedName>
    <definedName name="_________________________________________REP43">[7]BASE!$D$136</definedName>
    <definedName name="_________________________________________TEP44">[1]BASE!$D$116</definedName>
    <definedName name="_________________________________________TPE1132">[1]BASE!#REF!</definedName>
    <definedName name="_________________________________________TPE12">#REF!</definedName>
    <definedName name="_________________________________________TPE1331">[1]BASE!#REF!</definedName>
    <definedName name="_________________________________________TPE1702">[1]BASE!#REF!</definedName>
    <definedName name="_________________________________________TPE1703">[1]BASE!#REF!</definedName>
    <definedName name="_________________________________________TPE1704">[1]BASE!#REF!</definedName>
    <definedName name="_________________________________________TPE1706">[1]BASE!#REF!</definedName>
    <definedName name="_________________________________________TPE1708">[1]BASE!#REF!</definedName>
    <definedName name="_________________________________________TPE1710">[1]BASE!#REF!</definedName>
    <definedName name="_________________________________________TPE1735">[1]BASE!#REF!</definedName>
    <definedName name="_________________________________________TPE1763">[1]BASE!#REF!</definedName>
    <definedName name="_________________________________________TPE1790">[1]BASE!#REF!</definedName>
    <definedName name="_________________________________________TPF12">[8]BASE!$D$217</definedName>
    <definedName name="_________________________________________TUZ22">'[3]BASE ORIGINAL'!#REF!</definedName>
    <definedName name="_________________________________________TUZ36">'[3]BASE ORIGINAL'!#REF!</definedName>
    <definedName name="_________________________________________TZ2110">[8]BASE!$D$79</definedName>
    <definedName name="_________________________________________TZ214">[1]BASE!$D$86</definedName>
    <definedName name="_________________________________________TZ216">[1]BASE!$D$87</definedName>
    <definedName name="_________________________________________TZ268">[5]BASE!$D$85</definedName>
    <definedName name="_________________________________________TZ323">'[3]BASE ORIGINAL'!#REF!</definedName>
    <definedName name="_________________________________________TZ324">'[3]BASE ORIGINAL'!#REF!</definedName>
    <definedName name="_________________________________________TZ32510">[1]BASE!$D$106</definedName>
    <definedName name="________________________________________ADH12">[8]BASE!$D$218</definedName>
    <definedName name="________________________________________ADM12">[8]BASE!$D$219</definedName>
    <definedName name="________________________________________ADM4">[8]BASE!$D$120</definedName>
    <definedName name="________________________________________AIU1">#REF!</definedName>
    <definedName name="________________________________________AIU2">[4]BASE!$C$5</definedName>
    <definedName name="________________________________________BAZ10">[8]BASE!$D$270</definedName>
    <definedName name="________________________________________BLO20">[8]BASE!$D$56</definedName>
    <definedName name="________________________________________CAN28">[8]BASE!$D$315</definedName>
    <definedName name="________________________________________Cod1">#REF!</definedName>
    <definedName name="________________________________________CUA44">[8]BASE!$D$253</definedName>
    <definedName name="________________________________________LA124">[8]BASE!$D$64</definedName>
    <definedName name="________________________________________LAC18">[5]BASE!$D$252</definedName>
    <definedName name="________________________________________Po2">[6]REAJUSTESACTA1PROVI!#REF!</definedName>
    <definedName name="________________________________________R84JH">[5]BASE!$D$172</definedName>
    <definedName name="________________________________________REP43">[7]BASE!$D$136</definedName>
    <definedName name="________________________________________TEP44">[1]BASE!$D$116</definedName>
    <definedName name="________________________________________TPE1132">[1]BASE!#REF!</definedName>
    <definedName name="________________________________________TPE12">#REF!</definedName>
    <definedName name="________________________________________TPE1331">[1]BASE!#REF!</definedName>
    <definedName name="________________________________________TPE1702">[1]BASE!#REF!</definedName>
    <definedName name="________________________________________TPE1703">[1]BASE!#REF!</definedName>
    <definedName name="________________________________________TPE1704">[1]BASE!#REF!</definedName>
    <definedName name="________________________________________TPE1706">[1]BASE!#REF!</definedName>
    <definedName name="________________________________________TPE1708">[1]BASE!#REF!</definedName>
    <definedName name="________________________________________TPE1710">[1]BASE!#REF!</definedName>
    <definedName name="________________________________________TPE1735">[1]BASE!#REF!</definedName>
    <definedName name="________________________________________TPE1763">[1]BASE!#REF!</definedName>
    <definedName name="________________________________________TPE1790">[1]BASE!#REF!</definedName>
    <definedName name="________________________________________TPF12">[8]BASE!$D$217</definedName>
    <definedName name="________________________________________TUZ22">'[3]BASE ORIGINAL'!#REF!</definedName>
    <definedName name="________________________________________TUZ36">'[3]BASE ORIGINAL'!#REF!</definedName>
    <definedName name="________________________________________TZ2110">[8]BASE!$D$79</definedName>
    <definedName name="________________________________________TZ214">[1]BASE!$D$86</definedName>
    <definedName name="________________________________________TZ216">[1]BASE!$D$87</definedName>
    <definedName name="________________________________________TZ268">[5]BASE!$D$85</definedName>
    <definedName name="________________________________________TZ323">'[3]BASE ORIGINAL'!#REF!</definedName>
    <definedName name="________________________________________TZ324">'[3]BASE ORIGINAL'!#REF!</definedName>
    <definedName name="________________________________________TZ32510">[1]BASE!$D$106</definedName>
    <definedName name="_______________________________________ADH12">[8]BASE!$D$218</definedName>
    <definedName name="_______________________________________ADM12">[8]BASE!$D$219</definedName>
    <definedName name="_______________________________________ADM4">[8]BASE!$D$120</definedName>
    <definedName name="_______________________________________AIU1">#REF!</definedName>
    <definedName name="_______________________________________AIU2">[4]BASE!$C$5</definedName>
    <definedName name="_______________________________________BAZ10">[8]BASE!$D$270</definedName>
    <definedName name="_______________________________________BLO20">[8]BASE!$D$56</definedName>
    <definedName name="_______________________________________CAN28">[8]BASE!$D$315</definedName>
    <definedName name="_______________________________________Cod1">#REF!</definedName>
    <definedName name="_______________________________________CUA44">[8]BASE!$D$253</definedName>
    <definedName name="_______________________________________LA124">[8]BASE!$D$64</definedName>
    <definedName name="_______________________________________LAC18">[5]BASE!$D$252</definedName>
    <definedName name="_______________________________________Po2">[6]REAJUSTESACTA1PROVI!#REF!</definedName>
    <definedName name="_______________________________________R84JH">[5]BASE!$D$172</definedName>
    <definedName name="_______________________________________REP43">[7]BASE!$D$136</definedName>
    <definedName name="_______________________________________TEP44">[1]BASE!$D$116</definedName>
    <definedName name="_______________________________________TPE1132">[1]BASE!#REF!</definedName>
    <definedName name="_______________________________________TPE12">#REF!</definedName>
    <definedName name="_______________________________________TPE1331">[1]BASE!#REF!</definedName>
    <definedName name="_______________________________________TPE1702">[1]BASE!#REF!</definedName>
    <definedName name="_______________________________________TPE1703">[1]BASE!#REF!</definedName>
    <definedName name="_______________________________________TPE1704">[1]BASE!#REF!</definedName>
    <definedName name="_______________________________________TPE1706">[1]BASE!#REF!</definedName>
    <definedName name="_______________________________________TPE1708">[1]BASE!#REF!</definedName>
    <definedName name="_______________________________________TPE1710">[1]BASE!#REF!</definedName>
    <definedName name="_______________________________________TPE1735">[1]BASE!#REF!</definedName>
    <definedName name="_______________________________________TPE1763">[1]BASE!#REF!</definedName>
    <definedName name="_______________________________________TPE1790">[1]BASE!#REF!</definedName>
    <definedName name="_______________________________________TPF12">[8]BASE!$D$217</definedName>
    <definedName name="_______________________________________TUZ22">'[3]BASE ORIGINAL'!#REF!</definedName>
    <definedName name="_______________________________________TUZ36">'[3]BASE ORIGINAL'!#REF!</definedName>
    <definedName name="_______________________________________TZ2110">[8]BASE!$D$79</definedName>
    <definedName name="_______________________________________TZ214">[1]BASE!$D$86</definedName>
    <definedName name="_______________________________________TZ216">[1]BASE!$D$87</definedName>
    <definedName name="_______________________________________TZ268">[5]BASE!$D$85</definedName>
    <definedName name="_______________________________________TZ323">'[3]BASE ORIGINAL'!#REF!</definedName>
    <definedName name="_______________________________________TZ324">'[3]BASE ORIGINAL'!#REF!</definedName>
    <definedName name="_______________________________________TZ32510">[1]BASE!$D$106</definedName>
    <definedName name="______________________________________ADH12">[8]BASE!$D$218</definedName>
    <definedName name="______________________________________ADM12">[8]BASE!$D$219</definedName>
    <definedName name="______________________________________ADM4">[8]BASE!$D$120</definedName>
    <definedName name="______________________________________AIU1">#REF!</definedName>
    <definedName name="______________________________________AIU2">[4]BASE!$C$5</definedName>
    <definedName name="______________________________________BAZ10">[8]BASE!$D$270</definedName>
    <definedName name="______________________________________BLO20">[8]BASE!$D$56</definedName>
    <definedName name="______________________________________CAN28">[8]BASE!$D$315</definedName>
    <definedName name="______________________________________Cod1">#REF!</definedName>
    <definedName name="______________________________________CUA44">[8]BASE!$D$253</definedName>
    <definedName name="______________________________________LA124">[8]BASE!$D$64</definedName>
    <definedName name="______________________________________LAC18">[5]BASE!$D$252</definedName>
    <definedName name="______________________________________Po2">[6]REAJUSTESACTA1PROVI!#REF!</definedName>
    <definedName name="______________________________________R84JH">[5]BASE!$D$172</definedName>
    <definedName name="______________________________________REP43">[7]BASE!$D$136</definedName>
    <definedName name="______________________________________TEP44">[9]BASE!$D$116</definedName>
    <definedName name="______________________________________TPE1132">[1]BASE!#REF!</definedName>
    <definedName name="______________________________________TPE12">#REF!</definedName>
    <definedName name="______________________________________TPE1331">[1]BASE!#REF!</definedName>
    <definedName name="______________________________________TPE1702">[1]BASE!#REF!</definedName>
    <definedName name="______________________________________TPE1703">[1]BASE!#REF!</definedName>
    <definedName name="______________________________________TPE1704">[1]BASE!#REF!</definedName>
    <definedName name="______________________________________TPE1706">[1]BASE!#REF!</definedName>
    <definedName name="______________________________________TPE1708">[1]BASE!#REF!</definedName>
    <definedName name="______________________________________TPE1710">[1]BASE!#REF!</definedName>
    <definedName name="______________________________________TPE1735">[1]BASE!#REF!</definedName>
    <definedName name="______________________________________TPE1763">[1]BASE!#REF!</definedName>
    <definedName name="______________________________________TPE1790">[1]BASE!#REF!</definedName>
    <definedName name="______________________________________TPF12">[8]BASE!$D$217</definedName>
    <definedName name="______________________________________TUZ22">'[3]BASE ORIGINAL'!#REF!</definedName>
    <definedName name="______________________________________TUZ36">'[3]BASE ORIGINAL'!#REF!</definedName>
    <definedName name="______________________________________TZ2110">[8]BASE!$D$79</definedName>
    <definedName name="______________________________________TZ214">[1]BASE!$D$86</definedName>
    <definedName name="______________________________________TZ216">[9]BASE!$D$87</definedName>
    <definedName name="______________________________________TZ268">[5]BASE!$D$85</definedName>
    <definedName name="______________________________________TZ323">'[3]BASE ORIGINAL'!#REF!</definedName>
    <definedName name="______________________________________TZ324">'[3]BASE ORIGINAL'!#REF!</definedName>
    <definedName name="______________________________________TZ32510">[1]BASE!$D$106</definedName>
    <definedName name="_____________________________________ADH12">[8]BASE!$D$218</definedName>
    <definedName name="_____________________________________ADM12">[8]BASE!$D$219</definedName>
    <definedName name="_____________________________________ADM4">[8]BASE!$D$120</definedName>
    <definedName name="_____________________________________AIU1">#REF!</definedName>
    <definedName name="_____________________________________AIU2">[4]BASE!$C$5</definedName>
    <definedName name="_____________________________________BAZ10">[8]BASE!$D$270</definedName>
    <definedName name="_____________________________________BLO20">[8]BASE!$D$56</definedName>
    <definedName name="_____________________________________CAN28">[8]BASE!$D$315</definedName>
    <definedName name="_____________________________________Cod1">#REF!</definedName>
    <definedName name="_____________________________________CUA44">[8]BASE!$D$253</definedName>
    <definedName name="_____________________________________LA124">[8]BASE!$D$64</definedName>
    <definedName name="_____________________________________LAC18">[5]BASE!$D$252</definedName>
    <definedName name="_____________________________________Po2">[6]REAJUSTESACTA1PROVI!#REF!</definedName>
    <definedName name="_____________________________________R84JH">[5]BASE!$D$172</definedName>
    <definedName name="_____________________________________REP43">[7]BASE!$D$136</definedName>
    <definedName name="_____________________________________TEP44">[1]BASE!$D$116</definedName>
    <definedName name="_____________________________________TPE1132">[9]BASE!#REF!</definedName>
    <definedName name="_____________________________________TPE12">#REF!</definedName>
    <definedName name="_____________________________________TPE1331">[9]BASE!#REF!</definedName>
    <definedName name="_____________________________________TPE1702">[9]BASE!#REF!</definedName>
    <definedName name="_____________________________________TPE1703">[9]BASE!#REF!</definedName>
    <definedName name="_____________________________________TPE1704">[9]BASE!#REF!</definedName>
    <definedName name="_____________________________________TPE1706">[9]BASE!#REF!</definedName>
    <definedName name="_____________________________________TPE1708">[9]BASE!#REF!</definedName>
    <definedName name="_____________________________________TPE1710">[9]BASE!#REF!</definedName>
    <definedName name="_____________________________________TPE1735">[9]BASE!#REF!</definedName>
    <definedName name="_____________________________________TPE1763">[9]BASE!#REF!</definedName>
    <definedName name="_____________________________________TPE1790">[9]BASE!#REF!</definedName>
    <definedName name="_____________________________________TPF12">[8]BASE!$D$217</definedName>
    <definedName name="_____________________________________TUZ22">'[10]BASE ORIGINAL'!#REF!</definedName>
    <definedName name="_____________________________________TUZ36">'[10]BASE ORIGINAL'!#REF!</definedName>
    <definedName name="_____________________________________TZ2110">[8]BASE!$D$79</definedName>
    <definedName name="_____________________________________TZ214">[9]BASE!$D$86</definedName>
    <definedName name="_____________________________________TZ216">[1]BASE!$D$87</definedName>
    <definedName name="_____________________________________TZ268">[5]BASE!$D$85</definedName>
    <definedName name="_____________________________________TZ323">'[10]BASE ORIGINAL'!#REF!</definedName>
    <definedName name="_____________________________________TZ324">'[10]BASE ORIGINAL'!#REF!</definedName>
    <definedName name="_____________________________________TZ32510">[9]BASE!$D$106</definedName>
    <definedName name="____________________________________ADH12">[8]BASE!$D$218</definedName>
    <definedName name="____________________________________ADM12">[8]BASE!$D$219</definedName>
    <definedName name="____________________________________ADM4">[8]BASE!$D$120</definedName>
    <definedName name="____________________________________AIU1">#REF!</definedName>
    <definedName name="____________________________________AIU2">[4]BASE!$C$5</definedName>
    <definedName name="____________________________________BAZ10">[8]BASE!$D$270</definedName>
    <definedName name="____________________________________BLO20">[8]BASE!$D$56</definedName>
    <definedName name="____________________________________CAN28">[8]BASE!$D$315</definedName>
    <definedName name="____________________________________Cod1">#REF!</definedName>
    <definedName name="____________________________________CUA44">[8]BASE!$D$253</definedName>
    <definedName name="____________________________________LA124">[8]BASE!$D$64</definedName>
    <definedName name="____________________________________LAC18">[5]BASE!$D$252</definedName>
    <definedName name="____________________________________Po2">[6]REAJUSTESACTA1PROVI!#REF!</definedName>
    <definedName name="____________________________________R84JH">[5]BASE!$D$172</definedName>
    <definedName name="____________________________________REP43">[7]BASE!$D$136</definedName>
    <definedName name="____________________________________TEP44">[9]BASE!$D$116</definedName>
    <definedName name="____________________________________TPE1132">[1]BASE!#REF!</definedName>
    <definedName name="____________________________________TPE12">#REF!</definedName>
    <definedName name="____________________________________TPE1331">[1]BASE!#REF!</definedName>
    <definedName name="____________________________________TPE1702">[1]BASE!#REF!</definedName>
    <definedName name="____________________________________TPE1703">[1]BASE!#REF!</definedName>
    <definedName name="____________________________________TPE1704">[1]BASE!#REF!</definedName>
    <definedName name="____________________________________TPE1706">[1]BASE!#REF!</definedName>
    <definedName name="____________________________________TPE1708">[1]BASE!#REF!</definedName>
    <definedName name="____________________________________TPE1710">[1]BASE!#REF!</definedName>
    <definedName name="____________________________________TPE1735">[1]BASE!#REF!</definedName>
    <definedName name="____________________________________TPE1763">[1]BASE!#REF!</definedName>
    <definedName name="____________________________________TPE1790">[1]BASE!#REF!</definedName>
    <definedName name="____________________________________TPF12">[8]BASE!$D$217</definedName>
    <definedName name="____________________________________TUZ22">'[3]BASE ORIGINAL'!#REF!</definedName>
    <definedName name="____________________________________TUZ36">'[3]BASE ORIGINAL'!#REF!</definedName>
    <definedName name="____________________________________TZ2110">[8]BASE!$D$79</definedName>
    <definedName name="____________________________________TZ214">[1]BASE!$D$86</definedName>
    <definedName name="____________________________________TZ216">[9]BASE!$D$87</definedName>
    <definedName name="____________________________________TZ268">[5]BASE!$D$85</definedName>
    <definedName name="____________________________________TZ323">'[3]BASE ORIGINAL'!#REF!</definedName>
    <definedName name="____________________________________TZ324">'[3]BASE ORIGINAL'!#REF!</definedName>
    <definedName name="____________________________________TZ32510">[1]BASE!$D$106</definedName>
    <definedName name="___________________________________ADH12">[8]BASE!$D$218</definedName>
    <definedName name="___________________________________ADM12">[8]BASE!$D$219</definedName>
    <definedName name="___________________________________ADM4">[8]BASE!$D$120</definedName>
    <definedName name="___________________________________AIU1">#REF!</definedName>
    <definedName name="___________________________________AIU2">[4]BASE!$C$5</definedName>
    <definedName name="___________________________________BAZ10">[8]BASE!$D$270</definedName>
    <definedName name="___________________________________BLO20">[8]BASE!$D$56</definedName>
    <definedName name="___________________________________CAN28">[8]BASE!$D$315</definedName>
    <definedName name="___________________________________Cod1">#REF!</definedName>
    <definedName name="___________________________________CUA44">[8]BASE!$D$253</definedName>
    <definedName name="___________________________________LA124">[8]BASE!$D$64</definedName>
    <definedName name="___________________________________LAC18">[5]BASE!$D$252</definedName>
    <definedName name="___________________________________Po2">[6]REAJUSTESACTA1PROVI!#REF!</definedName>
    <definedName name="___________________________________R84JH">[5]BASE!$D$172</definedName>
    <definedName name="___________________________________REP43">[7]BASE!$D$136</definedName>
    <definedName name="___________________________________TEP44">[1]BASE!$D$116</definedName>
    <definedName name="___________________________________TPE1132">[9]BASE!#REF!</definedName>
    <definedName name="___________________________________TPE12">#REF!</definedName>
    <definedName name="___________________________________TPE1331">[9]BASE!#REF!</definedName>
    <definedName name="___________________________________TPE1702">[9]BASE!#REF!</definedName>
    <definedName name="___________________________________TPE1703">[9]BASE!#REF!</definedName>
    <definedName name="___________________________________TPE1704">[9]BASE!#REF!</definedName>
    <definedName name="___________________________________TPE1706">[9]BASE!#REF!</definedName>
    <definedName name="___________________________________TPE1708">[9]BASE!#REF!</definedName>
    <definedName name="___________________________________TPE1710">[9]BASE!#REF!</definedName>
    <definedName name="___________________________________TPE1735">[9]BASE!#REF!</definedName>
    <definedName name="___________________________________TPE1763">[9]BASE!#REF!</definedName>
    <definedName name="___________________________________TPE1790">[9]BASE!#REF!</definedName>
    <definedName name="___________________________________TPF12">[8]BASE!$D$217</definedName>
    <definedName name="___________________________________TUZ22">'[10]BASE ORIGINAL'!#REF!</definedName>
    <definedName name="___________________________________TUZ36">'[10]BASE ORIGINAL'!#REF!</definedName>
    <definedName name="___________________________________TZ2110">[8]BASE!$D$79</definedName>
    <definedName name="___________________________________TZ214">[9]BASE!$D$86</definedName>
    <definedName name="___________________________________TZ216">[1]BASE!$D$87</definedName>
    <definedName name="___________________________________TZ268">[5]BASE!$D$85</definedName>
    <definedName name="___________________________________TZ323">'[10]BASE ORIGINAL'!#REF!</definedName>
    <definedName name="___________________________________TZ324">'[10]BASE ORIGINAL'!#REF!</definedName>
    <definedName name="___________________________________TZ32510">[9]BASE!$D$106</definedName>
    <definedName name="__________________________________ADH12">[8]BASE!$D$218</definedName>
    <definedName name="__________________________________ADM12">[8]BASE!$D$219</definedName>
    <definedName name="__________________________________ADM4">[8]BASE!$D$120</definedName>
    <definedName name="__________________________________AIU1">#REF!</definedName>
    <definedName name="__________________________________AIU2">[4]BASE!$C$5</definedName>
    <definedName name="__________________________________BAZ10">[8]BASE!$D$270</definedName>
    <definedName name="__________________________________BLO20">[8]BASE!$D$56</definedName>
    <definedName name="__________________________________CAN28">[8]BASE!$D$315</definedName>
    <definedName name="__________________________________Cod1">#REF!</definedName>
    <definedName name="__________________________________CUA44">[8]BASE!$D$253</definedName>
    <definedName name="__________________________________LA124">[8]BASE!$D$64</definedName>
    <definedName name="__________________________________LAC18">[5]BASE!$D$252</definedName>
    <definedName name="__________________________________Po2">[6]REAJUSTESACTA1PROVI!#REF!</definedName>
    <definedName name="__________________________________R84JH">[5]BASE!$D$172</definedName>
    <definedName name="__________________________________REP43">[7]BASE!$D$136</definedName>
    <definedName name="__________________________________TEP44">[1]BASE!$D$116</definedName>
    <definedName name="__________________________________TPE1132">[1]BASE!#REF!</definedName>
    <definedName name="__________________________________TPE12">#REF!</definedName>
    <definedName name="__________________________________TPE1331">[1]BASE!#REF!</definedName>
    <definedName name="__________________________________TPE1702">[1]BASE!#REF!</definedName>
    <definedName name="__________________________________TPE1703">[1]BASE!#REF!</definedName>
    <definedName name="__________________________________TPE1704">[1]BASE!#REF!</definedName>
    <definedName name="__________________________________TPE1706">[1]BASE!#REF!</definedName>
    <definedName name="__________________________________TPE1708">[1]BASE!#REF!</definedName>
    <definedName name="__________________________________TPE1710">[1]BASE!#REF!</definedName>
    <definedName name="__________________________________TPE1735">[1]BASE!#REF!</definedName>
    <definedName name="__________________________________TPE1763">[1]BASE!#REF!</definedName>
    <definedName name="__________________________________TPE1790">[1]BASE!#REF!</definedName>
    <definedName name="__________________________________TPF12">[8]BASE!$D$217</definedName>
    <definedName name="__________________________________TUZ22">'[3]BASE ORIGINAL'!#REF!</definedName>
    <definedName name="__________________________________TUZ36">'[3]BASE ORIGINAL'!#REF!</definedName>
    <definedName name="__________________________________TZ2110">[8]BASE!$D$79</definedName>
    <definedName name="__________________________________TZ214">[1]BASE!$D$86</definedName>
    <definedName name="__________________________________TZ216">[1]BASE!$D$87</definedName>
    <definedName name="__________________________________TZ268">[5]BASE!$D$85</definedName>
    <definedName name="__________________________________TZ323">'[3]BASE ORIGINAL'!#REF!</definedName>
    <definedName name="__________________________________TZ324">'[3]BASE ORIGINAL'!#REF!</definedName>
    <definedName name="__________________________________TZ32510">[1]BASE!$D$106</definedName>
    <definedName name="_________________________________ADH12">[8]BASE!$D$218</definedName>
    <definedName name="_________________________________ADM12">[8]BASE!$D$219</definedName>
    <definedName name="_________________________________ADM4">[8]BASE!$D$120</definedName>
    <definedName name="_________________________________AIU1">#REF!</definedName>
    <definedName name="_________________________________AIU2">[4]BASE!$C$5</definedName>
    <definedName name="_________________________________BAZ10">[8]BASE!$D$270</definedName>
    <definedName name="_________________________________BLO20">[8]BASE!$D$56</definedName>
    <definedName name="_________________________________CAN28">[8]BASE!$D$315</definedName>
    <definedName name="_________________________________Cod1">#REF!</definedName>
    <definedName name="_________________________________CUA44">[8]BASE!$D$253</definedName>
    <definedName name="_________________________________LA124">[8]BASE!$D$64</definedName>
    <definedName name="_________________________________LAC18">[5]BASE!$D$252</definedName>
    <definedName name="_________________________________Po2">[6]REAJUSTESACTA1PROVI!#REF!</definedName>
    <definedName name="_________________________________R84JH">[5]BASE!$D$172</definedName>
    <definedName name="_________________________________REP43">[7]BASE!$D$136</definedName>
    <definedName name="_________________________________TEP44">[1]BASE!$D$116</definedName>
    <definedName name="_________________________________TPE1132">[1]BASE!#REF!</definedName>
    <definedName name="_________________________________TPE12">#REF!</definedName>
    <definedName name="_________________________________TPE1331">[1]BASE!#REF!</definedName>
    <definedName name="_________________________________TPE1702">[1]BASE!#REF!</definedName>
    <definedName name="_________________________________TPE1703">[1]BASE!#REF!</definedName>
    <definedName name="_________________________________TPE1704">[1]BASE!#REF!</definedName>
    <definedName name="_________________________________TPE1706">[1]BASE!#REF!</definedName>
    <definedName name="_________________________________TPE1708">[1]BASE!#REF!</definedName>
    <definedName name="_________________________________TPE1710">[1]BASE!#REF!</definedName>
    <definedName name="_________________________________TPE1735">[1]BASE!#REF!</definedName>
    <definedName name="_________________________________TPE1763">[1]BASE!#REF!</definedName>
    <definedName name="_________________________________TPE1790">[1]BASE!#REF!</definedName>
    <definedName name="_________________________________TPF12">[8]BASE!$D$217</definedName>
    <definedName name="_________________________________TUZ22">'[3]BASE ORIGINAL'!#REF!</definedName>
    <definedName name="_________________________________TUZ36">'[3]BASE ORIGINAL'!#REF!</definedName>
    <definedName name="_________________________________TZ2110">[8]BASE!$D$79</definedName>
    <definedName name="_________________________________TZ214">[1]BASE!$D$86</definedName>
    <definedName name="_________________________________TZ216">[1]BASE!$D$87</definedName>
    <definedName name="_________________________________TZ268">[5]BASE!$D$85</definedName>
    <definedName name="_________________________________TZ323">'[3]BASE ORIGINAL'!#REF!</definedName>
    <definedName name="_________________________________TZ324">'[3]BASE ORIGINAL'!#REF!</definedName>
    <definedName name="_________________________________TZ32510">[1]BASE!$D$106</definedName>
    <definedName name="________________________________ADH12">[8]BASE!$D$218</definedName>
    <definedName name="________________________________ADM12">[8]BASE!$D$219</definedName>
    <definedName name="________________________________ADM4">[8]BASE!$D$120</definedName>
    <definedName name="________________________________AIU1">#REF!</definedName>
    <definedName name="________________________________AIU2">[4]BASE!$C$5</definedName>
    <definedName name="________________________________BAZ10">[8]BASE!$D$270</definedName>
    <definedName name="________________________________BLO20">[8]BASE!$D$56</definedName>
    <definedName name="________________________________CAN28">[8]BASE!$D$315</definedName>
    <definedName name="________________________________Cod1">#REF!</definedName>
    <definedName name="________________________________CUA44">[8]BASE!$D$253</definedName>
    <definedName name="________________________________LA124">[8]BASE!$D$64</definedName>
    <definedName name="________________________________LAC18">[5]BASE!$D$252</definedName>
    <definedName name="________________________________Po2">[6]REAJUSTESACTA1PROVI!#REF!</definedName>
    <definedName name="________________________________R84JH">[5]BASE!$D$172</definedName>
    <definedName name="________________________________REP43">[7]BASE!$D$136</definedName>
    <definedName name="________________________________TEP44">[1]BASE!$D$116</definedName>
    <definedName name="________________________________TPE1132">[1]BASE!#REF!</definedName>
    <definedName name="________________________________TPE12">#REF!</definedName>
    <definedName name="________________________________TPE1331">[1]BASE!#REF!</definedName>
    <definedName name="________________________________TPE1702">[1]BASE!#REF!</definedName>
    <definedName name="________________________________TPE1703">[1]BASE!#REF!</definedName>
    <definedName name="________________________________TPE1704">[1]BASE!#REF!</definedName>
    <definedName name="________________________________TPE1706">[1]BASE!#REF!</definedName>
    <definedName name="________________________________TPE1708">[1]BASE!#REF!</definedName>
    <definedName name="________________________________TPE1710">[1]BASE!#REF!</definedName>
    <definedName name="________________________________TPE1735">[1]BASE!#REF!</definedName>
    <definedName name="________________________________TPE1763">[1]BASE!#REF!</definedName>
    <definedName name="________________________________TPE1790">[1]BASE!#REF!</definedName>
    <definedName name="________________________________TPF12">[8]BASE!$D$217</definedName>
    <definedName name="________________________________TUZ22">'[3]BASE ORIGINAL'!#REF!</definedName>
    <definedName name="________________________________TUZ36">'[3]BASE ORIGINAL'!#REF!</definedName>
    <definedName name="________________________________TZ2110">[8]BASE!$D$79</definedName>
    <definedName name="________________________________TZ214">[1]BASE!$D$86</definedName>
    <definedName name="________________________________TZ216">[1]BASE!$D$87</definedName>
    <definedName name="________________________________TZ268">[5]BASE!$D$85</definedName>
    <definedName name="________________________________TZ323">'[3]BASE ORIGINAL'!#REF!</definedName>
    <definedName name="________________________________TZ324">'[3]BASE ORIGINAL'!#REF!</definedName>
    <definedName name="________________________________TZ32510">[1]BASE!$D$106</definedName>
    <definedName name="_______________________________ADH12">[8]BASE!$D$218</definedName>
    <definedName name="_______________________________ADM12">[8]BASE!$D$219</definedName>
    <definedName name="_______________________________ADM4">[8]BASE!$D$120</definedName>
    <definedName name="_______________________________AIU1">#REF!</definedName>
    <definedName name="_______________________________AIU2">[4]BASE!$C$5</definedName>
    <definedName name="_______________________________BAZ10">[8]BASE!$D$270</definedName>
    <definedName name="_______________________________BLO20">[8]BASE!$D$56</definedName>
    <definedName name="_______________________________CAN28">[8]BASE!$D$315</definedName>
    <definedName name="_______________________________Cod1">#REF!</definedName>
    <definedName name="_______________________________CUA44">[8]BASE!$D$253</definedName>
    <definedName name="_______________________________LA124">[8]BASE!$D$64</definedName>
    <definedName name="_______________________________LAC18">[5]BASE!$D$252</definedName>
    <definedName name="_______________________________Po2">[6]REAJUSTESACTA1PROVI!#REF!</definedName>
    <definedName name="_______________________________R84JH">[5]BASE!$D$172</definedName>
    <definedName name="_______________________________REP43">[7]BASE!$D$136</definedName>
    <definedName name="_______________________________TEP44">[1]BASE!$D$116</definedName>
    <definedName name="_______________________________TPE1132">[1]BASE!#REF!</definedName>
    <definedName name="_______________________________TPE12">#REF!</definedName>
    <definedName name="_______________________________TPE1331">[1]BASE!#REF!</definedName>
    <definedName name="_______________________________TPE1702">[1]BASE!#REF!</definedName>
    <definedName name="_______________________________TPE1703">[1]BASE!#REF!</definedName>
    <definedName name="_______________________________TPE1704">[1]BASE!#REF!</definedName>
    <definedName name="_______________________________TPE1706">[1]BASE!#REF!</definedName>
    <definedName name="_______________________________TPE1708">[1]BASE!#REF!</definedName>
    <definedName name="_______________________________TPE1710">[1]BASE!#REF!</definedName>
    <definedName name="_______________________________TPE1735">[1]BASE!#REF!</definedName>
    <definedName name="_______________________________TPE1763">[1]BASE!#REF!</definedName>
    <definedName name="_______________________________TPE1790">[1]BASE!#REF!</definedName>
    <definedName name="_______________________________TPF12">[8]BASE!$D$217</definedName>
    <definedName name="_______________________________TUZ22">'[3]BASE ORIGINAL'!#REF!</definedName>
    <definedName name="_______________________________TUZ36">'[3]BASE ORIGINAL'!#REF!</definedName>
    <definedName name="_______________________________TZ2110">[8]BASE!$D$79</definedName>
    <definedName name="_______________________________TZ214">[1]BASE!$D$86</definedName>
    <definedName name="_______________________________TZ216">[1]BASE!$D$87</definedName>
    <definedName name="_______________________________TZ268">[5]BASE!$D$85</definedName>
    <definedName name="_______________________________TZ323">'[3]BASE ORIGINAL'!#REF!</definedName>
    <definedName name="_______________________________TZ324">'[3]BASE ORIGINAL'!#REF!</definedName>
    <definedName name="_______________________________TZ32510">[1]BASE!$D$106</definedName>
    <definedName name="______________________________ADH12">[8]BASE!$D$218</definedName>
    <definedName name="______________________________ADM12">[8]BASE!$D$219</definedName>
    <definedName name="______________________________ADM4">[8]BASE!$D$120</definedName>
    <definedName name="______________________________AIU1">#REF!</definedName>
    <definedName name="______________________________AIU2">[4]BASE!$C$5</definedName>
    <definedName name="______________________________BAZ10">[8]BASE!$D$270</definedName>
    <definedName name="______________________________BLO20">[8]BASE!$D$56</definedName>
    <definedName name="______________________________CAN28">[8]BASE!$D$315</definedName>
    <definedName name="______________________________Cod1">#REF!</definedName>
    <definedName name="______________________________CUA44">[8]BASE!$D$253</definedName>
    <definedName name="______________________________LA124">[8]BASE!$D$64</definedName>
    <definedName name="______________________________LAC18">[5]BASE!$D$252</definedName>
    <definedName name="______________________________Po2">[6]REAJUSTESACTA1PROVI!#REF!</definedName>
    <definedName name="______________________________R84JH">[5]BASE!$D$172</definedName>
    <definedName name="______________________________REP43">[7]BASE!$D$136</definedName>
    <definedName name="______________________________TEP44">[1]BASE!$D$116</definedName>
    <definedName name="______________________________TPE1132">[1]BASE!#REF!</definedName>
    <definedName name="______________________________TPE12">#REF!</definedName>
    <definedName name="______________________________TPE1331">[1]BASE!#REF!</definedName>
    <definedName name="______________________________TPE1702">[1]BASE!#REF!</definedName>
    <definedName name="______________________________TPE1703">[1]BASE!#REF!</definedName>
    <definedName name="______________________________TPE1704">[1]BASE!#REF!</definedName>
    <definedName name="______________________________TPE1706">[1]BASE!#REF!</definedName>
    <definedName name="______________________________TPE1708">[1]BASE!#REF!</definedName>
    <definedName name="______________________________TPE1710">[1]BASE!#REF!</definedName>
    <definedName name="______________________________TPE1735">[1]BASE!#REF!</definedName>
    <definedName name="______________________________TPE1763">[1]BASE!#REF!</definedName>
    <definedName name="______________________________TPE1790">[1]BASE!#REF!</definedName>
    <definedName name="______________________________TPF12">[8]BASE!$D$217</definedName>
    <definedName name="______________________________TUZ22">'[3]BASE ORIGINAL'!#REF!</definedName>
    <definedName name="______________________________TUZ36">'[3]BASE ORIGINAL'!#REF!</definedName>
    <definedName name="______________________________TZ2110">[8]BASE!$D$79</definedName>
    <definedName name="______________________________TZ214">[1]BASE!$D$86</definedName>
    <definedName name="______________________________TZ216">[1]BASE!$D$87</definedName>
    <definedName name="______________________________TZ268">[5]BASE!$D$85</definedName>
    <definedName name="______________________________TZ323">'[3]BASE ORIGINAL'!#REF!</definedName>
    <definedName name="______________________________TZ324">'[3]BASE ORIGINAL'!#REF!</definedName>
    <definedName name="______________________________TZ32510">[1]BASE!$D$106</definedName>
    <definedName name="_____________________________ADH12">[8]BASE!$D$218</definedName>
    <definedName name="_____________________________ADM12">[8]BASE!$D$219</definedName>
    <definedName name="_____________________________ADM4">[8]BASE!$D$120</definedName>
    <definedName name="_____________________________AIU1">#REF!</definedName>
    <definedName name="_____________________________AIU2">[4]BASE!$C$5</definedName>
    <definedName name="_____________________________BAZ10">[8]BASE!$D$270</definedName>
    <definedName name="_____________________________BLO20">[8]BASE!$D$56</definedName>
    <definedName name="_____________________________CAN28">[8]BASE!$D$315</definedName>
    <definedName name="_____________________________Cod1">#REF!</definedName>
    <definedName name="_____________________________CUA44">[8]BASE!$D$253</definedName>
    <definedName name="_____________________________LA124">[8]BASE!$D$64</definedName>
    <definedName name="_____________________________LAC18">[5]BASE!$D$252</definedName>
    <definedName name="_____________________________Po2">[6]REAJUSTESACTA1PROVI!#REF!</definedName>
    <definedName name="_____________________________R84JH">[5]BASE!$D$172</definedName>
    <definedName name="_____________________________REP43">[7]BASE!$D$136</definedName>
    <definedName name="_____________________________TEP44">[1]BASE!$D$116</definedName>
    <definedName name="_____________________________TPE1132">[1]BASE!#REF!</definedName>
    <definedName name="_____________________________TPE12">#REF!</definedName>
    <definedName name="_____________________________TPE1331">[1]BASE!#REF!</definedName>
    <definedName name="_____________________________TPE1702">[1]BASE!#REF!</definedName>
    <definedName name="_____________________________TPE1703">[1]BASE!#REF!</definedName>
    <definedName name="_____________________________TPE1704">[1]BASE!#REF!</definedName>
    <definedName name="_____________________________TPE1706">[1]BASE!#REF!</definedName>
    <definedName name="_____________________________TPE1708">[1]BASE!#REF!</definedName>
    <definedName name="_____________________________TPE1710">[1]BASE!#REF!</definedName>
    <definedName name="_____________________________TPE1735">[1]BASE!#REF!</definedName>
    <definedName name="_____________________________TPE1763">[1]BASE!#REF!</definedName>
    <definedName name="_____________________________TPE1790">[1]BASE!#REF!</definedName>
    <definedName name="_____________________________TPF12">[8]BASE!$D$217</definedName>
    <definedName name="_____________________________TUZ22">'[3]BASE ORIGINAL'!#REF!</definedName>
    <definedName name="_____________________________TUZ36">'[3]BASE ORIGINAL'!#REF!</definedName>
    <definedName name="_____________________________TZ2110">[8]BASE!$D$79</definedName>
    <definedName name="_____________________________TZ214">[1]BASE!$D$86</definedName>
    <definedName name="_____________________________TZ216">[1]BASE!$D$87</definedName>
    <definedName name="_____________________________TZ268">[5]BASE!$D$85</definedName>
    <definedName name="_____________________________TZ323">'[3]BASE ORIGINAL'!#REF!</definedName>
    <definedName name="_____________________________TZ324">'[3]BASE ORIGINAL'!#REF!</definedName>
    <definedName name="_____________________________TZ32510">[1]BASE!$D$106</definedName>
    <definedName name="____________________________ADH12">[8]BASE!$D$218</definedName>
    <definedName name="____________________________ADM12">[8]BASE!$D$219</definedName>
    <definedName name="____________________________ADM4">[8]BASE!$D$120</definedName>
    <definedName name="____________________________AIU1">#REF!</definedName>
    <definedName name="____________________________AIU2">[4]BASE!$C$5</definedName>
    <definedName name="____________________________BAZ10">[8]BASE!$D$270</definedName>
    <definedName name="____________________________BLO20">[8]BASE!$D$56</definedName>
    <definedName name="____________________________CAN28">[8]BASE!$D$315</definedName>
    <definedName name="____________________________Cod1">#REF!</definedName>
    <definedName name="____________________________CUA44">[8]BASE!$D$253</definedName>
    <definedName name="____________________________LA124">[8]BASE!$D$64</definedName>
    <definedName name="____________________________LAC18">[5]BASE!$D$252</definedName>
    <definedName name="____________________________Po2">[6]REAJUSTESACTA1PROVI!#REF!</definedName>
    <definedName name="____________________________R84JH">[5]BASE!$D$172</definedName>
    <definedName name="____________________________REP43">[7]BASE!$D$136</definedName>
    <definedName name="____________________________TEP44">[1]BASE!$D$116</definedName>
    <definedName name="____________________________TPE1132">[1]BASE!#REF!</definedName>
    <definedName name="____________________________TPE12">#REF!</definedName>
    <definedName name="____________________________TPE1331">[1]BASE!#REF!</definedName>
    <definedName name="____________________________TPE1702">[1]BASE!#REF!</definedName>
    <definedName name="____________________________TPE1703">[1]BASE!#REF!</definedName>
    <definedName name="____________________________TPE1704">[1]BASE!#REF!</definedName>
    <definedName name="____________________________TPE1706">[1]BASE!#REF!</definedName>
    <definedName name="____________________________TPE1708">[1]BASE!#REF!</definedName>
    <definedName name="____________________________TPE1710">[1]BASE!#REF!</definedName>
    <definedName name="____________________________TPE1735">[1]BASE!#REF!</definedName>
    <definedName name="____________________________TPE1763">[1]BASE!#REF!</definedName>
    <definedName name="____________________________TPE1790">[1]BASE!#REF!</definedName>
    <definedName name="____________________________TPF12">[8]BASE!$D$217</definedName>
    <definedName name="____________________________TUZ22">'[3]BASE ORIGINAL'!#REF!</definedName>
    <definedName name="____________________________TUZ36">'[3]BASE ORIGINAL'!#REF!</definedName>
    <definedName name="____________________________TZ2110">[8]BASE!$D$79</definedName>
    <definedName name="____________________________TZ214">[1]BASE!$D$86</definedName>
    <definedName name="____________________________TZ216">[1]BASE!$D$87</definedName>
    <definedName name="____________________________TZ268">[5]BASE!$D$85</definedName>
    <definedName name="____________________________TZ323">'[3]BASE ORIGINAL'!#REF!</definedName>
    <definedName name="____________________________TZ324">'[3]BASE ORIGINAL'!#REF!</definedName>
    <definedName name="____________________________TZ32510">[1]BASE!$D$106</definedName>
    <definedName name="___________________________ADH12">[8]BASE!$D$218</definedName>
    <definedName name="___________________________ADM12">[8]BASE!$D$219</definedName>
    <definedName name="___________________________ADM4">[8]BASE!$D$120</definedName>
    <definedName name="___________________________AIU1">#REF!</definedName>
    <definedName name="___________________________AIU2">[4]BASE!$C$5</definedName>
    <definedName name="___________________________BAZ10">[8]BASE!$D$270</definedName>
    <definedName name="___________________________BLO20">[8]BASE!$D$56</definedName>
    <definedName name="___________________________CAN28">[8]BASE!$D$315</definedName>
    <definedName name="___________________________Cod1">#REF!</definedName>
    <definedName name="___________________________CUA44">[8]BASE!$D$253</definedName>
    <definedName name="___________________________LA124">[8]BASE!$D$64</definedName>
    <definedName name="___________________________LAC18">[5]BASE!$D$252</definedName>
    <definedName name="___________________________Po2">[6]REAJUSTESACTA1PROVI!#REF!</definedName>
    <definedName name="___________________________R84JH">[5]BASE!$D$172</definedName>
    <definedName name="___________________________REP43">[7]BASE!$D$136</definedName>
    <definedName name="___________________________TEP44">[1]BASE!$D$116</definedName>
    <definedName name="___________________________TPE1132">[1]BASE!#REF!</definedName>
    <definedName name="___________________________TPE12">#REF!</definedName>
    <definedName name="___________________________TPE1331">[1]BASE!#REF!</definedName>
    <definedName name="___________________________TPE1702">[1]BASE!#REF!</definedName>
    <definedName name="___________________________TPE1703">[1]BASE!#REF!</definedName>
    <definedName name="___________________________TPE1704">[1]BASE!#REF!</definedName>
    <definedName name="___________________________TPE1706">[1]BASE!#REF!</definedName>
    <definedName name="___________________________TPE1708">[1]BASE!#REF!</definedName>
    <definedName name="___________________________TPE1710">[1]BASE!#REF!</definedName>
    <definedName name="___________________________TPE1735">[1]BASE!#REF!</definedName>
    <definedName name="___________________________TPE1763">[1]BASE!#REF!</definedName>
    <definedName name="___________________________TPE1790">[1]BASE!#REF!</definedName>
    <definedName name="___________________________TPF12">[8]BASE!$D$217</definedName>
    <definedName name="___________________________TUZ22">'[3]BASE ORIGINAL'!#REF!</definedName>
    <definedName name="___________________________TUZ36">'[3]BASE ORIGINAL'!#REF!</definedName>
    <definedName name="___________________________TZ2110">[8]BASE!$D$79</definedName>
    <definedName name="___________________________TZ214">[1]BASE!$D$86</definedName>
    <definedName name="___________________________TZ216">[1]BASE!$D$87</definedName>
    <definedName name="___________________________TZ268">[5]BASE!$D$85</definedName>
    <definedName name="___________________________TZ323">'[3]BASE ORIGINAL'!#REF!</definedName>
    <definedName name="___________________________TZ324">'[3]BASE ORIGINAL'!#REF!</definedName>
    <definedName name="___________________________TZ32510">[1]BASE!$D$106</definedName>
    <definedName name="__________________________ADH12">[8]BASE!$D$218</definedName>
    <definedName name="__________________________ADM12">[8]BASE!$D$219</definedName>
    <definedName name="__________________________ADM4">[8]BASE!$D$120</definedName>
    <definedName name="__________________________AIU1">#REF!</definedName>
    <definedName name="__________________________AIU2">[4]BASE!$C$5</definedName>
    <definedName name="__________________________BAZ10">[8]BASE!$D$270</definedName>
    <definedName name="__________________________BLO20">[8]BASE!$D$56</definedName>
    <definedName name="__________________________CAN28">[8]BASE!$D$315</definedName>
    <definedName name="__________________________Cod1">#REF!</definedName>
    <definedName name="__________________________CUA44">[8]BASE!$D$253</definedName>
    <definedName name="__________________________LA124">[8]BASE!$D$64</definedName>
    <definedName name="__________________________LAC18">[5]BASE!$D$252</definedName>
    <definedName name="__________________________Po2">[6]REAJUSTESACTA1PROVI!#REF!</definedName>
    <definedName name="__________________________R84JH">[5]BASE!$D$172</definedName>
    <definedName name="__________________________REP43">[7]BASE!$D$136</definedName>
    <definedName name="__________________________TEP44">[1]BASE!$D$116</definedName>
    <definedName name="__________________________TPE1132">[1]BASE!#REF!</definedName>
    <definedName name="__________________________TPE12">#REF!</definedName>
    <definedName name="__________________________TPE1331">[1]BASE!#REF!</definedName>
    <definedName name="__________________________TPE1702">[1]BASE!#REF!</definedName>
    <definedName name="__________________________TPE1703">[1]BASE!#REF!</definedName>
    <definedName name="__________________________TPE1704">[1]BASE!#REF!</definedName>
    <definedName name="__________________________TPE1706">[1]BASE!#REF!</definedName>
    <definedName name="__________________________TPE1708">[1]BASE!#REF!</definedName>
    <definedName name="__________________________TPE1710">[1]BASE!#REF!</definedName>
    <definedName name="__________________________TPE1735">[1]BASE!#REF!</definedName>
    <definedName name="__________________________TPE1763">[1]BASE!#REF!</definedName>
    <definedName name="__________________________TPE1790">[1]BASE!#REF!</definedName>
    <definedName name="__________________________TPF12">[8]BASE!$D$217</definedName>
    <definedName name="__________________________TUZ22">'[3]BASE ORIGINAL'!#REF!</definedName>
    <definedName name="__________________________TUZ36">'[3]BASE ORIGINAL'!#REF!</definedName>
    <definedName name="__________________________TZ2110">[8]BASE!$D$79</definedName>
    <definedName name="__________________________TZ214">[1]BASE!$D$86</definedName>
    <definedName name="__________________________TZ216">[1]BASE!$D$87</definedName>
    <definedName name="__________________________TZ268">[5]BASE!$D$85</definedName>
    <definedName name="__________________________TZ323">'[3]BASE ORIGINAL'!#REF!</definedName>
    <definedName name="__________________________TZ324">'[3]BASE ORIGINAL'!#REF!</definedName>
    <definedName name="__________________________TZ32510">[1]BASE!$D$106</definedName>
    <definedName name="_________________________ADH12">[8]BASE!$D$218</definedName>
    <definedName name="_________________________ADM12">[8]BASE!$D$219</definedName>
    <definedName name="_________________________ADM4">[8]BASE!$D$120</definedName>
    <definedName name="_________________________AIU1">#REF!</definedName>
    <definedName name="_________________________AIU2">[4]BASE!$C$5</definedName>
    <definedName name="_________________________BAZ10">[8]BASE!$D$270</definedName>
    <definedName name="_________________________BLO20">[8]BASE!$D$56</definedName>
    <definedName name="_________________________CAN28">[8]BASE!$D$315</definedName>
    <definedName name="_________________________Cod1">#REF!</definedName>
    <definedName name="_________________________CUA44">[8]BASE!$D$253</definedName>
    <definedName name="_________________________LA124">[8]BASE!$D$64</definedName>
    <definedName name="_________________________LAC18">[5]BASE!$D$252</definedName>
    <definedName name="_________________________Po2">[6]REAJUSTESACTA1PROVI!#REF!</definedName>
    <definedName name="_________________________R84JH">[5]BASE!$D$172</definedName>
    <definedName name="_________________________REP43">[7]BASE!$D$136</definedName>
    <definedName name="_________________________TEP44">[1]BASE!$D$116</definedName>
    <definedName name="_________________________TPE1132">[1]BASE!#REF!</definedName>
    <definedName name="_________________________TPE12">#REF!</definedName>
    <definedName name="_________________________TPE1331">[1]BASE!#REF!</definedName>
    <definedName name="_________________________TPE1702">[1]BASE!#REF!</definedName>
    <definedName name="_________________________TPE1703">[1]BASE!#REF!</definedName>
    <definedName name="_________________________TPE1704">[1]BASE!#REF!</definedName>
    <definedName name="_________________________TPE1706">[1]BASE!#REF!</definedName>
    <definedName name="_________________________TPE1708">[1]BASE!#REF!</definedName>
    <definedName name="_________________________TPE1710">[1]BASE!#REF!</definedName>
    <definedName name="_________________________TPE1735">[1]BASE!#REF!</definedName>
    <definedName name="_________________________TPE1763">[1]BASE!#REF!</definedName>
    <definedName name="_________________________TPE1790">[1]BASE!#REF!</definedName>
    <definedName name="_________________________TPF12">[8]BASE!$D$217</definedName>
    <definedName name="_________________________TUZ22">'[3]BASE ORIGINAL'!#REF!</definedName>
    <definedName name="_________________________TUZ36">'[3]BASE ORIGINAL'!#REF!</definedName>
    <definedName name="_________________________TZ2110">[8]BASE!$D$79</definedName>
    <definedName name="_________________________TZ214">[1]BASE!$D$86</definedName>
    <definedName name="_________________________TZ216">[1]BASE!$D$87</definedName>
    <definedName name="_________________________TZ268">[5]BASE!$D$85</definedName>
    <definedName name="_________________________TZ323">'[3]BASE ORIGINAL'!#REF!</definedName>
    <definedName name="_________________________TZ324">'[3]BASE ORIGINAL'!#REF!</definedName>
    <definedName name="_________________________TZ32510">[1]BASE!$D$106</definedName>
    <definedName name="________________________ADH12">[8]BASE!$D$218</definedName>
    <definedName name="________________________ADM12">[8]BASE!$D$219</definedName>
    <definedName name="________________________ADM4">[8]BASE!$D$120</definedName>
    <definedName name="________________________AIU1">#REF!</definedName>
    <definedName name="________________________AIU2">[4]BASE!$C$5</definedName>
    <definedName name="________________________BAZ10">[8]BASE!$D$270</definedName>
    <definedName name="________________________BLO20">[8]BASE!$D$56</definedName>
    <definedName name="________________________CAN28">[8]BASE!$D$315</definedName>
    <definedName name="________________________Cod1">#REF!</definedName>
    <definedName name="________________________CUA44">[8]BASE!$D$253</definedName>
    <definedName name="________________________LA124">[8]BASE!$D$64</definedName>
    <definedName name="________________________LAC18">[5]BASE!$D$252</definedName>
    <definedName name="________________________Po2">[6]REAJUSTESACTA1PROVI!#REF!</definedName>
    <definedName name="________________________R84JH">[5]BASE!$D$172</definedName>
    <definedName name="________________________REP43">[7]BASE!$D$136</definedName>
    <definedName name="________________________TEP44">[1]BASE!$D$116</definedName>
    <definedName name="________________________TPE1132">[1]BASE!#REF!</definedName>
    <definedName name="________________________TPE12">#REF!</definedName>
    <definedName name="________________________TPE1331">[1]BASE!#REF!</definedName>
    <definedName name="________________________TPE1702">[1]BASE!#REF!</definedName>
    <definedName name="________________________TPE1703">[1]BASE!#REF!</definedName>
    <definedName name="________________________TPE1704">[1]BASE!#REF!</definedName>
    <definedName name="________________________TPE1706">[1]BASE!#REF!</definedName>
    <definedName name="________________________TPE1708">[1]BASE!#REF!</definedName>
    <definedName name="________________________TPE1710">[1]BASE!#REF!</definedName>
    <definedName name="________________________TPE1735">[1]BASE!#REF!</definedName>
    <definedName name="________________________TPE1763">[1]BASE!#REF!</definedName>
    <definedName name="________________________TPE1790">[1]BASE!#REF!</definedName>
    <definedName name="________________________TPF12">[8]BASE!$D$217</definedName>
    <definedName name="________________________TUZ22">'[3]BASE ORIGINAL'!#REF!</definedName>
    <definedName name="________________________TUZ36">'[3]BASE ORIGINAL'!#REF!</definedName>
    <definedName name="________________________TZ2110">[8]BASE!$D$79</definedName>
    <definedName name="________________________TZ214">[1]BASE!$D$86</definedName>
    <definedName name="________________________TZ216">[1]BASE!$D$87</definedName>
    <definedName name="________________________TZ268">[5]BASE!$D$85</definedName>
    <definedName name="________________________TZ323">'[3]BASE ORIGINAL'!#REF!</definedName>
    <definedName name="________________________TZ324">'[3]BASE ORIGINAL'!#REF!</definedName>
    <definedName name="________________________TZ32510">[1]BASE!$D$106</definedName>
    <definedName name="_______________________ADH12">[8]BASE!$D$218</definedName>
    <definedName name="_______________________ADM12">[8]BASE!$D$219</definedName>
    <definedName name="_______________________ADM4">[8]BASE!$D$120</definedName>
    <definedName name="_______________________AIU1">#REF!</definedName>
    <definedName name="_______________________AIU2">[4]BASE!$C$5</definedName>
    <definedName name="_______________________BAZ10">[8]BASE!$D$270</definedName>
    <definedName name="_______________________BLO20">[8]BASE!$D$56</definedName>
    <definedName name="_______________________CAN28">[8]BASE!$D$315</definedName>
    <definedName name="_______________________Cod1">#REF!</definedName>
    <definedName name="_______________________CUA44">[8]BASE!$D$253</definedName>
    <definedName name="_______________________LA124">[8]BASE!$D$64</definedName>
    <definedName name="_______________________LAC18">[5]BASE!$D$252</definedName>
    <definedName name="_______________________Po2">[6]REAJUSTESACTA1PROVI!#REF!</definedName>
    <definedName name="_______________________R84JH">[5]BASE!$D$172</definedName>
    <definedName name="_______________________REP43">[7]BASE!$D$136</definedName>
    <definedName name="_______________________TEP44">[1]BASE!$D$116</definedName>
    <definedName name="_______________________TPE1132">[1]BASE!#REF!</definedName>
    <definedName name="_______________________TPE12">#REF!</definedName>
    <definedName name="_______________________TPE1331">[1]BASE!#REF!</definedName>
    <definedName name="_______________________TPE1702">[1]BASE!#REF!</definedName>
    <definedName name="_______________________TPE1703">[1]BASE!#REF!</definedName>
    <definedName name="_______________________TPE1704">[1]BASE!#REF!</definedName>
    <definedName name="_______________________TPE1706">[1]BASE!#REF!</definedName>
    <definedName name="_______________________TPE1708">[1]BASE!#REF!</definedName>
    <definedName name="_______________________TPE1710">[1]BASE!#REF!</definedName>
    <definedName name="_______________________TPE1735">[1]BASE!#REF!</definedName>
    <definedName name="_______________________TPE1763">[1]BASE!#REF!</definedName>
    <definedName name="_______________________TPE1790">[1]BASE!#REF!</definedName>
    <definedName name="_______________________TPF12">[8]BASE!$D$217</definedName>
    <definedName name="_______________________TUZ22">'[3]BASE ORIGINAL'!#REF!</definedName>
    <definedName name="_______________________TUZ36">'[3]BASE ORIGINAL'!#REF!</definedName>
    <definedName name="_______________________TZ2110">[8]BASE!$D$79</definedName>
    <definedName name="_______________________TZ214">[1]BASE!$D$86</definedName>
    <definedName name="_______________________TZ216">[1]BASE!$D$87</definedName>
    <definedName name="_______________________TZ268">[5]BASE!$D$85</definedName>
    <definedName name="_______________________TZ323">'[3]BASE ORIGINAL'!#REF!</definedName>
    <definedName name="_______________________TZ324">'[3]BASE ORIGINAL'!#REF!</definedName>
    <definedName name="_______________________TZ32510">[1]BASE!$D$106</definedName>
    <definedName name="______________________ADH12">[8]BASE!$D$218</definedName>
    <definedName name="______________________ADM12">[8]BASE!$D$219</definedName>
    <definedName name="______________________ADM4">[8]BASE!$D$120</definedName>
    <definedName name="______________________AIU1">#REF!</definedName>
    <definedName name="______________________AIU2">[4]BASE!$C$5</definedName>
    <definedName name="______________________AIU3">[11]BASE!$C$3</definedName>
    <definedName name="______________________BAZ10">[8]BASE!$D$270</definedName>
    <definedName name="______________________BLO20">[8]BASE!$D$56</definedName>
    <definedName name="______________________CAN28">[8]BASE!$D$315</definedName>
    <definedName name="______________________Cod1">#REF!</definedName>
    <definedName name="______________________CUA44">[8]BASE!$D$253</definedName>
    <definedName name="______________________LA124">[8]BASE!$D$64</definedName>
    <definedName name="______________________LAC18">[5]BASE!$D$252</definedName>
    <definedName name="______________________Po2">[6]REAJUSTESACTA1PROVI!#REF!</definedName>
    <definedName name="______________________R84JH">[5]BASE!$D$172</definedName>
    <definedName name="______________________REP43">[7]BASE!$D$136</definedName>
    <definedName name="______________________TEP44">[1]BASE!$D$116</definedName>
    <definedName name="______________________TPE1132">[1]BASE!#REF!</definedName>
    <definedName name="______________________TPE12">#REF!</definedName>
    <definedName name="______________________TPE1331">[1]BASE!#REF!</definedName>
    <definedName name="______________________TPE1702">[1]BASE!#REF!</definedName>
    <definedName name="______________________TPE1703">[1]BASE!#REF!</definedName>
    <definedName name="______________________TPE1704">[1]BASE!#REF!</definedName>
    <definedName name="______________________TPE1706">[1]BASE!#REF!</definedName>
    <definedName name="______________________TPE1708">[1]BASE!#REF!</definedName>
    <definedName name="______________________TPE1710">[1]BASE!#REF!</definedName>
    <definedName name="______________________TPE1735">[1]BASE!#REF!</definedName>
    <definedName name="______________________TPE1763">[1]BASE!#REF!</definedName>
    <definedName name="______________________TPE1790">[1]BASE!#REF!</definedName>
    <definedName name="______________________TPF12">[8]BASE!$D$217</definedName>
    <definedName name="______________________TUZ22">'[3]BASE ORIGINAL'!#REF!</definedName>
    <definedName name="______________________TUZ36">'[3]BASE ORIGINAL'!#REF!</definedName>
    <definedName name="______________________TZ2110">[8]BASE!$D$79</definedName>
    <definedName name="______________________TZ214">[1]BASE!$D$86</definedName>
    <definedName name="______________________TZ216">[1]BASE!$D$87</definedName>
    <definedName name="______________________TZ268">[5]BASE!$D$85</definedName>
    <definedName name="______________________TZ323">'[3]BASE ORIGINAL'!#REF!</definedName>
    <definedName name="______________________TZ324">'[3]BASE ORIGINAL'!#REF!</definedName>
    <definedName name="______________________TZ32510">[1]BASE!$D$106</definedName>
    <definedName name="_____________________ADH12">[8]BASE!$D$218</definedName>
    <definedName name="_____________________ADM12">[8]BASE!$D$219</definedName>
    <definedName name="_____________________ADM4">[8]BASE!$D$120</definedName>
    <definedName name="_____________________AIU1">#REF!</definedName>
    <definedName name="_____________________AIU2">[4]BASE!$C$5</definedName>
    <definedName name="_____________________AIU3">[12]BASE!$C$3</definedName>
    <definedName name="_____________________BAZ10">[8]BASE!$D$270</definedName>
    <definedName name="_____________________BLO20">[8]BASE!$D$56</definedName>
    <definedName name="_____________________CAN28">[8]BASE!$D$315</definedName>
    <definedName name="_____________________Cod1">#REF!</definedName>
    <definedName name="_____________________CUA44">[8]BASE!$D$253</definedName>
    <definedName name="_____________________LA124">[8]BASE!$D$64</definedName>
    <definedName name="_____________________LAC18">[5]BASE!$D$252</definedName>
    <definedName name="_____________________Po2">[6]REAJUSTESACTA1PROVI!#REF!</definedName>
    <definedName name="_____________________R84JH">[5]BASE!$D$172</definedName>
    <definedName name="_____________________REP43">[7]BASE!$D$136</definedName>
    <definedName name="_____________________TEP44">[1]BASE!$D$116</definedName>
    <definedName name="_____________________TPE1132">[1]BASE!#REF!</definedName>
    <definedName name="_____________________TPE12">#REF!</definedName>
    <definedName name="_____________________TPE1331">[1]BASE!#REF!</definedName>
    <definedName name="_____________________TPE1702">[1]BASE!#REF!</definedName>
    <definedName name="_____________________TPE1703">[1]BASE!#REF!</definedName>
    <definedName name="_____________________TPE1704">[1]BASE!#REF!</definedName>
    <definedName name="_____________________TPE1706">[1]BASE!#REF!</definedName>
    <definedName name="_____________________TPE1708">[1]BASE!#REF!</definedName>
    <definedName name="_____________________TPE1710">[1]BASE!#REF!</definedName>
    <definedName name="_____________________TPE1735">[1]BASE!#REF!</definedName>
    <definedName name="_____________________TPE1763">[1]BASE!#REF!</definedName>
    <definedName name="_____________________TPE1790">[1]BASE!#REF!</definedName>
    <definedName name="_____________________TPF12">[8]BASE!$D$217</definedName>
    <definedName name="_____________________TUZ22">'[3]BASE ORIGINAL'!#REF!</definedName>
    <definedName name="_____________________TUZ36">'[3]BASE ORIGINAL'!#REF!</definedName>
    <definedName name="_____________________TZ2110">[8]BASE!$D$79</definedName>
    <definedName name="_____________________TZ214">[1]BASE!$D$86</definedName>
    <definedName name="_____________________TZ216">[1]BASE!$D$87</definedName>
    <definedName name="_____________________TZ268">[5]BASE!$D$85</definedName>
    <definedName name="_____________________TZ323">'[3]BASE ORIGINAL'!#REF!</definedName>
    <definedName name="_____________________TZ324">'[3]BASE ORIGINAL'!#REF!</definedName>
    <definedName name="_____________________TZ32510">[1]BASE!$D$106</definedName>
    <definedName name="____________________ADH12">[8]BASE!$D$218</definedName>
    <definedName name="____________________ADM12">[8]BASE!$D$219</definedName>
    <definedName name="____________________ADM4">[8]BASE!$D$120</definedName>
    <definedName name="____________________AIU1">#REF!</definedName>
    <definedName name="____________________AIU2">[4]BASE!$C$5</definedName>
    <definedName name="____________________AIU3">[12]BASE!$C$3</definedName>
    <definedName name="____________________BAZ10">[8]BASE!$D$270</definedName>
    <definedName name="____________________BLO20">[8]BASE!$D$56</definedName>
    <definedName name="____________________CAN28">[8]BASE!$D$315</definedName>
    <definedName name="____________________Cod1">#REF!</definedName>
    <definedName name="____________________CUA44">[8]BASE!$D$253</definedName>
    <definedName name="____________________LA124">[8]BASE!$D$64</definedName>
    <definedName name="____________________LAC18">[5]BASE!$D$252</definedName>
    <definedName name="____________________Po2">[6]REAJUSTESACTA1PROVI!#REF!</definedName>
    <definedName name="____________________R84JH">[5]BASE!$D$172</definedName>
    <definedName name="____________________REP43">[7]BASE!$D$136</definedName>
    <definedName name="____________________TEP44">[1]BASE!$D$116</definedName>
    <definedName name="____________________TPE1132">[1]BASE!#REF!</definedName>
    <definedName name="____________________TPE12">#REF!</definedName>
    <definedName name="____________________TPE1331">[1]BASE!#REF!</definedName>
    <definedName name="____________________TPE1702">[1]BASE!#REF!</definedName>
    <definedName name="____________________TPE1703">[1]BASE!#REF!</definedName>
    <definedName name="____________________TPE1704">[1]BASE!#REF!</definedName>
    <definedName name="____________________TPE1706">[1]BASE!#REF!</definedName>
    <definedName name="____________________TPE1708">[1]BASE!#REF!</definedName>
    <definedName name="____________________TPE1710">[1]BASE!#REF!</definedName>
    <definedName name="____________________TPE1735">[1]BASE!#REF!</definedName>
    <definedName name="____________________TPE1763">[1]BASE!#REF!</definedName>
    <definedName name="____________________TPE1790">[1]BASE!#REF!</definedName>
    <definedName name="____________________TPF12">[8]BASE!$D$217</definedName>
    <definedName name="____________________TUZ22">'[3]BASE ORIGINAL'!#REF!</definedName>
    <definedName name="____________________TUZ36">'[3]BASE ORIGINAL'!#REF!</definedName>
    <definedName name="____________________TZ2110">[8]BASE!$D$79</definedName>
    <definedName name="____________________TZ214">[1]BASE!$D$86</definedName>
    <definedName name="____________________TZ216">[1]BASE!$D$87</definedName>
    <definedName name="____________________TZ268">[5]BASE!$D$85</definedName>
    <definedName name="____________________TZ323">'[3]BASE ORIGINAL'!#REF!</definedName>
    <definedName name="____________________TZ324">'[3]BASE ORIGINAL'!#REF!</definedName>
    <definedName name="____________________TZ32510">[1]BASE!$D$106</definedName>
    <definedName name="___________________ADH12">[8]BASE!$D$218</definedName>
    <definedName name="___________________ADM12">[8]BASE!$D$219</definedName>
    <definedName name="___________________ADM4">[8]BASE!$D$120</definedName>
    <definedName name="___________________AIU1">#REF!</definedName>
    <definedName name="___________________AIU2">[4]BASE!$C$5</definedName>
    <definedName name="___________________AIU3">[12]BASE!$C$3</definedName>
    <definedName name="___________________BAZ10">[8]BASE!$D$270</definedName>
    <definedName name="___________________BLO20">[8]BASE!$D$56</definedName>
    <definedName name="___________________CAN28">[8]BASE!$D$315</definedName>
    <definedName name="___________________Cod1">#REF!</definedName>
    <definedName name="___________________CUA44">[8]BASE!$D$253</definedName>
    <definedName name="___________________LA124">[8]BASE!$D$64</definedName>
    <definedName name="___________________LAC18">[5]BASE!$D$252</definedName>
    <definedName name="___________________Po2">[6]REAJUSTESACTA1PROVI!#REF!</definedName>
    <definedName name="___________________R84JH">[5]BASE!$D$172</definedName>
    <definedName name="___________________REP43">[7]BASE!$D$136</definedName>
    <definedName name="___________________TEP44">[1]BASE!$D$116</definedName>
    <definedName name="___________________TPE1132">[1]BASE!#REF!</definedName>
    <definedName name="___________________TPE12">#REF!</definedName>
    <definedName name="___________________TPE1331">[1]BASE!#REF!</definedName>
    <definedName name="___________________TPE1702">[1]BASE!#REF!</definedName>
    <definedName name="___________________TPE1703">[1]BASE!#REF!</definedName>
    <definedName name="___________________TPE1704">[1]BASE!#REF!</definedName>
    <definedName name="___________________TPE1706">[1]BASE!#REF!</definedName>
    <definedName name="___________________TPE1708">[1]BASE!#REF!</definedName>
    <definedName name="___________________TPE1710">[1]BASE!#REF!</definedName>
    <definedName name="___________________TPE1735">[1]BASE!#REF!</definedName>
    <definedName name="___________________TPE1763">[1]BASE!#REF!</definedName>
    <definedName name="___________________TPE1790">[1]BASE!#REF!</definedName>
    <definedName name="___________________TPF12">[8]BASE!$D$217</definedName>
    <definedName name="___________________TUZ22">'[3]BASE ORIGINAL'!#REF!</definedName>
    <definedName name="___________________TUZ36">'[3]BASE ORIGINAL'!#REF!</definedName>
    <definedName name="___________________TZ2110">[8]BASE!$D$79</definedName>
    <definedName name="___________________TZ214">[1]BASE!$D$86</definedName>
    <definedName name="___________________TZ216">[1]BASE!$D$87</definedName>
    <definedName name="___________________TZ268">[5]BASE!$D$85</definedName>
    <definedName name="___________________TZ323">'[3]BASE ORIGINAL'!#REF!</definedName>
    <definedName name="___________________TZ324">'[3]BASE ORIGINAL'!#REF!</definedName>
    <definedName name="___________________TZ32510">[1]BASE!$D$106</definedName>
    <definedName name="__________________ADH12">[8]BASE!$D$218</definedName>
    <definedName name="__________________ADM12">[8]BASE!$D$219</definedName>
    <definedName name="__________________ADM4">[8]BASE!$D$120</definedName>
    <definedName name="__________________AIU1">#REF!</definedName>
    <definedName name="__________________AIU2">[4]BASE!$C$5</definedName>
    <definedName name="__________________AIU3">[12]BASE!$C$3</definedName>
    <definedName name="__________________BAZ10">[8]BASE!$D$270</definedName>
    <definedName name="__________________BLO20">[8]BASE!$D$56</definedName>
    <definedName name="__________________CAN28">[8]BASE!$D$315</definedName>
    <definedName name="__________________Cod1">#REF!</definedName>
    <definedName name="__________________CUA44">[8]BASE!$D$253</definedName>
    <definedName name="__________________LA124">[8]BASE!$D$64</definedName>
    <definedName name="__________________LAC18">[5]BASE!$D$252</definedName>
    <definedName name="__________________Po2">[6]REAJUSTESACTA1PROVI!#REF!</definedName>
    <definedName name="__________________R84JH">[5]BASE!$D$172</definedName>
    <definedName name="__________________REP43">[7]BASE!$D$136</definedName>
    <definedName name="__________________TEP44">[1]BASE!$D$116</definedName>
    <definedName name="__________________TPE1132">[1]BASE!#REF!</definedName>
    <definedName name="__________________TPE12">#REF!</definedName>
    <definedName name="__________________TPE1331">[1]BASE!#REF!</definedName>
    <definedName name="__________________TPE1702">[1]BASE!#REF!</definedName>
    <definedName name="__________________TPE1703">[1]BASE!#REF!</definedName>
    <definedName name="__________________TPE1704">[1]BASE!#REF!</definedName>
    <definedName name="__________________TPE1706">[1]BASE!#REF!</definedName>
    <definedName name="__________________TPE1708">[1]BASE!#REF!</definedName>
    <definedName name="__________________TPE1710">[1]BASE!#REF!</definedName>
    <definedName name="__________________TPE1735">[1]BASE!#REF!</definedName>
    <definedName name="__________________TPE1763">[1]BASE!#REF!</definedName>
    <definedName name="__________________TPE1790">[1]BASE!#REF!</definedName>
    <definedName name="__________________TPF12">[8]BASE!$D$217</definedName>
    <definedName name="__________________TUZ22">'[3]BASE ORIGINAL'!#REF!</definedName>
    <definedName name="__________________TUZ36">'[3]BASE ORIGINAL'!#REF!</definedName>
    <definedName name="__________________TZ2110">[8]BASE!$D$79</definedName>
    <definedName name="__________________TZ214">[1]BASE!$D$86</definedName>
    <definedName name="__________________TZ216">[1]BASE!$D$87</definedName>
    <definedName name="__________________TZ268">[5]BASE!$D$85</definedName>
    <definedName name="__________________TZ323">'[3]BASE ORIGINAL'!#REF!</definedName>
    <definedName name="__________________TZ324">'[3]BASE ORIGINAL'!#REF!</definedName>
    <definedName name="__________________TZ32510">[1]BASE!$D$106</definedName>
    <definedName name="_________________ADH12">[8]BASE!$D$218</definedName>
    <definedName name="_________________ADM12">[8]BASE!$D$219</definedName>
    <definedName name="_________________ADM4">[8]BASE!$D$120</definedName>
    <definedName name="_________________AIU1">#REF!</definedName>
    <definedName name="_________________AIU2">[4]BASE!$C$5</definedName>
    <definedName name="_________________AIU3">[12]BASE!$C$3</definedName>
    <definedName name="_________________BAZ10">[8]BASE!$D$270</definedName>
    <definedName name="_________________BLO20">[8]BASE!$D$56</definedName>
    <definedName name="_________________CAN28">[8]BASE!$D$315</definedName>
    <definedName name="_________________Cod1">#REF!</definedName>
    <definedName name="_________________CUA44">[8]BASE!$D$253</definedName>
    <definedName name="_________________LA124">[8]BASE!$D$64</definedName>
    <definedName name="_________________LAC18">[5]BASE!$D$252</definedName>
    <definedName name="_________________Po2">[6]REAJUSTESACTA1PROVI!#REF!</definedName>
    <definedName name="_________________R84JH">[5]BASE!$D$172</definedName>
    <definedName name="_________________REP43">[7]BASE!$D$136</definedName>
    <definedName name="_________________TEP44">[1]BASE!$D$116</definedName>
    <definedName name="_________________TPE1132">[1]BASE!#REF!</definedName>
    <definedName name="_________________TPE12">#REF!</definedName>
    <definedName name="_________________TPE1331">[1]BASE!#REF!</definedName>
    <definedName name="_________________TPE1702">[1]BASE!#REF!</definedName>
    <definedName name="_________________TPE1703">[1]BASE!#REF!</definedName>
    <definedName name="_________________TPE1704">[1]BASE!#REF!</definedName>
    <definedName name="_________________TPE1706">[1]BASE!#REF!</definedName>
    <definedName name="_________________TPE1708">[1]BASE!#REF!</definedName>
    <definedName name="_________________TPE1710">[1]BASE!#REF!</definedName>
    <definedName name="_________________TPE1735">[1]BASE!#REF!</definedName>
    <definedName name="_________________TPE1763">[1]BASE!#REF!</definedName>
    <definedName name="_________________TPE1790">[1]BASE!#REF!</definedName>
    <definedName name="_________________TPF12">[8]BASE!$D$217</definedName>
    <definedName name="_________________TUZ22">'[3]BASE ORIGINAL'!#REF!</definedName>
    <definedName name="_________________TUZ36">'[3]BASE ORIGINAL'!#REF!</definedName>
    <definedName name="_________________TZ2110">[8]BASE!$D$79</definedName>
    <definedName name="_________________TZ214">[1]BASE!$D$86</definedName>
    <definedName name="_________________TZ216">[1]BASE!$D$87</definedName>
    <definedName name="_________________TZ268">[5]BASE!$D$85</definedName>
    <definedName name="_________________TZ323">'[3]BASE ORIGINAL'!#REF!</definedName>
    <definedName name="_________________TZ324">'[3]BASE ORIGINAL'!#REF!</definedName>
    <definedName name="_________________TZ32510">[1]BASE!$D$106</definedName>
    <definedName name="________________ADH12">[8]BASE!$D$218</definedName>
    <definedName name="________________ADM12">[8]BASE!$D$219</definedName>
    <definedName name="________________ADM4">[8]BASE!$D$120</definedName>
    <definedName name="________________AIU1">#REF!</definedName>
    <definedName name="________________AIU2">[4]BASE!$C$5</definedName>
    <definedName name="________________AIU3">[12]BASE!$C$3</definedName>
    <definedName name="________________BAZ10">[8]BASE!$D$270</definedName>
    <definedName name="________________BLO20">[8]BASE!$D$56</definedName>
    <definedName name="________________CAN28">[8]BASE!$D$315</definedName>
    <definedName name="________________Cod1">#REF!</definedName>
    <definedName name="________________CUA44">[8]BASE!$D$253</definedName>
    <definedName name="________________LA124">[8]BASE!$D$64</definedName>
    <definedName name="________________LAC18">[5]BASE!$D$252</definedName>
    <definedName name="________________Po2">[6]REAJUSTESACTA1PROVI!#REF!</definedName>
    <definedName name="________________R84JH">[5]BASE!$D$172</definedName>
    <definedName name="________________REP43">[7]BASE!$D$136</definedName>
    <definedName name="________________TEP44">[1]BASE!$D$116</definedName>
    <definedName name="________________TPE1132">[1]BASE!#REF!</definedName>
    <definedName name="________________TPE12">#REF!</definedName>
    <definedName name="________________TPE1331">[1]BASE!#REF!</definedName>
    <definedName name="________________TPE1702">[1]BASE!#REF!</definedName>
    <definedName name="________________TPE1703">[1]BASE!#REF!</definedName>
    <definedName name="________________TPE1704">[1]BASE!#REF!</definedName>
    <definedName name="________________TPE1706">[1]BASE!#REF!</definedName>
    <definedName name="________________TPE1708">[1]BASE!#REF!</definedName>
    <definedName name="________________TPE1710">[1]BASE!#REF!</definedName>
    <definedName name="________________TPE1735">[1]BASE!#REF!</definedName>
    <definedName name="________________TPE1763">[1]BASE!#REF!</definedName>
    <definedName name="________________TPE1790">[1]BASE!#REF!</definedName>
    <definedName name="________________TPF12">[8]BASE!$D$217</definedName>
    <definedName name="________________TUZ22">'[3]BASE ORIGINAL'!#REF!</definedName>
    <definedName name="________________TUZ36">'[3]BASE ORIGINAL'!#REF!</definedName>
    <definedName name="________________TZ2110">[8]BASE!$D$79</definedName>
    <definedName name="________________TZ214">[1]BASE!$D$86</definedName>
    <definedName name="________________TZ216">[1]BASE!$D$87</definedName>
    <definedName name="________________TZ268">[5]BASE!$D$85</definedName>
    <definedName name="________________TZ323">'[3]BASE ORIGINAL'!#REF!</definedName>
    <definedName name="________________TZ324">'[3]BASE ORIGINAL'!#REF!</definedName>
    <definedName name="________________TZ32510">[1]BASE!$D$106</definedName>
    <definedName name="_______________ADH12">[8]BASE!$D$218</definedName>
    <definedName name="_______________ADM12">[8]BASE!$D$219</definedName>
    <definedName name="_______________ADM4">[8]BASE!$D$120</definedName>
    <definedName name="_______________AIU1">#REF!</definedName>
    <definedName name="_______________AIU2">[4]BASE!$C$5</definedName>
    <definedName name="_______________AIU3">[12]BASE!$C$3</definedName>
    <definedName name="_______________BAZ10">[8]BASE!$D$270</definedName>
    <definedName name="_______________BLO20">[8]BASE!$D$56</definedName>
    <definedName name="_______________CAN28">[8]BASE!$D$315</definedName>
    <definedName name="_______________Cod1">#REF!</definedName>
    <definedName name="_______________CUA44">[8]BASE!$D$253</definedName>
    <definedName name="_______________LA124">[8]BASE!$D$64</definedName>
    <definedName name="_______________LAC18">[5]BASE!$D$252</definedName>
    <definedName name="_______________Po2">[6]REAJUSTESACTA1PROVI!#REF!</definedName>
    <definedName name="_______________R84JH">[5]BASE!$D$172</definedName>
    <definedName name="_______________REP43">[7]BASE!$D$136</definedName>
    <definedName name="_______________TEP44">[1]BASE!$D$116</definedName>
    <definedName name="_______________TPE1132">[1]BASE!#REF!</definedName>
    <definedName name="_______________TPE12">#REF!</definedName>
    <definedName name="_______________TPE1331">[1]BASE!#REF!</definedName>
    <definedName name="_______________TPE1702">[1]BASE!#REF!</definedName>
    <definedName name="_______________TPE1703">[1]BASE!#REF!</definedName>
    <definedName name="_______________TPE1704">[1]BASE!#REF!</definedName>
    <definedName name="_______________TPE1706">[1]BASE!#REF!</definedName>
    <definedName name="_______________TPE1708">[1]BASE!#REF!</definedName>
    <definedName name="_______________TPE1710">[1]BASE!#REF!</definedName>
    <definedName name="_______________TPE1735">[1]BASE!#REF!</definedName>
    <definedName name="_______________TPE1763">[1]BASE!#REF!</definedName>
    <definedName name="_______________TPE1790">[1]BASE!#REF!</definedName>
    <definedName name="_______________TPF12">[8]BASE!$D$217</definedName>
    <definedName name="_______________TUZ22">'[3]BASE ORIGINAL'!#REF!</definedName>
    <definedName name="_______________TUZ36">'[3]BASE ORIGINAL'!#REF!</definedName>
    <definedName name="_______________TZ2110">[8]BASE!$D$79</definedName>
    <definedName name="_______________TZ214">[1]BASE!$D$86</definedName>
    <definedName name="_______________TZ216">[1]BASE!$D$87</definedName>
    <definedName name="_______________TZ268">[5]BASE!$D$85</definedName>
    <definedName name="_______________TZ323">'[3]BASE ORIGINAL'!#REF!</definedName>
    <definedName name="_______________TZ324">'[3]BASE ORIGINAL'!#REF!</definedName>
    <definedName name="_______________TZ32510">[1]BASE!$D$106</definedName>
    <definedName name="______________ADH12">[8]BASE!$D$218</definedName>
    <definedName name="______________ADM12">[8]BASE!$D$219</definedName>
    <definedName name="______________ADM4">[8]BASE!$D$120</definedName>
    <definedName name="______________AIU1">#REF!</definedName>
    <definedName name="______________AIU2">[4]BASE!$C$5</definedName>
    <definedName name="______________AIU3">[12]BASE!$C$3</definedName>
    <definedName name="______________BAZ10">[8]BASE!$D$270</definedName>
    <definedName name="______________BLO20">[8]BASE!$D$56</definedName>
    <definedName name="______________CAN28">[8]BASE!$D$315</definedName>
    <definedName name="______________Cod1">#REF!</definedName>
    <definedName name="______________CUA44">[8]BASE!$D$253</definedName>
    <definedName name="______________LA124">[8]BASE!$D$64</definedName>
    <definedName name="______________LAC18">[5]BASE!$D$252</definedName>
    <definedName name="______________Po2">[6]REAJUSTESACTA1PROVI!#REF!</definedName>
    <definedName name="______________R84JH">[5]BASE!$D$172</definedName>
    <definedName name="______________REP43">[7]BASE!$D$136</definedName>
    <definedName name="______________TEP44">[1]BASE!$D$116</definedName>
    <definedName name="______________TPE1132">[1]BASE!#REF!</definedName>
    <definedName name="______________TPE12">#REF!</definedName>
    <definedName name="______________TPE1331">[1]BASE!#REF!</definedName>
    <definedName name="______________TPE1702">[1]BASE!#REF!</definedName>
    <definedName name="______________TPE1703">[1]BASE!#REF!</definedName>
    <definedName name="______________TPE1704">[1]BASE!#REF!</definedName>
    <definedName name="______________TPE1706">[1]BASE!#REF!</definedName>
    <definedName name="______________TPE1708">[1]BASE!#REF!</definedName>
    <definedName name="______________TPE1710">[1]BASE!#REF!</definedName>
    <definedName name="______________TPE1735">[1]BASE!#REF!</definedName>
    <definedName name="______________TPE1763">[1]BASE!#REF!</definedName>
    <definedName name="______________TPE1790">[1]BASE!#REF!</definedName>
    <definedName name="______________TPF12">[8]BASE!$D$217</definedName>
    <definedName name="______________TUZ22">'[3]BASE ORIGINAL'!#REF!</definedName>
    <definedName name="______________TUZ36">'[3]BASE ORIGINAL'!#REF!</definedName>
    <definedName name="______________TZ2110">[8]BASE!$D$79</definedName>
    <definedName name="______________TZ214">[1]BASE!$D$86</definedName>
    <definedName name="______________TZ216">[1]BASE!$D$87</definedName>
    <definedName name="______________TZ268">[5]BASE!$D$85</definedName>
    <definedName name="______________TZ323">'[3]BASE ORIGINAL'!#REF!</definedName>
    <definedName name="______________TZ324">'[3]BASE ORIGINAL'!#REF!</definedName>
    <definedName name="______________TZ32510">[1]BASE!$D$106</definedName>
    <definedName name="_____________ADH12">[8]BASE!$D$218</definedName>
    <definedName name="_____________ADM12">[8]BASE!$D$219</definedName>
    <definedName name="_____________ADM4">[8]BASE!$D$120</definedName>
    <definedName name="_____________AIU1">#REF!</definedName>
    <definedName name="_____________AIU2">[4]BASE!$C$5</definedName>
    <definedName name="_____________AIU3">[13]BASE!$C$3</definedName>
    <definedName name="_____________BAZ10">[8]BASE!$D$270</definedName>
    <definedName name="_____________BLO20">[8]BASE!$D$56</definedName>
    <definedName name="_____________CAN28">[8]BASE!$D$315</definedName>
    <definedName name="_____________Cod1">#REF!</definedName>
    <definedName name="_____________CUA44">[8]BASE!$D$253</definedName>
    <definedName name="_____________LA124">[8]BASE!$D$64</definedName>
    <definedName name="_____________LAC18">[5]BASE!$D$252</definedName>
    <definedName name="_____________Po2">[6]REAJUSTESACTA1PROVI!#REF!</definedName>
    <definedName name="_____________R84JH">[5]BASE!$D$172</definedName>
    <definedName name="_____________REP43">[7]BASE!$D$136</definedName>
    <definedName name="_____________TEP44">[1]BASE!$D$116</definedName>
    <definedName name="_____________TPE1132">[1]BASE!#REF!</definedName>
    <definedName name="_____________TPE12">#REF!</definedName>
    <definedName name="_____________TPE1331">[1]BASE!#REF!</definedName>
    <definedName name="_____________TPE1702">[1]BASE!#REF!</definedName>
    <definedName name="_____________TPE1703">[1]BASE!#REF!</definedName>
    <definedName name="_____________TPE1704">[1]BASE!#REF!</definedName>
    <definedName name="_____________TPE1706">[1]BASE!#REF!</definedName>
    <definedName name="_____________TPE1708">[1]BASE!#REF!</definedName>
    <definedName name="_____________TPE1710">[1]BASE!#REF!</definedName>
    <definedName name="_____________TPE1735">[1]BASE!#REF!</definedName>
    <definedName name="_____________TPE1763">[1]BASE!#REF!</definedName>
    <definedName name="_____________TPE1790">[1]BASE!#REF!</definedName>
    <definedName name="_____________TPF12">[8]BASE!$D$217</definedName>
    <definedName name="_____________TUZ22">'[3]BASE ORIGINAL'!#REF!</definedName>
    <definedName name="_____________TUZ36">'[3]BASE ORIGINAL'!#REF!</definedName>
    <definedName name="_____________TZ2110">[8]BASE!$D$79</definedName>
    <definedName name="_____________TZ214">[1]BASE!$D$86</definedName>
    <definedName name="_____________TZ216">[1]BASE!$D$87</definedName>
    <definedName name="_____________TZ268">[5]BASE!$D$85</definedName>
    <definedName name="_____________TZ323">'[3]BASE ORIGINAL'!#REF!</definedName>
    <definedName name="_____________TZ324">'[3]BASE ORIGINAL'!#REF!</definedName>
    <definedName name="_____________TZ32510">[1]BASE!$D$106</definedName>
    <definedName name="____________ADH12">[8]BASE!$D$218</definedName>
    <definedName name="____________ADM12">[8]BASE!$D$219</definedName>
    <definedName name="____________ADM4">[8]BASE!$D$120</definedName>
    <definedName name="____________AIU1">#REF!</definedName>
    <definedName name="____________AIU2">[4]BASE!$C$5</definedName>
    <definedName name="____________AIU3">[14]BASE!$C$3</definedName>
    <definedName name="____________BAZ10">[8]BASE!$D$270</definedName>
    <definedName name="____________BLO20">[8]BASE!$D$56</definedName>
    <definedName name="____________CAN28">[8]BASE!$D$315</definedName>
    <definedName name="____________Cod1">#REF!</definedName>
    <definedName name="____________CUA44">[8]BASE!$D$253</definedName>
    <definedName name="____________LA124">[8]BASE!$D$64</definedName>
    <definedName name="____________LAC18">[5]BASE!$D$252</definedName>
    <definedName name="____________Po2">[6]REAJUSTESACTA1PROVI!#REF!</definedName>
    <definedName name="____________R84JH">[5]BASE!$D$172</definedName>
    <definedName name="____________REP43">[7]BASE!$D$136</definedName>
    <definedName name="____________TEP44">[1]BASE!$D$116</definedName>
    <definedName name="____________TPE1132">[1]BASE!#REF!</definedName>
    <definedName name="____________TPE12">#REF!</definedName>
    <definedName name="____________TPE1331">[1]BASE!#REF!</definedName>
    <definedName name="____________TPE1702">[1]BASE!#REF!</definedName>
    <definedName name="____________TPE1703">[1]BASE!#REF!</definedName>
    <definedName name="____________TPE1704">[1]BASE!#REF!</definedName>
    <definedName name="____________TPE1706">[1]BASE!#REF!</definedName>
    <definedName name="____________TPE1708">[1]BASE!#REF!</definedName>
    <definedName name="____________TPE1710">[1]BASE!#REF!</definedName>
    <definedName name="____________TPE1735">[1]BASE!#REF!</definedName>
    <definedName name="____________TPE1763">[1]BASE!#REF!</definedName>
    <definedName name="____________TPE1790">[1]BASE!#REF!</definedName>
    <definedName name="____________TPF12">[8]BASE!$D$217</definedName>
    <definedName name="____________TUZ22">'[3]BASE ORIGINAL'!#REF!</definedName>
    <definedName name="____________TUZ36">'[3]BASE ORIGINAL'!#REF!</definedName>
    <definedName name="____________TZ2110">[8]BASE!$D$79</definedName>
    <definedName name="____________TZ214">[1]BASE!$D$86</definedName>
    <definedName name="____________TZ216">[1]BASE!$D$87</definedName>
    <definedName name="____________TZ268">[5]BASE!$D$85</definedName>
    <definedName name="____________TZ323">'[3]BASE ORIGINAL'!#REF!</definedName>
    <definedName name="____________TZ324">'[3]BASE ORIGINAL'!#REF!</definedName>
    <definedName name="____________TZ32510">[1]BASE!$D$106</definedName>
    <definedName name="___________ADH12">[8]BASE!$D$218</definedName>
    <definedName name="___________ADM12">[8]BASE!$D$219</definedName>
    <definedName name="___________ADM4">[8]BASE!$D$120</definedName>
    <definedName name="___________AIU1">#REF!</definedName>
    <definedName name="___________AIU2">[4]BASE!$C$5</definedName>
    <definedName name="___________AIU3">[12]BASE!$C$3</definedName>
    <definedName name="___________BAZ10">[8]BASE!$D$270</definedName>
    <definedName name="___________BLO20">[8]BASE!$D$56</definedName>
    <definedName name="___________CAN28">[8]BASE!$D$315</definedName>
    <definedName name="___________Cod1">#REF!</definedName>
    <definedName name="___________CUA44">[8]BASE!$D$253</definedName>
    <definedName name="___________LA124">[8]BASE!$D$64</definedName>
    <definedName name="___________LAC18">[5]BASE!$D$252</definedName>
    <definedName name="___________Po2">[6]REAJUSTESACTA1PROVI!#REF!</definedName>
    <definedName name="___________R84JH">[5]BASE!$D$172</definedName>
    <definedName name="___________REP43">[7]BASE!$D$136</definedName>
    <definedName name="___________TEP44">[1]BASE!$D$116</definedName>
    <definedName name="___________TPE1132">[1]BASE!#REF!</definedName>
    <definedName name="___________TPE12">#REF!</definedName>
    <definedName name="___________TPE1331">[1]BASE!#REF!</definedName>
    <definedName name="___________TPE1702">[1]BASE!#REF!</definedName>
    <definedName name="___________TPE1703">[1]BASE!#REF!</definedName>
    <definedName name="___________TPE1704">[1]BASE!#REF!</definedName>
    <definedName name="___________TPE1706">[1]BASE!#REF!</definedName>
    <definedName name="___________TPE1708">[1]BASE!#REF!</definedName>
    <definedName name="___________TPE1710">[1]BASE!#REF!</definedName>
    <definedName name="___________TPE1735">[1]BASE!#REF!</definedName>
    <definedName name="___________TPE1763">[1]BASE!#REF!</definedName>
    <definedName name="___________TPE1790">[1]BASE!#REF!</definedName>
    <definedName name="___________TPF12">[8]BASE!$D$217</definedName>
    <definedName name="___________TUZ22">'[3]BASE ORIGINAL'!#REF!</definedName>
    <definedName name="___________TUZ36">'[3]BASE ORIGINAL'!#REF!</definedName>
    <definedName name="___________TZ2110">[8]BASE!$D$79</definedName>
    <definedName name="___________TZ214">[1]BASE!$D$86</definedName>
    <definedName name="___________TZ216">[1]BASE!$D$87</definedName>
    <definedName name="___________TZ268">[5]BASE!$D$85</definedName>
    <definedName name="___________TZ323">'[3]BASE ORIGINAL'!#REF!</definedName>
    <definedName name="___________TZ324">'[3]BASE ORIGINAL'!#REF!</definedName>
    <definedName name="___________TZ32510">[1]BASE!$D$106</definedName>
    <definedName name="__________ADH12">[8]BASE!$D$218</definedName>
    <definedName name="__________ADM12">[8]BASE!$D$219</definedName>
    <definedName name="__________ADM4">[8]BASE!$D$120</definedName>
    <definedName name="__________AIU1">#REF!</definedName>
    <definedName name="__________AIU2">[4]BASE!$C$5</definedName>
    <definedName name="__________AIU3">[14]BASE!$C$3</definedName>
    <definedName name="__________BAZ10">[8]BASE!$D$270</definedName>
    <definedName name="__________BLO20">[8]BASE!$D$56</definedName>
    <definedName name="__________CAN28">[8]BASE!$D$315</definedName>
    <definedName name="__________Cod1">#REF!</definedName>
    <definedName name="__________CUA44">[8]BASE!$D$253</definedName>
    <definedName name="__________LA124">[8]BASE!$D$64</definedName>
    <definedName name="__________LAC18">[5]BASE!$D$252</definedName>
    <definedName name="__________Po2">[6]REAJUSTESACTA1PROVI!#REF!</definedName>
    <definedName name="__________R84JH">[5]BASE!$D$172</definedName>
    <definedName name="__________REP43">[7]BASE!$D$136</definedName>
    <definedName name="__________TEP44">[1]BASE!$D$116</definedName>
    <definedName name="__________TPE1132">[1]BASE!#REF!</definedName>
    <definedName name="__________TPE12">#REF!</definedName>
    <definedName name="__________TPE1331">[1]BASE!#REF!</definedName>
    <definedName name="__________TPE1702">[1]BASE!#REF!</definedName>
    <definedName name="__________TPE1703">[1]BASE!#REF!</definedName>
    <definedName name="__________TPE1704">[1]BASE!#REF!</definedName>
    <definedName name="__________TPE1706">[1]BASE!#REF!</definedName>
    <definedName name="__________TPE1708">[1]BASE!#REF!</definedName>
    <definedName name="__________TPE1710">[1]BASE!#REF!</definedName>
    <definedName name="__________TPE1735">[1]BASE!#REF!</definedName>
    <definedName name="__________TPE1763">[1]BASE!#REF!</definedName>
    <definedName name="__________TPE1790">[1]BASE!#REF!</definedName>
    <definedName name="__________TPF12">[8]BASE!$D$217</definedName>
    <definedName name="__________TUZ22">'[3]BASE ORIGINAL'!#REF!</definedName>
    <definedName name="__________TUZ36">'[3]BASE ORIGINAL'!#REF!</definedName>
    <definedName name="__________TZ2110">[8]BASE!$D$79</definedName>
    <definedName name="__________TZ214">[1]BASE!$D$86</definedName>
    <definedName name="__________TZ216">[1]BASE!$D$87</definedName>
    <definedName name="__________TZ268">[5]BASE!$D$85</definedName>
    <definedName name="__________TZ323">'[3]BASE ORIGINAL'!#REF!</definedName>
    <definedName name="__________TZ324">'[3]BASE ORIGINAL'!#REF!</definedName>
    <definedName name="__________TZ32510">[1]BASE!$D$106</definedName>
    <definedName name="_________ADH12">[8]BASE!$D$218</definedName>
    <definedName name="_________ADM12">[8]BASE!$D$219</definedName>
    <definedName name="_________ADM4">[8]BASE!$D$120</definedName>
    <definedName name="_________AIU1">#REF!</definedName>
    <definedName name="_________AIU2">[4]BASE!$C$5</definedName>
    <definedName name="_________AIU3">[12]BASE!$C$3</definedName>
    <definedName name="_________BAZ10">[8]BASE!$D$270</definedName>
    <definedName name="_________BLO20">[8]BASE!$D$56</definedName>
    <definedName name="_________CAN28">[8]BASE!$D$315</definedName>
    <definedName name="_________Cod1">#REF!</definedName>
    <definedName name="_________CUA44">[8]BASE!$D$253</definedName>
    <definedName name="_________LA124">[8]BASE!$D$64</definedName>
    <definedName name="_________LAC18">[5]BASE!$D$252</definedName>
    <definedName name="_________Po2">[6]REAJUSTESACTA1PROVI!#REF!</definedName>
    <definedName name="_________R84JH">[5]BASE!$D$172</definedName>
    <definedName name="_________REP43">[7]BASE!$D$136</definedName>
    <definedName name="_________TEP44">[1]BASE!$D$116</definedName>
    <definedName name="_________TPE1132">[1]BASE!#REF!</definedName>
    <definedName name="_________TPE12">#REF!</definedName>
    <definedName name="_________TPE1331">[1]BASE!#REF!</definedName>
    <definedName name="_________TPE1702">[1]BASE!#REF!</definedName>
    <definedName name="_________TPE1703">[1]BASE!#REF!</definedName>
    <definedName name="_________TPE1704">[1]BASE!#REF!</definedName>
    <definedName name="_________TPE1706">[1]BASE!#REF!</definedName>
    <definedName name="_________TPE1708">[1]BASE!#REF!</definedName>
    <definedName name="_________TPE1710">[1]BASE!#REF!</definedName>
    <definedName name="_________TPE1735">[1]BASE!#REF!</definedName>
    <definedName name="_________TPE1763">[1]BASE!#REF!</definedName>
    <definedName name="_________TPE1790">[1]BASE!#REF!</definedName>
    <definedName name="_________TPF12">[8]BASE!$D$217</definedName>
    <definedName name="_________TUZ22">'[3]BASE ORIGINAL'!#REF!</definedName>
    <definedName name="_________TUZ36">'[3]BASE ORIGINAL'!#REF!</definedName>
    <definedName name="_________TZ2110">[8]BASE!$D$79</definedName>
    <definedName name="_________TZ213">[15]BASE!$D$85</definedName>
    <definedName name="_________TZ214">[1]BASE!$D$86</definedName>
    <definedName name="_________TZ216">[1]BASE!$D$87</definedName>
    <definedName name="_________TZ268">[5]BASE!$D$85</definedName>
    <definedName name="_________TZ323">'[3]BASE ORIGINAL'!#REF!</definedName>
    <definedName name="_________TZ324">'[3]BASE ORIGINAL'!#REF!</definedName>
    <definedName name="_________TZ32510">[1]BASE!$D$106</definedName>
    <definedName name="________ADH12">[8]BASE!$D$218</definedName>
    <definedName name="________ADM12">[8]BASE!$D$219</definedName>
    <definedName name="________ADM4">[8]BASE!$D$120</definedName>
    <definedName name="________AIU1">#REF!</definedName>
    <definedName name="________AIU2">[4]BASE!$C$5</definedName>
    <definedName name="________AIU3">[12]BASE!$C$3</definedName>
    <definedName name="________BAZ10">[8]BASE!$D$270</definedName>
    <definedName name="________BLO20">[8]BASE!$D$56</definedName>
    <definedName name="________CAN28">[8]BASE!$D$315</definedName>
    <definedName name="________Cod1">#REF!</definedName>
    <definedName name="________CUA44">[8]BASE!$D$253</definedName>
    <definedName name="________LA124">[8]BASE!$D$64</definedName>
    <definedName name="________LAC18">[5]BASE!$D$252</definedName>
    <definedName name="________Po2">[6]REAJUSTESACTA1PROVI!#REF!</definedName>
    <definedName name="________R84JH">[5]BASE!$D$172</definedName>
    <definedName name="________REP43">[7]BASE!$D$136</definedName>
    <definedName name="________TEP44">[1]BASE!$D$116</definedName>
    <definedName name="________TPE1132">[1]BASE!#REF!</definedName>
    <definedName name="________TPE12">#REF!</definedName>
    <definedName name="________TPE1331">[1]BASE!#REF!</definedName>
    <definedName name="________TPE1702">[1]BASE!#REF!</definedName>
    <definedName name="________TPE1703">[1]BASE!#REF!</definedName>
    <definedName name="________TPE1704">[1]BASE!#REF!</definedName>
    <definedName name="________TPE1706">[1]BASE!#REF!</definedName>
    <definedName name="________TPE1708">[1]BASE!#REF!</definedName>
    <definedName name="________TPE1710">[1]BASE!#REF!</definedName>
    <definedName name="________TPE1735">[1]BASE!#REF!</definedName>
    <definedName name="________TPE1763">[1]BASE!#REF!</definedName>
    <definedName name="________TPE1790">[1]BASE!#REF!</definedName>
    <definedName name="________TPF12">[8]BASE!$D$217</definedName>
    <definedName name="________TUZ22">'[3]BASE ORIGINAL'!#REF!</definedName>
    <definedName name="________TUZ36">'[3]BASE ORIGINAL'!#REF!</definedName>
    <definedName name="________TZ2110">[8]BASE!$D$79</definedName>
    <definedName name="________TZ213">[16]BASE!$D$87</definedName>
    <definedName name="________TZ214">[1]BASE!$D$86</definedName>
    <definedName name="________TZ216">[1]BASE!$D$87</definedName>
    <definedName name="________TZ268">[5]BASE!$D$85</definedName>
    <definedName name="________TZ323">'[3]BASE ORIGINAL'!#REF!</definedName>
    <definedName name="________TZ324">'[3]BASE ORIGINAL'!#REF!</definedName>
    <definedName name="________TZ32510">[1]BASE!$D$106</definedName>
    <definedName name="_______ADH12">[8]BASE!$D$218</definedName>
    <definedName name="_______ADM12">[8]BASE!$D$219</definedName>
    <definedName name="_______ADM4">[8]BASE!$D$120</definedName>
    <definedName name="_______AIU1">#REF!</definedName>
    <definedName name="_______AIU2">[4]BASE!$C$5</definedName>
    <definedName name="_______AIU3">[12]BASE!$C$3</definedName>
    <definedName name="_______BAZ10">[8]BASE!$D$270</definedName>
    <definedName name="_______BLO20">[8]BASE!$D$56</definedName>
    <definedName name="_______CAN28">[8]BASE!$D$315</definedName>
    <definedName name="_______Cod1">#REF!</definedName>
    <definedName name="_______CUA44">[8]BASE!$D$253</definedName>
    <definedName name="_______LA124">[8]BASE!$D$64</definedName>
    <definedName name="_______LAC18">[5]BASE!$D$252</definedName>
    <definedName name="_______Po2">[6]REAJUSTESACTA1PROVI!#REF!</definedName>
    <definedName name="_______R84JH">[5]BASE!$D$172</definedName>
    <definedName name="_______REP43">[7]BASE!$D$136</definedName>
    <definedName name="_______TEP44">[1]BASE!$D$116</definedName>
    <definedName name="_______TPE1132">[1]BASE!#REF!</definedName>
    <definedName name="_______TPE12">#REF!</definedName>
    <definedName name="_______TPE1331">[1]BASE!#REF!</definedName>
    <definedName name="_______TPE1702">[1]BASE!#REF!</definedName>
    <definedName name="_______TPE1703">[1]BASE!#REF!</definedName>
    <definedName name="_______TPE1704">[1]BASE!#REF!</definedName>
    <definedName name="_______TPE1706">[1]BASE!#REF!</definedName>
    <definedName name="_______TPE1708">[1]BASE!#REF!</definedName>
    <definedName name="_______TPE1710">[1]BASE!#REF!</definedName>
    <definedName name="_______TPE1735">[1]BASE!#REF!</definedName>
    <definedName name="_______TPE1763">[1]BASE!#REF!</definedName>
    <definedName name="_______TPE1790">[1]BASE!#REF!</definedName>
    <definedName name="_______TPF12">[8]BASE!$D$217</definedName>
    <definedName name="_______TUZ22">'[3]BASE ORIGINAL'!#REF!</definedName>
    <definedName name="_______TUZ36">'[3]BASE ORIGINAL'!#REF!</definedName>
    <definedName name="_______TZ2110">[8]BASE!$D$79</definedName>
    <definedName name="_______TZ213">[12]BASE!$D$89</definedName>
    <definedName name="_______TZ214">[1]BASE!$D$86</definedName>
    <definedName name="_______TZ216">[1]BASE!$D$87</definedName>
    <definedName name="_______TZ268">[5]BASE!$D$85</definedName>
    <definedName name="_______TZ323">'[3]BASE ORIGINAL'!#REF!</definedName>
    <definedName name="_______TZ324">'[3]BASE ORIGINAL'!#REF!</definedName>
    <definedName name="_______TZ32510">[1]BASE!$D$106</definedName>
    <definedName name="______ADH12">[8]BASE!$D$218</definedName>
    <definedName name="______ADM12">[8]BASE!$D$219</definedName>
    <definedName name="______ADM4">[8]BASE!$D$120</definedName>
    <definedName name="______AIU1">#REF!</definedName>
    <definedName name="______AIU2">[4]BASE!$C$5</definedName>
    <definedName name="______AIU3">[12]BASE!$C$3</definedName>
    <definedName name="______BAZ10">[8]BASE!$D$270</definedName>
    <definedName name="______BLO20">[8]BASE!$D$56</definedName>
    <definedName name="______CAN28">[8]BASE!$D$315</definedName>
    <definedName name="______Cod1">#REF!</definedName>
    <definedName name="______CUA44">[8]BASE!$D$253</definedName>
    <definedName name="______LA124">[8]BASE!$D$64</definedName>
    <definedName name="______LAC18">[5]BASE!$D$252</definedName>
    <definedName name="______Po2">[6]REAJUSTESACTA1PROVI!#REF!</definedName>
    <definedName name="______R84JH">[5]BASE!$D$172</definedName>
    <definedName name="______REP43">[7]BASE!$D$136</definedName>
    <definedName name="______TEP44">#REF!</definedName>
    <definedName name="______TPE1132">[1]BASE!#REF!</definedName>
    <definedName name="______TPE12">#REF!</definedName>
    <definedName name="______TPE1331">[1]BASE!#REF!</definedName>
    <definedName name="______TPE1702">[1]BASE!#REF!</definedName>
    <definedName name="______TPE1703">[1]BASE!#REF!</definedName>
    <definedName name="______TPE1704">[1]BASE!#REF!</definedName>
    <definedName name="______TPE1706">[1]BASE!#REF!</definedName>
    <definedName name="______TPE1708">[1]BASE!#REF!</definedName>
    <definedName name="______TPE1710">[1]BASE!#REF!</definedName>
    <definedName name="______TPE1735">[1]BASE!#REF!</definedName>
    <definedName name="______TPE1763">[1]BASE!#REF!</definedName>
    <definedName name="______TPE1790">[1]BASE!#REF!</definedName>
    <definedName name="______TPF12">[8]BASE!$D$217</definedName>
    <definedName name="______TUZ22">'[3]BASE ORIGINAL'!#REF!</definedName>
    <definedName name="______TUZ36">'[3]BASE ORIGINAL'!#REF!</definedName>
    <definedName name="______TZ2110">[8]BASE!$D$79</definedName>
    <definedName name="______TZ213">[17]BASE!$D$89</definedName>
    <definedName name="______TZ214">[1]BASE!$D$86</definedName>
    <definedName name="______TZ216">#REF!</definedName>
    <definedName name="______TZ268">[5]BASE!$D$85</definedName>
    <definedName name="______TZ323">'[3]BASE ORIGINAL'!#REF!</definedName>
    <definedName name="______TZ324">'[3]BASE ORIGINAL'!#REF!</definedName>
    <definedName name="______TZ32510">[1]BASE!$D$106</definedName>
    <definedName name="_____ADH12">[8]BASE!$D$218</definedName>
    <definedName name="_____ADM12">[8]BASE!$D$219</definedName>
    <definedName name="_____ADM4">[8]BASE!$D$120</definedName>
    <definedName name="_____AIU1">#REF!</definedName>
    <definedName name="_____AIU2">[4]BASE!$C$5</definedName>
    <definedName name="_____AIU3">[12]BASE!$C$3</definedName>
    <definedName name="_____BAZ10">[8]BASE!$D$270</definedName>
    <definedName name="_____BLO20">[8]BASE!$D$56</definedName>
    <definedName name="_____CAN28">[8]BASE!$D$315</definedName>
    <definedName name="_____Cod1">#REF!</definedName>
    <definedName name="_____CUA44">[8]BASE!$D$253</definedName>
    <definedName name="_____LA124">[8]BASE!$D$64</definedName>
    <definedName name="_____LAC18">[5]BASE!$D$252</definedName>
    <definedName name="_____Po2">[6]REAJUSTESACTA1PROVI!#REF!</definedName>
    <definedName name="_____R84JH">[5]BASE!$D$172</definedName>
    <definedName name="_____REP43">[7]BASE!$D$136</definedName>
    <definedName name="_____TEP44">[1]BASE!$D$116</definedName>
    <definedName name="_____TPE1132">#REF!</definedName>
    <definedName name="_____TPE1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F12">[8]BASE!$D$217</definedName>
    <definedName name="_____TUZ22">#REF!</definedName>
    <definedName name="_____TUZ36">#REF!</definedName>
    <definedName name="_____TZ2110">[8]BASE!$D$79</definedName>
    <definedName name="_____TZ213">[12]BASE!$D$89</definedName>
    <definedName name="_____TZ214">#REF!</definedName>
    <definedName name="_____TZ216">[1]BASE!$D$87</definedName>
    <definedName name="_____TZ268">[5]BASE!$D$85</definedName>
    <definedName name="_____TZ323">#REF!</definedName>
    <definedName name="_____TZ324">#REF!</definedName>
    <definedName name="_____TZ32510">#REF!</definedName>
    <definedName name="____ADH12">[8]BASE!$D$218</definedName>
    <definedName name="____ADM12">[8]BASE!$D$219</definedName>
    <definedName name="____ADM4">[8]BASE!$D$120</definedName>
    <definedName name="____AIU1">#REF!</definedName>
    <definedName name="____AIU2">[4]BASE!$C$5</definedName>
    <definedName name="____AIU3">[12]BASE!$C$3</definedName>
    <definedName name="____BAZ10">[8]BASE!$D$270</definedName>
    <definedName name="____BLO20">[8]BASE!$D$56</definedName>
    <definedName name="____CAN28">[8]BASE!$D$315</definedName>
    <definedName name="____Cod1">#REF!</definedName>
    <definedName name="____CUA44">[8]BASE!$D$253</definedName>
    <definedName name="____FYB02">[15]BASE!$D$360</definedName>
    <definedName name="____FYB03">[17]BASE!$D$399</definedName>
    <definedName name="____LA124">[8]BASE!$D$64</definedName>
    <definedName name="____LAC18">[5]BASE!$D$252</definedName>
    <definedName name="____Po2">[6]REAJUSTESACTA1PROVI!#REF!</definedName>
    <definedName name="____R84JH">[5]BASE!$D$172</definedName>
    <definedName name="____REP43">[7]BASE!$D$136</definedName>
    <definedName name="____TEP44">[1]BASE!$D$116</definedName>
    <definedName name="____TPE1132">[1]BASE!#REF!</definedName>
    <definedName name="____TPE12">#REF!</definedName>
    <definedName name="____TPE1331">[1]BASE!#REF!</definedName>
    <definedName name="____TPE1702">[1]BASE!#REF!</definedName>
    <definedName name="____TPE1703">[1]BASE!#REF!</definedName>
    <definedName name="____TPE1704">[1]BASE!#REF!</definedName>
    <definedName name="____TPE1706">[1]BASE!#REF!</definedName>
    <definedName name="____TPE1708">[1]BASE!#REF!</definedName>
    <definedName name="____TPE1710">[1]BASE!#REF!</definedName>
    <definedName name="____TPE1735">[1]BASE!#REF!</definedName>
    <definedName name="____TPE1763">[1]BASE!#REF!</definedName>
    <definedName name="____TPE1790">[1]BASE!#REF!</definedName>
    <definedName name="____TPF12">[8]BASE!$D$217</definedName>
    <definedName name="____TUZ22">'[3]BASE ORIGINAL'!#REF!</definedName>
    <definedName name="____TUZ36">'[3]BASE ORIGINAL'!#REF!</definedName>
    <definedName name="____TZ2110">[8]BASE!$D$79</definedName>
    <definedName name="____TZ212">[15]BASE!$D$83</definedName>
    <definedName name="____TZ213">[12]BASE!$D$89</definedName>
    <definedName name="____TZ214">[1]BASE!$D$86</definedName>
    <definedName name="____TZ216">[1]BASE!$D$87</definedName>
    <definedName name="____TZ263">[17]BASE!$D$99</definedName>
    <definedName name="____TZ268">[5]BASE!$D$85</definedName>
    <definedName name="____TZ323">'[3]BASE ORIGINAL'!#REF!</definedName>
    <definedName name="____TZ324">'[3]BASE ORIGINAL'!#REF!</definedName>
    <definedName name="____TZ32510">[1]BASE!$D$106</definedName>
    <definedName name="___ADH12">[8]BASE!$D$218</definedName>
    <definedName name="___ADM12">[8]BASE!$D$219</definedName>
    <definedName name="___ADM2">[15]BASE!$D$131</definedName>
    <definedName name="___ADM4">#REF!</definedName>
    <definedName name="___AIU1">#REF!</definedName>
    <definedName name="___AIU2">[4]BASE!$C$5</definedName>
    <definedName name="___AIU3">[18]BASE!$C$3</definedName>
    <definedName name="___BAZ10">[8]BASE!$D$270</definedName>
    <definedName name="___BLO20">[8]BASE!$D$56</definedName>
    <definedName name="___C452JH">[15]BASE!$D$318</definedName>
    <definedName name="___CAN28">[8]BASE!$D$315</definedName>
    <definedName name="___Cod1">#REF!</definedName>
    <definedName name="___CUA44">[8]BASE!$D$253</definedName>
    <definedName name="___ETF315">[15]BASE!$D$461</definedName>
    <definedName name="___FYB02">[12]BASE!$D$397</definedName>
    <definedName name="___LA124">[8]BASE!$D$64</definedName>
    <definedName name="___LAC18">[5]BASE!$D$252</definedName>
    <definedName name="___Po2">[6]REAJUSTESACTA1PROVI!#REF!</definedName>
    <definedName name="___R84JH">[5]BASE!$D$172</definedName>
    <definedName name="___REP43">[7]BASE!$D$136</definedName>
    <definedName name="___TEP44">[1]BASE!$D$116</definedName>
    <definedName name="___TPE1132">[1]BASE!#REF!</definedName>
    <definedName name="___TPE12">#REF!</definedName>
    <definedName name="___TPE1331">[1]BASE!#REF!</definedName>
    <definedName name="___TPE1702">[1]BASE!#REF!</definedName>
    <definedName name="___TPE1703">[1]BASE!#REF!</definedName>
    <definedName name="___TPE1704">[1]BASE!#REF!</definedName>
    <definedName name="___TPE1706">[1]BASE!#REF!</definedName>
    <definedName name="___TPE1708">[1]BASE!#REF!</definedName>
    <definedName name="___TPE1710">[1]BASE!#REF!</definedName>
    <definedName name="___TPE1735">[1]BASE!#REF!</definedName>
    <definedName name="___TPE1763">[1]BASE!#REF!</definedName>
    <definedName name="___TPE1790">[1]BASE!#REF!</definedName>
    <definedName name="___TPF12">[8]BASE!$D$217</definedName>
    <definedName name="___TPN1003">[15]BASE!$D$151</definedName>
    <definedName name="___TUZ22">'[3]BASE ORIGINAL'!#REF!</definedName>
    <definedName name="___TUZ36">'[3]BASE ORIGINAL'!#REF!</definedName>
    <definedName name="___TZ2110">[8]BASE!$D$79</definedName>
    <definedName name="___TZ212">[12]BASE!$D$86</definedName>
    <definedName name="___TZ213">[12]BASE!$D$89</definedName>
    <definedName name="___TZ214">[1]BASE!$D$86</definedName>
    <definedName name="___TZ216">[1]BASE!$D$87</definedName>
    <definedName name="___TZ268">[5]BASE!$D$85</definedName>
    <definedName name="___TZ323">'[3]BASE ORIGINAL'!#REF!</definedName>
    <definedName name="___TZ324">'[3]BASE ORIGINAL'!#REF!</definedName>
    <definedName name="___TZ32510">[1]BASE!$D$106</definedName>
    <definedName name="__ADH12">[8]BASE!$D$218</definedName>
    <definedName name="__ADM12">[8]BASE!$D$219</definedName>
    <definedName name="__ADM2">[19]BASE!$D$132</definedName>
    <definedName name="__ADM3">[19]BASE!$D$133</definedName>
    <definedName name="__ADM4">#REF!</definedName>
    <definedName name="__AIU1">#REF!</definedName>
    <definedName name="__AIU2">[4]BASE!$C$5</definedName>
    <definedName name="__AIU3">[18]BASE!$C$3</definedName>
    <definedName name="__AIU5">'[20]FORMULARIO AIU'!$G$44</definedName>
    <definedName name="__BAZ10">[8]BASE!$D$270</definedName>
    <definedName name="__BLO20">[8]BASE!$D$56</definedName>
    <definedName name="__C452JH">[21]BASE!$D$342</definedName>
    <definedName name="__CAN28">[8]BASE!$D$315</definedName>
    <definedName name="__Cod1">#REF!</definedName>
    <definedName name="__CUA44">[8]BASE!$D$253</definedName>
    <definedName name="__ETF315">[22]BASE!$D$493</definedName>
    <definedName name="__FYB02">[12]BASE!$D$397</definedName>
    <definedName name="__FYB03">[15]BASE!$D$361</definedName>
    <definedName name="__LA124">[8]BASE!$D$64</definedName>
    <definedName name="__LAC18">[5]BASE!$D$252</definedName>
    <definedName name="__Pa1">#REF!</definedName>
    <definedName name="__Pa2">#REF!</definedName>
    <definedName name="__Pa3">#REF!</definedName>
    <definedName name="__Pa4">#REF!</definedName>
    <definedName name="__Po2">[6]REAJUSTESACTA1PROVI!#REF!</definedName>
    <definedName name="__R32JH">[15]BASE!$D$299</definedName>
    <definedName name="__R42JH">[15]BASE!$D$298</definedName>
    <definedName name="__R43JH">[15]BASE!$D$297</definedName>
    <definedName name="__R84JH">[5]BASE!$D$172</definedName>
    <definedName name="__REP43">[7]BASE!$D$136</definedName>
    <definedName name="__ST206">[15]BASE!$D$251</definedName>
    <definedName name="__SY126">[15]BASE!$D$260</definedName>
    <definedName name="__SY186">[15]BASE!$D$263</definedName>
    <definedName name="__TEE32">[15]BASE!$D$178</definedName>
    <definedName name="__TEE33">[23]BASE!$D$187</definedName>
    <definedName name="__TEP44">#REF!</definedName>
    <definedName name="__TES66">[15]BASE!$D$206</definedName>
    <definedName name="__TPE1132">[1]BASE!#REF!</definedName>
    <definedName name="__TPE12">#REF!</definedName>
    <definedName name="__TPE1331">[1]BASE!#REF!</definedName>
    <definedName name="__TPE1702">[1]BASE!#REF!</definedName>
    <definedName name="__TPE1703">[1]BASE!#REF!</definedName>
    <definedName name="__TPE1704">[1]BASE!#REF!</definedName>
    <definedName name="__TPE1706">[1]BASE!#REF!</definedName>
    <definedName name="__TPE1708">[1]BASE!#REF!</definedName>
    <definedName name="__TPE1710">[1]BASE!#REF!</definedName>
    <definedName name="__TPE1735">[1]BASE!#REF!</definedName>
    <definedName name="__TPE1763">[1]BASE!#REF!</definedName>
    <definedName name="__TPE1790">[1]BASE!#REF!</definedName>
    <definedName name="__TPE8016">[15]BASE!$D$146</definedName>
    <definedName name="__TPF12">[8]BASE!$D$217</definedName>
    <definedName name="__TPN1002">[15]BASE!$D$150</definedName>
    <definedName name="__TPN1003">[23]BASE!$D$158</definedName>
    <definedName name="__TPN1606">[15]BASE!$D$171</definedName>
    <definedName name="__TUZ22">'[3]BASE ORIGINAL'!#REF!</definedName>
    <definedName name="__TUZ36">'[3]BASE ORIGINAL'!#REF!</definedName>
    <definedName name="__TZ2110">[8]BASE!$D$79</definedName>
    <definedName name="__TZ2114">[15]BASE!$D$91</definedName>
    <definedName name="__TZ212">[24]BASE!$D$84</definedName>
    <definedName name="__TZ213">[25]BASE!$D$89</definedName>
    <definedName name="__TZ214">[1]BASE!$D$86</definedName>
    <definedName name="__TZ216">#REF!</definedName>
    <definedName name="__TZ218">[26]BASE!$D$77</definedName>
    <definedName name="__TZ225">[15]BASE!$D$84</definedName>
    <definedName name="__TZ262">[15]BASE!$D$94</definedName>
    <definedName name="__TZ263">[15]BASE!$D$95</definedName>
    <definedName name="__TZ268">[5]BASE!$D$85</definedName>
    <definedName name="__TZ323">'[3]BASE ORIGINAL'!#REF!</definedName>
    <definedName name="__TZ324">'[3]BASE ORIGINAL'!#REF!</definedName>
    <definedName name="__TZ32510">[1]BASE!$D$106</definedName>
    <definedName name="__TZ3254">[15]BASE!$D$103</definedName>
    <definedName name="__TZ3256">[15]BASE!$D$104</definedName>
    <definedName name="__TZ416">[15]BASE!$D$110</definedName>
    <definedName name="__UDD08">[26]BASE!$D$257</definedName>
    <definedName name="_30__AIU">#REF!</definedName>
    <definedName name="_ADH12">[2]BASE!$D$218</definedName>
    <definedName name="_ADM12">[2]BASE!$D$219</definedName>
    <definedName name="_ADM2">#REF!</definedName>
    <definedName name="_ADM3">#REF!</definedName>
    <definedName name="_ADM4">[2]BASE!$D$120</definedName>
    <definedName name="_ADP1">#REF!</definedName>
    <definedName name="_AFC1">[27]INV!$A$25:$D$28</definedName>
    <definedName name="_AFC3">[27]INV!$F$25:$I$28</definedName>
    <definedName name="_AFC5">[27]INV!$K$25:$N$28</definedName>
    <definedName name="_AIU1">#REF!</definedName>
    <definedName name="_AIU2">[4]BASE!$C$5</definedName>
    <definedName name="_AIU3">[12]BASE!$C$3</definedName>
    <definedName name="_BAZ10">[2]BASE!$D$270</definedName>
    <definedName name="_BGC1">[27]INV!$A$5:$D$8</definedName>
    <definedName name="_BGC3">[27]INV!$F$5:$I$8</definedName>
    <definedName name="_BGC5">[27]INV!$K$5:$N$8</definedName>
    <definedName name="_BLO20">[2]BASE!$D$56</definedName>
    <definedName name="_C2256JH">[15]BASE!$D$323</definedName>
    <definedName name="_C452JH">[12]BASE!$D$342</definedName>
    <definedName name="_CAC1">[27]INV!$A$19:$D$22</definedName>
    <definedName name="_CAC3">[27]INV!$F$19:$I$22</definedName>
    <definedName name="_CAC5">[27]INV!$K$19:$N$22</definedName>
    <definedName name="_CAN28">[2]BASE!$D$315</definedName>
    <definedName name="_Cod1" localSheetId="38">#REF!</definedName>
    <definedName name="_Cod1" localSheetId="35">#REF!</definedName>
    <definedName name="_Cod1" localSheetId="42">#REF!</definedName>
    <definedName name="_Cod1" localSheetId="18">#REF!</definedName>
    <definedName name="_Cod1" localSheetId="41">#REF!</definedName>
    <definedName name="_Cod1" localSheetId="34">#REF!</definedName>
    <definedName name="_Cod1" localSheetId="33">#REF!</definedName>
    <definedName name="_Cod1" localSheetId="28">#REF!</definedName>
    <definedName name="_Cod1" localSheetId="37">#REF!</definedName>
    <definedName name="_Cod1" localSheetId="39">#REF!</definedName>
    <definedName name="_Cod1" localSheetId="15">#REF!</definedName>
    <definedName name="_Cod1" localSheetId="16">#REF!</definedName>
    <definedName name="_Cod1" localSheetId="36">#REF!</definedName>
    <definedName name="_Cod1" localSheetId="21">#REF!</definedName>
    <definedName name="_Cod1" localSheetId="23">#REF!</definedName>
    <definedName name="_Cod1" localSheetId="9">#REF!</definedName>
    <definedName name="_Cod1" localSheetId="10">#REF!</definedName>
    <definedName name="_Cod1" localSheetId="11">#REF!</definedName>
    <definedName name="_Cod1" localSheetId="12">#REF!</definedName>
    <definedName name="_Cod1" localSheetId="14">#REF!</definedName>
    <definedName name="_Cod1" localSheetId="3">#REF!</definedName>
    <definedName name="_Cod1" localSheetId="4">#REF!</definedName>
    <definedName name="_Cod1" localSheetId="20">#REF!</definedName>
    <definedName name="_Cod1" localSheetId="31">#REF!</definedName>
    <definedName name="_Cod1">#REF!</definedName>
    <definedName name="_CUA44">[2]BASE!$D$253</definedName>
    <definedName name="_EEF110">#REF!</definedName>
    <definedName name="_ETF315">#REF!</definedName>
    <definedName name="_Fill" localSheetId="38" hidden="1">#REF!</definedName>
    <definedName name="_Fill" localSheetId="35" hidden="1">#REF!</definedName>
    <definedName name="_Fill" localSheetId="42" hidden="1">#REF!</definedName>
    <definedName name="_Fill" localSheetId="18" hidden="1">#REF!</definedName>
    <definedName name="_Fill" localSheetId="41" hidden="1">#REF!</definedName>
    <definedName name="_Fill" localSheetId="34" hidden="1">#REF!</definedName>
    <definedName name="_Fill" localSheetId="33" hidden="1">#REF!</definedName>
    <definedName name="_Fill" localSheetId="28" hidden="1">#REF!</definedName>
    <definedName name="_Fill" localSheetId="37" hidden="1">#REF!</definedName>
    <definedName name="_Fill" localSheetId="39" hidden="1">#REF!</definedName>
    <definedName name="_Fill" localSheetId="15" hidden="1">#REF!</definedName>
    <definedName name="_Fill" localSheetId="16" hidden="1">#REF!</definedName>
    <definedName name="_Fill" localSheetId="36" hidden="1">#REF!</definedName>
    <definedName name="_Fill" localSheetId="21" hidden="1">#REF!</definedName>
    <definedName name="_Fill" localSheetId="23" hidden="1">#REF!</definedName>
    <definedName name="_Fill" localSheetId="9" hidden="1">#REF!</definedName>
    <definedName name="_Fill" localSheetId="10" hidden="1">#REF!</definedName>
    <definedName name="_Fill" localSheetId="11" hidden="1">#REF!</definedName>
    <definedName name="_Fill" localSheetId="12" hidden="1">#REF!</definedName>
    <definedName name="_Fill" localSheetId="14" hidden="1">#REF!</definedName>
    <definedName name="_Fill" localSheetId="3" hidden="1">#REF!</definedName>
    <definedName name="_Fill" localSheetId="4" hidden="1">#REF!</definedName>
    <definedName name="_Fill" localSheetId="20" hidden="1">#REF!</definedName>
    <definedName name="_Fill" localSheetId="31" hidden="1">#REF!</definedName>
    <definedName name="_Fill" hidden="1">#REF!</definedName>
    <definedName name="_xlnm._FilterDatabase" localSheetId="28" hidden="1">'Gtos DyM'!$A$9:$D$92</definedName>
    <definedName name="_FYB02">#REF!</definedName>
    <definedName name="_FYB03">#REF!</definedName>
    <definedName name="_FYB04">#REF!</definedName>
    <definedName name="_FYB08">#REF!</definedName>
    <definedName name="_FYB10">#REF!</definedName>
    <definedName name="_LA124">[2]BASE!$D$64</definedName>
    <definedName name="_LAC18">[5]BASE!$D$252</definedName>
    <definedName name="_MA2" localSheetId="38">#REF!</definedName>
    <definedName name="_MA2" localSheetId="35">#REF!</definedName>
    <definedName name="_MA2" localSheetId="42">#REF!</definedName>
    <definedName name="_MA2" localSheetId="18">#REF!</definedName>
    <definedName name="_MA2" localSheetId="41">#REF!</definedName>
    <definedName name="_MA2" localSheetId="34">#REF!</definedName>
    <definedName name="_MA2" localSheetId="33">#REF!</definedName>
    <definedName name="_MA2" localSheetId="28">#REF!</definedName>
    <definedName name="_MA2" localSheetId="37">#REF!</definedName>
    <definedName name="_MA2" localSheetId="39">#REF!</definedName>
    <definedName name="_MA2" localSheetId="15">#REF!</definedName>
    <definedName name="_MA2" localSheetId="16">#REF!</definedName>
    <definedName name="_MA2" localSheetId="36">#REF!</definedName>
    <definedName name="_MA2" localSheetId="21">#REF!</definedName>
    <definedName name="_MA2" localSheetId="23">#REF!</definedName>
    <definedName name="_MA2" localSheetId="9">#REF!</definedName>
    <definedName name="_MA2" localSheetId="10">#REF!</definedName>
    <definedName name="_MA2" localSheetId="11">#REF!</definedName>
    <definedName name="_MA2" localSheetId="12">#REF!</definedName>
    <definedName name="_MA2" localSheetId="14">#REF!</definedName>
    <definedName name="_MA2" localSheetId="3">#REF!</definedName>
    <definedName name="_MA2" localSheetId="4">#REF!</definedName>
    <definedName name="_MA2" localSheetId="20">#REF!</definedName>
    <definedName name="_MA2" localSheetId="31">#REF!</definedName>
    <definedName name="_MA2">#REF!</definedName>
    <definedName name="_Order1" hidden="1">255</definedName>
    <definedName name="_Order2" hidden="1">255</definedName>
    <definedName name="_Pa1">'[28]Paral. 1'!$E$1:$E$65536</definedName>
    <definedName name="_Pa2">'[28]Paral. 2'!$E$1:$E$65536</definedName>
    <definedName name="_Pa3">'[28]Paral. 3'!$E$1:$E$65536</definedName>
    <definedName name="_Pa4">[28]Paral.4!$E$1:$E$65536</definedName>
    <definedName name="_Po2">[6]REAJUSTESACTA1PROVI!#REF!</definedName>
    <definedName name="_Po3">[6]REAJUSTESACTA1PROVI!#REF!</definedName>
    <definedName name="_R108BB">#REF!</definedName>
    <definedName name="_R1210JH">#REF!</definedName>
    <definedName name="_R126EXBB">#REF!</definedName>
    <definedName name="_R32EL">#REF!</definedName>
    <definedName name="_R32JH">#REF!</definedName>
    <definedName name="_R42JH">#REF!</definedName>
    <definedName name="_R43JH">#REF!</definedName>
    <definedName name="_R63BB">#REF!</definedName>
    <definedName name="_R63JH">#REF!</definedName>
    <definedName name="_R64BB">#REF!</definedName>
    <definedName name="_R64JH">#REF!</definedName>
    <definedName name="_R83JH">#REF!</definedName>
    <definedName name="_R84JH">[5]BASE!$D$172</definedName>
    <definedName name="_R86JH">#REF!</definedName>
    <definedName name="_RED104">#REF!</definedName>
    <definedName name="_RED106">#REF!</definedName>
    <definedName name="_RED1210">#REF!</definedName>
    <definedName name="_RED32">#REF!</definedName>
    <definedName name="_red42">#REF!</definedName>
    <definedName name="_RED43">#REF!</definedName>
    <definedName name="_REP21">#REF!</definedName>
    <definedName name="_REP42">#REF!</definedName>
    <definedName name="_REP43">[7]BASE!$D$136</definedName>
    <definedName name="_RES64">#REF!</definedName>
    <definedName name="_SBC1">[27]INV!$A$12:$D$15</definedName>
    <definedName name="_SBC3">[27]INV!$F$12:$I$15</definedName>
    <definedName name="_SBC5">[27]INV!$K$12:$N$15</definedName>
    <definedName name="_SMMLV">'[29]8.2 PRESTACIONES'!$F$14</definedName>
    <definedName name="_ST106">#REF!</definedName>
    <definedName name="_ST126">#REF!</definedName>
    <definedName name="_ST146">#REF!</definedName>
    <definedName name="_ST166">#REF!</definedName>
    <definedName name="_ST186">#REF!</definedName>
    <definedName name="_ST206">#REF!</definedName>
    <definedName name="_ST86">#REF!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[30]BASE!$D$1578</definedName>
    <definedName name="_T32JH">[30]BASE!$D$1577</definedName>
    <definedName name="_T33JH">[30]BASE!$D$1576</definedName>
    <definedName name="_T42JH">[30]BASE!$D$1575</definedName>
    <definedName name="_T43JH">[30]BASE!$D$1574</definedName>
    <definedName name="_T44JH">[30]BASE!$D$1569</definedName>
    <definedName name="_T62JH">[30]BASE!$D$1573</definedName>
    <definedName name="_TABLA">[31]BASE!$D$1610</definedName>
    <definedName name="_Table1_Out" hidden="1">[32]CARBOCOL!#REF!</definedName>
    <definedName name="_Table2_In2" hidden="1">[33]ANUAL1!#REF!</definedName>
    <definedName name="_Table2_Out" hidden="1">[32]CARBOCOL!#REF!</definedName>
    <definedName name="_TACOM">[30]BASE!$D$1765</definedName>
    <definedName name="_TACOR">[31]BASE!$D$108</definedName>
    <definedName name="_TAP2">#REF!</definedName>
    <definedName name="_TAPAM">[30]BASE!$D$1654</definedName>
    <definedName name="_TASP1">[30]BASE!$D$1635</definedName>
    <definedName name="_TASP2">[30]BASE!$D$1636</definedName>
    <definedName name="_TEE1">#REF!</definedName>
    <definedName name="_TEE1010">#REF!</definedName>
    <definedName name="_TEE2">#REF!</definedName>
    <definedName name="_TEE32">#REF!</definedName>
    <definedName name="_TEE33">#REF!</definedName>
    <definedName name="_TEJAB">[30]BASE!$D$77</definedName>
    <definedName name="_TEJAJ">[30]BASE!$D$1681</definedName>
    <definedName name="_TELEP">[31]BASE!$D$107</definedName>
    <definedName name="_TEP44">[9]BASE!$D$116</definedName>
    <definedName name="_TES44">#REF!</definedName>
    <definedName name="_TES64">#REF!</definedName>
    <definedName name="_TES66">#REF!</definedName>
    <definedName name="_TGALV">[30]BASE!$D$1662</definedName>
    <definedName name="_THF12">#REF!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[31]BASE!$D$1253</definedName>
    <definedName name="_TNOV12">[31]BASE!$D$1254</definedName>
    <definedName name="_TNOV16">[30]BASE!$D$1514</definedName>
    <definedName name="_TNOV18">[31]BASE!$D$1256</definedName>
    <definedName name="_TNOV20">[31]BASE!$D$1257</definedName>
    <definedName name="_TNOV6">[31]BASE!$D$1251</definedName>
    <definedName name="_TNOV8">[31]BASE!$D$1252</definedName>
    <definedName name="_TORNI">[30]BASE!$D$1692</definedName>
    <definedName name="_TPE1132">[9]BASE!#REF!</definedName>
    <definedName name="_TPE12">#REF!</definedName>
    <definedName name="_TPE1331">[9]BASE!#REF!</definedName>
    <definedName name="_TPE1701">#REF!</definedName>
    <definedName name="_TPE1702">[9]BASE!#REF!</definedName>
    <definedName name="_TPE1703">[9]BASE!#REF!</definedName>
    <definedName name="_TPE1704">[9]BASE!#REF!</definedName>
    <definedName name="_TPE1706">[9]BASE!#REF!</definedName>
    <definedName name="_TPE1708">[9]BASE!#REF!</definedName>
    <definedName name="_TPE1710">[9]BASE!#REF!</definedName>
    <definedName name="_TPE1735">[9]BASE!#REF!</definedName>
    <definedName name="_TPE1763">[9]BASE!#REF!</definedName>
    <definedName name="_TPE1790">[9]BASE!#REF!</definedName>
    <definedName name="_TPE8016">#REF!</definedName>
    <definedName name="_TPE8020">#REF!</definedName>
    <definedName name="_TPE8025">#REF!</definedName>
    <definedName name="_TPF12">[2]BASE!$D$217</definedName>
    <definedName name="_TPN1002">#REF!</definedName>
    <definedName name="_TPN1003">#REF!</definedName>
    <definedName name="_TPN1004">#REF!</definedName>
    <definedName name="_TPN1006">#REF!</definedName>
    <definedName name="_TPN10075">#REF!</definedName>
    <definedName name="_TPN1008">#REF!</definedName>
    <definedName name="_TPN1010">#REF!</definedName>
    <definedName name="_TPN1012">#REF!</definedName>
    <definedName name="_TPN1202">#REF!</definedName>
    <definedName name="_TPN1203">#REF!</definedName>
    <definedName name="_TPN1204">#REF!</definedName>
    <definedName name="_TPN1206">#REF!</definedName>
    <definedName name="_TPN1208">#REF!</definedName>
    <definedName name="_TPN1210">#REF!</definedName>
    <definedName name="_TPN1212">#REF!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N1611">[34]BASE!$D$893</definedName>
    <definedName name="_TPN2096">[35]BASE!$D$876</definedName>
    <definedName name="_TPVCME">[30]BASE!$D$92</definedName>
    <definedName name="_TPVCP1">[30]BASE!$D$93</definedName>
    <definedName name="_TR114">#REF!</definedName>
    <definedName name="_TRANAG">[31]BASE!$D$135</definedName>
    <definedName name="_TRANAR">[31]BASE!$D$129</definedName>
    <definedName name="_TRANS">[31]BASE!$D$130</definedName>
    <definedName name="_TRITM">[30]BASE!$D$72</definedName>
    <definedName name="_TRITU">[31]BASE!$D$63</definedName>
    <definedName name="_TUBS4">[30]BASE!$D$1489</definedName>
    <definedName name="_TUBS6">[30]BASE!$D$1490</definedName>
    <definedName name="_TUZ22">'[10]BASE ORIGINAL'!#REF!</definedName>
    <definedName name="_TUZ36">'[10]BASE ORIGINAL'!#REF!</definedName>
    <definedName name="_TZ133">[34]BASE!$D$162</definedName>
    <definedName name="_TZ2110">[2]BASE!$D$79</definedName>
    <definedName name="_TZ2112">#REF!</definedName>
    <definedName name="_TZ2114">#REF!</definedName>
    <definedName name="_TZ2116">#REF!</definedName>
    <definedName name="_TZ212">#REF!</definedName>
    <definedName name="_TZ213">#REF!</definedName>
    <definedName name="_TZ214">[9]BASE!$D$86</definedName>
    <definedName name="_TZ216">[9]BASE!$D$87</definedName>
    <definedName name="_TZ218">#REF!</definedName>
    <definedName name="_TZ225">#REF!</definedName>
    <definedName name="_TZ2610">#REF!</definedName>
    <definedName name="_TZ2612">#REF!</definedName>
    <definedName name="_TZ262">#REF!</definedName>
    <definedName name="_TZ263">#REF!</definedName>
    <definedName name="_TZ264">#REF!</definedName>
    <definedName name="_TZ266">#REF!</definedName>
    <definedName name="_TZ268">[5]BASE!$D$85</definedName>
    <definedName name="_TZ323">'[10]BASE ORIGINAL'!#REF!</definedName>
    <definedName name="_TZ324">'[10]BASE ORIGINAL'!#REF!</definedName>
    <definedName name="_TZ32510">[9]BASE!$D$106</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DD06">#REF!</definedName>
    <definedName name="_UDD08">#REF!</definedName>
    <definedName name="_UNI32">#REF!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EP3">[30]BASE!$D$169</definedName>
    <definedName name="_VCEL2">[30]BASE!$D$1721</definedName>
    <definedName name="_VCEL3">[30]BASE!$D$1720</definedName>
    <definedName name="_VCELA3">[30]BASE!$D$1725</definedName>
    <definedName name="_VEN04">#REF!</definedName>
    <definedName name="_VIAJE">[31]BASE!$D$131</definedName>
    <definedName name="_VIBGA">[31]BASE!$D$99</definedName>
    <definedName name="_VIBRE">[31]BASE!$D$100</definedName>
    <definedName name="_VIDRI">[30]BASE!$D$1687</definedName>
    <definedName name="a" localSheetId="38">#REF!</definedName>
    <definedName name="a" localSheetId="35">#REF!</definedName>
    <definedName name="a" localSheetId="42">#REF!</definedName>
    <definedName name="a" localSheetId="18">#REF!</definedName>
    <definedName name="a" localSheetId="41">#REF!</definedName>
    <definedName name="a" localSheetId="34">#REF!</definedName>
    <definedName name="a" localSheetId="33">#REF!</definedName>
    <definedName name="a" localSheetId="28">#REF!</definedName>
    <definedName name="a" localSheetId="37">#REF!</definedName>
    <definedName name="a" localSheetId="39">#REF!</definedName>
    <definedName name="a" localSheetId="15">#REF!</definedName>
    <definedName name="a" localSheetId="16">#REF!</definedName>
    <definedName name="a" localSheetId="36">#REF!</definedName>
    <definedName name="a" localSheetId="21">#REF!</definedName>
    <definedName name="a" localSheetId="23">#REF!</definedName>
    <definedName name="a" localSheetId="9">#REF!</definedName>
    <definedName name="a" localSheetId="10">#REF!</definedName>
    <definedName name="a" localSheetId="11">#REF!</definedName>
    <definedName name="a" localSheetId="12">#REF!</definedName>
    <definedName name="a" localSheetId="14">#REF!</definedName>
    <definedName name="a" localSheetId="3">#REF!</definedName>
    <definedName name="a" localSheetId="4">#REF!</definedName>
    <definedName name="a" localSheetId="20">#REF!</definedName>
    <definedName name="a" localSheetId="31">#REF!</definedName>
    <definedName name="a">#REF!</definedName>
    <definedName name="A_IMPRESIÓN_IM" localSheetId="38">#REF!</definedName>
    <definedName name="A_IMPRESIÓN_IM" localSheetId="35">#REF!</definedName>
    <definedName name="A_IMPRESIÓN_IM" localSheetId="42">#REF!</definedName>
    <definedName name="A_IMPRESIÓN_IM" localSheetId="18">#REF!</definedName>
    <definedName name="A_IMPRESIÓN_IM" localSheetId="41">#REF!</definedName>
    <definedName name="A_IMPRESIÓN_IM" localSheetId="34">#REF!</definedName>
    <definedName name="A_IMPRESIÓN_IM" localSheetId="33">#REF!</definedName>
    <definedName name="A_IMPRESIÓN_IM" localSheetId="28">#REF!</definedName>
    <definedName name="A_IMPRESIÓN_IM" localSheetId="37">#REF!</definedName>
    <definedName name="A_IMPRESIÓN_IM" localSheetId="39">#REF!</definedName>
    <definedName name="A_IMPRESIÓN_IM" localSheetId="15">#REF!</definedName>
    <definedName name="A_IMPRESIÓN_IM" localSheetId="16">#REF!</definedName>
    <definedName name="A_IMPRESIÓN_IM" localSheetId="36">#REF!</definedName>
    <definedName name="A_IMPRESIÓN_IM" localSheetId="21">#REF!</definedName>
    <definedName name="A_IMPRESIÓN_IM" localSheetId="23">#REF!</definedName>
    <definedName name="A_IMPRESIÓN_IM" localSheetId="9">#REF!</definedName>
    <definedName name="A_IMPRESIÓN_IM" localSheetId="10">#REF!</definedName>
    <definedName name="A_IMPRESIÓN_IM" localSheetId="11">#REF!</definedName>
    <definedName name="A_IMPRESIÓN_IM" localSheetId="12">#REF!</definedName>
    <definedName name="A_IMPRESIÓN_IM" localSheetId="14">#REF!</definedName>
    <definedName name="A_IMPRESIÓN_IM" localSheetId="3">#REF!</definedName>
    <definedName name="A_IMPRESIÓN_IM" localSheetId="4">#REF!</definedName>
    <definedName name="A_IMPRESIÓN_IM" localSheetId="20">#REF!</definedName>
    <definedName name="A_IMPRESIÓN_IM" localSheetId="31">#REF!</definedName>
    <definedName name="A_IMPRESIÓN_IM">#REF!</definedName>
    <definedName name="A40FI">#REF!</definedName>
    <definedName name="A40LI">[2]BASE!$D$22</definedName>
    <definedName name="A60FI">[2]BASE!$D$21</definedName>
    <definedName name="A60FI1">#REF!</definedName>
    <definedName name="aa" localSheetId="38">#REF!</definedName>
    <definedName name="aa" localSheetId="35">#REF!</definedName>
    <definedName name="aa" localSheetId="42">#REF!</definedName>
    <definedName name="aa" localSheetId="18">#REF!</definedName>
    <definedName name="aa" localSheetId="41">#REF!</definedName>
    <definedName name="aa" localSheetId="34">#REF!</definedName>
    <definedName name="aa" localSheetId="33">#REF!</definedName>
    <definedName name="aa" localSheetId="28">#REF!</definedName>
    <definedName name="aa" localSheetId="37">#REF!</definedName>
    <definedName name="aa" localSheetId="39">#REF!</definedName>
    <definedName name="aa" localSheetId="15">#REF!</definedName>
    <definedName name="aa" localSheetId="16">#REF!</definedName>
    <definedName name="aa" localSheetId="36">#REF!</definedName>
    <definedName name="aa" localSheetId="21">#REF!</definedName>
    <definedName name="aa" localSheetId="23">#REF!</definedName>
    <definedName name="aa" localSheetId="9">#REF!</definedName>
    <definedName name="aa" localSheetId="10">#REF!</definedName>
    <definedName name="aa" localSheetId="11">#REF!</definedName>
    <definedName name="aa" localSheetId="12">#REF!</definedName>
    <definedName name="aa" localSheetId="14">#REF!</definedName>
    <definedName name="aa" localSheetId="3">#REF!</definedName>
    <definedName name="aa" localSheetId="4">#REF!</definedName>
    <definedName name="aa" localSheetId="20">#REF!</definedName>
    <definedName name="aa" localSheetId="31">#REF!</definedName>
    <definedName name="aa">#REF!</definedName>
    <definedName name="aaa" localSheetId="38">#REF!</definedName>
    <definedName name="aaa" localSheetId="35">#REF!</definedName>
    <definedName name="aaa" localSheetId="18">#REF!</definedName>
    <definedName name="aaa" localSheetId="41">#REF!</definedName>
    <definedName name="aaa" localSheetId="34">#REF!</definedName>
    <definedName name="aaa" localSheetId="33">#REF!</definedName>
    <definedName name="aaa" localSheetId="28">#REF!</definedName>
    <definedName name="aaa" localSheetId="37">#REF!</definedName>
    <definedName name="aaa" localSheetId="39">#REF!</definedName>
    <definedName name="aaa" localSheetId="15">#REF!</definedName>
    <definedName name="aaa" localSheetId="16">#REF!</definedName>
    <definedName name="aaa" localSheetId="36">#REF!</definedName>
    <definedName name="aaa" localSheetId="21">#REF!</definedName>
    <definedName name="aaa" localSheetId="23">#REF!</definedName>
    <definedName name="aaa" localSheetId="9">#REF!</definedName>
    <definedName name="aaa" localSheetId="10">#REF!</definedName>
    <definedName name="aaa" localSheetId="11">#REF!</definedName>
    <definedName name="aaa" localSheetId="12">#REF!</definedName>
    <definedName name="aaa" localSheetId="14">#REF!</definedName>
    <definedName name="aaa" localSheetId="3">#REF!</definedName>
    <definedName name="aaa" localSheetId="4">#REF!</definedName>
    <definedName name="aaa" localSheetId="20">#REF!</definedName>
    <definedName name="aaa" localSheetId="31">#REF!</definedName>
    <definedName name="aaa">#REF!</definedName>
    <definedName name="AAC">[27]AASHTO!$A$14:$F$17</definedName>
    <definedName name="AB">[1]BASE!#REF!</definedName>
    <definedName name="ABG">[27]AASHTO!$A$2:$F$5</definedName>
    <definedName name="AC">[1]BASE!#REF!</definedName>
    <definedName name="ACARRH">[34]BASE!$D$136</definedName>
    <definedName name="ACOM">#REF!</definedName>
    <definedName name="ACOND">[2]BASE!$D$215</definedName>
    <definedName name="ACPM">#REF!</definedName>
    <definedName name="Acta">#REF!</definedName>
    <definedName name="Acta1">#REF!</definedName>
    <definedName name="actividad">#REF!</definedName>
    <definedName name="actividades">'[36]base de datos'!$P$3:$P$62</definedName>
    <definedName name="AD">'[3]BASE ORIGINAL'!#REF!</definedName>
    <definedName name="ADMINISTRA">[37]AIU!$C$38</definedName>
    <definedName name="ADMM">#REF!</definedName>
    <definedName name="admon" localSheetId="38">#REF!</definedName>
    <definedName name="admon" localSheetId="35">#REF!</definedName>
    <definedName name="admon" localSheetId="42">#REF!</definedName>
    <definedName name="admon" localSheetId="18">#REF!</definedName>
    <definedName name="admon" localSheetId="41">#REF!</definedName>
    <definedName name="admon" localSheetId="34">#REF!</definedName>
    <definedName name="admon" localSheetId="33">#REF!</definedName>
    <definedName name="admon" localSheetId="28">#REF!</definedName>
    <definedName name="admon" localSheetId="37">#REF!</definedName>
    <definedName name="admon" localSheetId="39">#REF!</definedName>
    <definedName name="admon" localSheetId="15">#REF!</definedName>
    <definedName name="admon" localSheetId="16">#REF!</definedName>
    <definedName name="admon" localSheetId="36">#REF!</definedName>
    <definedName name="admon" localSheetId="21">#REF!</definedName>
    <definedName name="admon" localSheetId="23">#REF!</definedName>
    <definedName name="admon" localSheetId="9">#REF!</definedName>
    <definedName name="admon" localSheetId="10">#REF!</definedName>
    <definedName name="admon" localSheetId="11">#REF!</definedName>
    <definedName name="admon" localSheetId="12">#REF!</definedName>
    <definedName name="admon" localSheetId="14">#REF!</definedName>
    <definedName name="admon" localSheetId="3">#REF!</definedName>
    <definedName name="admon" localSheetId="4">#REF!</definedName>
    <definedName name="admon" localSheetId="20">#REF!</definedName>
    <definedName name="admon" localSheetId="31">#REF!</definedName>
    <definedName name="admon">#REF!</definedName>
    <definedName name="AE">'[3]BASE ORIGINAL'!#REF!</definedName>
    <definedName name="AF">'[3]BASE ORIGINAL'!#REF!</definedName>
    <definedName name="AG">'[3]BASE ORIGINAL'!#REF!</definedName>
    <definedName name="AGRICOLA">[38]PRES.AGRI!$B$1:$N$35</definedName>
    <definedName name="AGUA">[2]BASE!$D$340</definedName>
    <definedName name="AH">#REF!</definedName>
    <definedName name="AI">#REF!</definedName>
    <definedName name="AIU">[2]BASE!$C$3</definedName>
    <definedName name="AIU.">#REF!</definedName>
    <definedName name="AIU_2">[39]AIU!$C$44</definedName>
    <definedName name="aiun">#REF!</definedName>
    <definedName name="AJ">[6]REAJUSTESACTA1PROVI!#REF!</definedName>
    <definedName name="Ajizal">#REF!</definedName>
    <definedName name="AK">[1]BASE!#REF!</definedName>
    <definedName name="AL">#REF!</definedName>
    <definedName name="ALANR">[9]BASE!$D$23</definedName>
    <definedName name="ale">#REF!</definedName>
    <definedName name="alimentación">Alimentación!$B$2</definedName>
    <definedName name="ALPUA">[2]BASE!$D$244</definedName>
    <definedName name="AM">[1]BASE!#REF!</definedName>
    <definedName name="AN">[1]BASE!#REF!</definedName>
    <definedName name="ANDAM">[2]BASE!$D$320</definedName>
    <definedName name="ANTI" localSheetId="35">Apoyo!#REF!</definedName>
    <definedName name="ANTI" localSheetId="41">'CF&amp;O'!#REF!</definedName>
    <definedName name="ANTI" localSheetId="34">Cuantías!#REF!</definedName>
    <definedName name="ANTI" localSheetId="39">IVA!#REF!</definedName>
    <definedName name="ANTI" localSheetId="36">'Obra&amp;K'!#REF!</definedName>
    <definedName name="ANTI">'A&amp;PA'!$B$2</definedName>
    <definedName name="ANTRA">#REF!</definedName>
    <definedName name="AÑO">'[36]base de datos'!$Y$3:$Y$11</definedName>
    <definedName name="AO">[1]BASE!#REF!</definedName>
    <definedName name="AP">[1]BASE!#REF!</definedName>
    <definedName name="APOYO" localSheetId="34">Cuantías!#REF!</definedName>
    <definedName name="APOYO">Apoyo!$B$2</definedName>
    <definedName name="apu">#REF!</definedName>
    <definedName name="AQ">[1]BASE!#REF!</definedName>
    <definedName name="AR">[1]BASE!#REF!</definedName>
    <definedName name="ARANA">#REF!</definedName>
    <definedName name="Área_de_Cantidades">#REF!</definedName>
    <definedName name="_xlnm.Print_Area" localSheetId="38">'A&amp;PA'!$A$1:$E$25</definedName>
    <definedName name="_xlnm.Print_Area" localSheetId="25">'A. Lances - SIP'!$A$1:$D$95</definedName>
    <definedName name="_xlnm.Print_Area" localSheetId="32">Alimentación!$A$1:$E$66</definedName>
    <definedName name="_xlnm.Print_Area" localSheetId="35">Apoyo!$A$1:$C$49</definedName>
    <definedName name="_xlnm.Print_Area" localSheetId="42">#REF!</definedName>
    <definedName name="_xlnm.Print_Area" localSheetId="41">'CF&amp;O'!$A$1:$E$42</definedName>
    <definedName name="_xlnm.Print_Area" localSheetId="34">Cuantías!$A$1:$C$17</definedName>
    <definedName name="_xlnm.Print_Area" localSheetId="26">'D. Lances - SIP'!$A$6:$H$48</definedName>
    <definedName name="_xlnm.Print_Area" localSheetId="27">'DD. Lances - SIP'!$A$7:$H$48</definedName>
    <definedName name="_xlnm.Print_Area" localSheetId="33">Distintivos!$A$1:$C$16</definedName>
    <definedName name="_xlnm.Print_Area" localSheetId="22">'Evaluación financiera'!$A$1:$J$30</definedName>
    <definedName name="_xlnm.Print_Area" localSheetId="28">'Gtos DyM'!$A$1:$D$114</definedName>
    <definedName name="_xlnm.Print_Area" localSheetId="24">'Habilitados - SI'!$A$1:$G$44</definedName>
    <definedName name="_xlnm.Print_Area" localSheetId="29">Honorarios!$A$1:$C$18</definedName>
    <definedName name="_xlnm.Print_Area" localSheetId="37">'Imp &amp; garantías'!$A$1:$E$61</definedName>
    <definedName name="_xlnm.Print_Area" localSheetId="39">IVA!$A$1:$E$100</definedName>
    <definedName name="_xlnm.Print_Area" localSheetId="30">Jornal!$A$1:$J$44</definedName>
    <definedName name="_xlnm.Print_Area" localSheetId="40">'Notas PE'!$A$1:$E$40</definedName>
    <definedName name="_xlnm.Print_Area" localSheetId="36">'Obra&amp;K'!$A$1:$C$37</definedName>
    <definedName name="_xlnm.Print_Area" localSheetId="23">'PAB CR'!$A$1:$N$80</definedName>
    <definedName name="_xlnm.Print_Area" localSheetId="9">#REF!</definedName>
    <definedName name="_xlnm.Print_Area" localSheetId="10">'PE3-FPE'!#REF!</definedName>
    <definedName name="_xlnm.Print_Area" localSheetId="11">#REF!</definedName>
    <definedName name="_xlnm.Print_Area" localSheetId="12">#REF!</definedName>
    <definedName name="_xlnm.Print_Area" localSheetId="14">#REF!</definedName>
    <definedName name="_xlnm.Print_Area" localSheetId="1">'Plan Ejecución'!$A$1:$AE$244</definedName>
    <definedName name="_xlnm.Print_Area" localSheetId="3">'Ppto PSP'!$A$1:$G$14</definedName>
    <definedName name="_xlnm.Print_Area" localSheetId="2">'Presupuesto Contrato'!$A$1:$O$134</definedName>
    <definedName name="_xlnm.Print_Area" localSheetId="4">'Presupuesto Convenio'!$A$1:$U$194</definedName>
    <definedName name="_xlnm.Print_Area" localSheetId="20">'Propuesta económica O3'!$A$1:$J$78</definedName>
    <definedName name="_xlnm.Print_Area" localSheetId="31">Salarios!$A$1:$F$121</definedName>
    <definedName name="_xlnm.Print_Area">#REF!</definedName>
    <definedName name="areaprotegida">'[36]base de datos'!$S$3:$S$12</definedName>
    <definedName name="ARELC">[40]BASE!$D$68</definedName>
    <definedName name="ARELF">#REF!</definedName>
    <definedName name="ARENC">[9]BASE!$D$59</definedName>
    <definedName name="ARENI">#REF!</definedName>
    <definedName name="ARENP">[2]BASE!$D$51</definedName>
    <definedName name="AS">[1]BASE!#REF!</definedName>
    <definedName name="ASB">[27]AASHTO!$A$8:$F$11</definedName>
    <definedName name="AT">[1]BASE!#REF!</definedName>
    <definedName name="AU">[1]BASE!#REF!</definedName>
    <definedName name="AV">[1]BASE!#REF!</definedName>
    <definedName name="AW">'[3]BASE ORIGINAL'!#REF!</definedName>
    <definedName name="AX">'[3]BASE ORIGINAL'!#REF!</definedName>
    <definedName name="AY">'[3]BASE ORIGINAL'!#REF!</definedName>
    <definedName name="AYUDA">[2]BASE!$D$10</definedName>
    <definedName name="AYUDA_">[41]BASE!$D$12</definedName>
    <definedName name="AYUDR">[2]BASE!$D$11</definedName>
    <definedName name="AZ">'[3]BASE ORIGINAL'!#REF!</definedName>
    <definedName name="B">[1]BASE!#REF!</definedName>
    <definedName name="BA">#REF!</definedName>
    <definedName name="Base" localSheetId="38">#REF!</definedName>
    <definedName name="Base" localSheetId="35">#REF!</definedName>
    <definedName name="Base" localSheetId="42">#REF!</definedName>
    <definedName name="Base" localSheetId="18">#REF!</definedName>
    <definedName name="Base" localSheetId="41">#REF!</definedName>
    <definedName name="Base" localSheetId="34">#REF!</definedName>
    <definedName name="Base" localSheetId="33">#REF!</definedName>
    <definedName name="Base" localSheetId="28">#REF!</definedName>
    <definedName name="Base" localSheetId="37">#REF!</definedName>
    <definedName name="Base" localSheetId="39">#REF!</definedName>
    <definedName name="Base" localSheetId="15">#REF!</definedName>
    <definedName name="Base" localSheetId="16">#REF!</definedName>
    <definedName name="Base" localSheetId="36">#REF!</definedName>
    <definedName name="Base" localSheetId="21">#REF!</definedName>
    <definedName name="Base" localSheetId="23">#REF!</definedName>
    <definedName name="Base" localSheetId="9">#REF!</definedName>
    <definedName name="Base" localSheetId="10">#REF!</definedName>
    <definedName name="Base" localSheetId="11">#REF!</definedName>
    <definedName name="Base" localSheetId="12">#REF!</definedName>
    <definedName name="Base" localSheetId="14">#REF!</definedName>
    <definedName name="Base" localSheetId="3">#REF!</definedName>
    <definedName name="Base" localSheetId="4">#REF!</definedName>
    <definedName name="Base" localSheetId="20">#REF!</definedName>
    <definedName name="Base" localSheetId="31">#REF!</definedName>
    <definedName name="Base">#REF!</definedName>
    <definedName name="Base_EQ">[42]Equipos!$A$2:$D$74</definedName>
    <definedName name="Base_HE">[42]Herramienta!$A$2:$D$5</definedName>
    <definedName name="Base_MA">[42]Materiales!$A$2:$D$1246</definedName>
    <definedName name="Base_MO">'[42]Mano de Obra'!$A$2:$D$40</definedName>
    <definedName name="Base_OT">[42]Otros!$A$2:$D$44</definedName>
    <definedName name="_xlnm.Database" localSheetId="38">#REF!</definedName>
    <definedName name="_xlnm.Database" localSheetId="35">#REF!</definedName>
    <definedName name="_xlnm.Database" localSheetId="42">#REF!</definedName>
    <definedName name="_xlnm.Database" localSheetId="18">#REF!</definedName>
    <definedName name="_xlnm.Database" localSheetId="41">#REF!</definedName>
    <definedName name="_xlnm.Database" localSheetId="34">#REF!</definedName>
    <definedName name="_xlnm.Database" localSheetId="33">#REF!</definedName>
    <definedName name="_xlnm.Database" localSheetId="28">#REF!</definedName>
    <definedName name="_xlnm.Database" localSheetId="37">#REF!</definedName>
    <definedName name="_xlnm.Database" localSheetId="39">#REF!</definedName>
    <definedName name="_xlnm.Database" localSheetId="15">#REF!</definedName>
    <definedName name="_xlnm.Database" localSheetId="16">#REF!</definedName>
    <definedName name="_xlnm.Database" localSheetId="36">#REF!</definedName>
    <definedName name="_xlnm.Database" localSheetId="21">#REF!</definedName>
    <definedName name="_xlnm.Database" localSheetId="23">#REF!</definedName>
    <definedName name="_xlnm.Database" localSheetId="9">#REF!</definedName>
    <definedName name="_xlnm.Database" localSheetId="10">#REF!</definedName>
    <definedName name="_xlnm.Database" localSheetId="11">#REF!</definedName>
    <definedName name="_xlnm.Database" localSheetId="12">#REF!</definedName>
    <definedName name="_xlnm.Database" localSheetId="14">#REF!</definedName>
    <definedName name="_xlnm.Database" localSheetId="3">#REF!</definedName>
    <definedName name="_xlnm.Database" localSheetId="4">#REF!</definedName>
    <definedName name="_xlnm.Database" localSheetId="20">#REF!</definedName>
    <definedName name="_xlnm.Database" localSheetId="31">#REF!</definedName>
    <definedName name="_xlnm.Database">#REF!</definedName>
    <definedName name="BASEG">#REF!</definedName>
    <definedName name="BB">#REF!</definedName>
    <definedName name="BC">[6]REAJUSTESACTA1PROVI!#REF!</definedName>
    <definedName name="BD">[1]BASE!#REF!</definedName>
    <definedName name="BE">#REF!</definedName>
    <definedName name="BEB" localSheetId="38">#REF!</definedName>
    <definedName name="BEB" localSheetId="35">#REF!</definedName>
    <definedName name="BEB" localSheetId="42">#REF!</definedName>
    <definedName name="BEB" localSheetId="18">#REF!</definedName>
    <definedName name="BEB" localSheetId="41">#REF!</definedName>
    <definedName name="BEB" localSheetId="34">#REF!</definedName>
    <definedName name="BEB" localSheetId="33">#REF!</definedName>
    <definedName name="BEB" localSheetId="28">#REF!</definedName>
    <definedName name="BEB" localSheetId="37">#REF!</definedName>
    <definedName name="BEB" localSheetId="39">#REF!</definedName>
    <definedName name="BEB" localSheetId="15">#REF!</definedName>
    <definedName name="BEB" localSheetId="16">#REF!</definedName>
    <definedName name="BEB" localSheetId="36">#REF!</definedName>
    <definedName name="BEB" localSheetId="21">#REF!</definedName>
    <definedName name="BEB" localSheetId="23">#REF!</definedName>
    <definedName name="BEB" localSheetId="9">#REF!</definedName>
    <definedName name="BEB" localSheetId="10">#REF!</definedName>
    <definedName name="BEB" localSheetId="11">#REF!</definedName>
    <definedName name="BEB" localSheetId="12">#REF!</definedName>
    <definedName name="BEB" localSheetId="14">#REF!</definedName>
    <definedName name="BEB" localSheetId="3">#REF!</definedName>
    <definedName name="BEB" localSheetId="4">#REF!</definedName>
    <definedName name="BEB" localSheetId="20">#REF!</definedName>
    <definedName name="BEB" localSheetId="31">#REF!</definedName>
    <definedName name="BEB">#REF!</definedName>
    <definedName name="BF">[1]BASE!#REF!</definedName>
    <definedName name="BG">[1]BASE!#REF!</definedName>
    <definedName name="BH">[1]BASE!#REF!</definedName>
    <definedName name="BI">[1]BASE!#REF!</definedName>
    <definedName name="BISCO">[5]BASE!$D$253</definedName>
    <definedName name="BJ">[1]BASE!#REF!</definedName>
    <definedName name="BK">[1]BASE!#REF!</definedName>
    <definedName name="BL">[1]BASE!#REF!</definedName>
    <definedName name="BM">[1]BASE!#REF!</definedName>
    <definedName name="BN">[1]BASE!#REF!</definedName>
    <definedName name="BO">[1]BASE!#REF!</definedName>
    <definedName name="BOMBA">[2]BASE!$D$323</definedName>
    <definedName name="BOTAD">[2]BASE!$D$331</definedName>
    <definedName name="BOTADA">#REF!</definedName>
    <definedName name="BOTES">[2]BASE!$D$335</definedName>
    <definedName name="BP">'[3]BASE ORIGINAL'!#REF!</definedName>
    <definedName name="BQ">'[3]BASE ORIGINAL'!#REF!</definedName>
    <definedName name="BR">'[3]BASE ORIGINAL'!#REF!</definedName>
    <definedName name="BROCH">#REF!</definedName>
    <definedName name="BS">'[3]BASE ORIGINAL'!#REF!</definedName>
    <definedName name="BSOL64">[2]BASE!$D$122</definedName>
    <definedName name="BT">#REF!</definedName>
    <definedName name="BU">#REF!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LDOZ">#REF!</definedName>
    <definedName name="BV">[6]REAJUSTESACTA1PROVI!#REF!</definedName>
    <definedName name="BW">[1]BASE!#REF!</definedName>
    <definedName name="BX">#REF!</definedName>
    <definedName name="BY">[1]BASE!#REF!</definedName>
    <definedName name="BZ">[1]BASE!#REF!</definedName>
    <definedName name="C90445L">#REF!</definedName>
    <definedName name="CA">[1]BASE!#REF!</definedName>
    <definedName name="caa">#REF!</definedName>
    <definedName name="CABAL">[9]BASE!$D$396</definedName>
    <definedName name="CAJAC">#REF!</definedName>
    <definedName name="CAJAV">[2]BASE!$D$296</definedName>
    <definedName name="CAJMI">#REF!</definedName>
    <definedName name="CAMBIO">#REF!</definedName>
    <definedName name="CANAL">#REF!</definedName>
    <definedName name="CANAL6">[2]BASE!$D$264</definedName>
    <definedName name="CANGU">[2]BASE!$D$308</definedName>
    <definedName name="Cantidad">#REF!</definedName>
    <definedName name="CAP" localSheetId="38">#REF!</definedName>
    <definedName name="CAP" localSheetId="35">#REF!</definedName>
    <definedName name="CAP" localSheetId="18">#REF!</definedName>
    <definedName name="CAP" localSheetId="41">#REF!</definedName>
    <definedName name="CAP" localSheetId="34">#REF!</definedName>
    <definedName name="CAP" localSheetId="33">#REF!</definedName>
    <definedName name="CAP" localSheetId="28">#REF!</definedName>
    <definedName name="CAP" localSheetId="37">#REF!</definedName>
    <definedName name="CAP" localSheetId="39">#REF!</definedName>
    <definedName name="CAP" localSheetId="15">#REF!</definedName>
    <definedName name="CAP" localSheetId="16">#REF!</definedName>
    <definedName name="CAP" localSheetId="36">#REF!</definedName>
    <definedName name="CAP" localSheetId="21">#REF!</definedName>
    <definedName name="CAP" localSheetId="23">#REF!</definedName>
    <definedName name="CAP" localSheetId="9">#REF!</definedName>
    <definedName name="CAP" localSheetId="10">#REF!</definedName>
    <definedName name="CAP" localSheetId="11">#REF!</definedName>
    <definedName name="CAP" localSheetId="12">#REF!</definedName>
    <definedName name="CAP" localSheetId="14">#REF!</definedName>
    <definedName name="CAP" localSheetId="3">#REF!</definedName>
    <definedName name="CAP" localSheetId="4">#REF!</definedName>
    <definedName name="CAP" localSheetId="20">#REF!</definedName>
    <definedName name="CAP" localSheetId="31">#REF!</definedName>
    <definedName name="CAP">#REF!</definedName>
    <definedName name="CARGAD">#REF!</definedName>
    <definedName name="CARGUER">[43]BASE!$D$392</definedName>
    <definedName name="CARRTA">#REF!</definedName>
    <definedName name="Casa">#REF!</definedName>
    <definedName name="CB">[1]BASE!#REF!</definedName>
    <definedName name="CC">'[3]BASE ORIGINAL'!#REF!</definedName>
    <definedName name="cd">[44]Hoja1!$C$81</definedName>
    <definedName name="CD454JH">[2]BASE!$D$201</definedName>
    <definedName name="CE">'[3]BASE ORIGINAL'!#REF!</definedName>
    <definedName name="CEMEG">[2]BASE!$D$55</definedName>
    <definedName name="CF">'[3]BASE ORIGINAL'!#REF!</definedName>
    <definedName name="CG">#REF!</definedName>
    <definedName name="CH">#REF!</definedName>
    <definedName name="CHAPA">[2]BASE!$D$249</definedName>
    <definedName name="CI">[6]REAJUSTESACTA1PROVI!#REF!</definedName>
    <definedName name="CJ">[1]BASE!#REF!</definedName>
    <definedName name="CK">#REF!</definedName>
    <definedName name="CL">[1]BASE!#REF!</definedName>
    <definedName name="clav">[17]BASE!$D$78</definedName>
    <definedName name="CLAVO">[2]BASE!$D$69</definedName>
    <definedName name="clcl" localSheetId="38">#REF!</definedName>
    <definedName name="clcl" localSheetId="35">#REF!</definedName>
    <definedName name="clcl" localSheetId="42">#REF!</definedName>
    <definedName name="clcl" localSheetId="18">#REF!</definedName>
    <definedName name="clcl" localSheetId="41">#REF!</definedName>
    <definedName name="clcl" localSheetId="34">#REF!</definedName>
    <definedName name="clcl" localSheetId="33">#REF!</definedName>
    <definedName name="clcl" localSheetId="28">#REF!</definedName>
    <definedName name="clcl" localSheetId="37">#REF!</definedName>
    <definedName name="clcl" localSheetId="39">#REF!</definedName>
    <definedName name="clcl" localSheetId="15">#REF!</definedName>
    <definedName name="clcl" localSheetId="16">#REF!</definedName>
    <definedName name="clcl" localSheetId="36">#REF!</definedName>
    <definedName name="clcl" localSheetId="21">#REF!</definedName>
    <definedName name="clcl" localSheetId="23">#REF!</definedName>
    <definedName name="clcl" localSheetId="9">#REF!</definedName>
    <definedName name="clcl" localSheetId="10">#REF!</definedName>
    <definedName name="clcl" localSheetId="11">#REF!</definedName>
    <definedName name="clcl" localSheetId="12">#REF!</definedName>
    <definedName name="clcl" localSheetId="14">#REF!</definedName>
    <definedName name="clcl" localSheetId="3">#REF!</definedName>
    <definedName name="clcl" localSheetId="4">#REF!</definedName>
    <definedName name="clcl" localSheetId="20">#REF!</definedName>
    <definedName name="clcl" localSheetId="31">#REF!</definedName>
    <definedName name="clcl">#REF!</definedName>
    <definedName name="CM">[1]BASE!#REF!</definedName>
    <definedName name="CMMO">#REF!</definedName>
    <definedName name="CMMOA">[45]BASE!$D$455</definedName>
    <definedName name="CN">[1]BASE!#REF!</definedName>
    <definedName name="CO">[1]BASE!#REF!</definedName>
    <definedName name="CO22JH">#REF!</definedName>
    <definedName name="CO23JH">#REF!</definedName>
    <definedName name="CO456JH">[2]BASE!$D$203</definedName>
    <definedName name="CO458JH">[40]BASE!$D$329</definedName>
    <definedName name="CO45S2">#REF!</definedName>
    <definedName name="CO45S3">#REF!</definedName>
    <definedName name="CO45S4">#REF!</definedName>
    <definedName name="CO45S6">[9]BASE!$D$203</definedName>
    <definedName name="CO902JH">#REF!</definedName>
    <definedName name="CO903JH">#REF!</definedName>
    <definedName name="CO904JH">[2]BASE!$D$196</definedName>
    <definedName name="CO906JH">[2]BASE!$D$197</definedName>
    <definedName name="CO908JH">[40]BASE!$D$328</definedName>
    <definedName name="CO90P4">#REF!</definedName>
    <definedName name="CO90S2">#REF!</definedName>
    <definedName name="CO90S3">#REF!</definedName>
    <definedName name="CO90S4">[2]BASE!$D$130</definedName>
    <definedName name="CO90S6">[9]BASE!$D$198</definedName>
    <definedName name="CO910JH">[9]BASE!$D$329</definedName>
    <definedName name="Cod" localSheetId="38">#REF!</definedName>
    <definedName name="Cod" localSheetId="35">#REF!</definedName>
    <definedName name="Cod" localSheetId="42">#REF!</definedName>
    <definedName name="Cod" localSheetId="18">#REF!</definedName>
    <definedName name="Cod" localSheetId="41">#REF!</definedName>
    <definedName name="Cod" localSheetId="34">#REF!</definedName>
    <definedName name="Cod" localSheetId="33">#REF!</definedName>
    <definedName name="Cod" localSheetId="28">#REF!</definedName>
    <definedName name="Cod" localSheetId="37">#REF!</definedName>
    <definedName name="Cod" localSheetId="39">#REF!</definedName>
    <definedName name="Cod" localSheetId="15">#REF!</definedName>
    <definedName name="Cod" localSheetId="16">#REF!</definedName>
    <definedName name="Cod" localSheetId="36">#REF!</definedName>
    <definedName name="Cod" localSheetId="21">#REF!</definedName>
    <definedName name="Cod" localSheetId="23">#REF!</definedName>
    <definedName name="Cod" localSheetId="9">#REF!</definedName>
    <definedName name="Cod" localSheetId="10">#REF!</definedName>
    <definedName name="Cod" localSheetId="11">#REF!</definedName>
    <definedName name="Cod" localSheetId="12">#REF!</definedName>
    <definedName name="Cod" localSheetId="14">#REF!</definedName>
    <definedName name="Cod" localSheetId="3">#REF!</definedName>
    <definedName name="Cod" localSheetId="4">#REF!</definedName>
    <definedName name="Cod" localSheetId="20">#REF!</definedName>
    <definedName name="Cod" localSheetId="31">#REF!</definedName>
    <definedName name="Cod">#REF!</definedName>
    <definedName name="cod_programa">'[36]base de datos'!$M$3:$M$9</definedName>
    <definedName name="cod_proyecto">'[36]base de datos'!$O$3:$O$18</definedName>
    <definedName name="CODOS" localSheetId="38">#REF!</definedName>
    <definedName name="CODOS" localSheetId="35">#REF!</definedName>
    <definedName name="CODOS" localSheetId="42">#REF!</definedName>
    <definedName name="CODOS" localSheetId="18">#REF!</definedName>
    <definedName name="CODOS" localSheetId="41">#REF!</definedName>
    <definedName name="CODOS" localSheetId="34">#REF!</definedName>
    <definedName name="CODOS" localSheetId="33">#REF!</definedName>
    <definedName name="CODOS" localSheetId="28">#REF!</definedName>
    <definedName name="CODOS" localSheetId="37">#REF!</definedName>
    <definedName name="CODOS" localSheetId="39">#REF!</definedName>
    <definedName name="CODOS" localSheetId="15">#REF!</definedName>
    <definedName name="CODOS" localSheetId="16">#REF!</definedName>
    <definedName name="CODOS" localSheetId="36">#REF!</definedName>
    <definedName name="CODOS" localSheetId="21">#REF!</definedName>
    <definedName name="CODOS" localSheetId="23">#REF!</definedName>
    <definedName name="CODOS" localSheetId="9">#REF!</definedName>
    <definedName name="CODOS" localSheetId="10">#REF!</definedName>
    <definedName name="CODOS" localSheetId="11">#REF!</definedName>
    <definedName name="CODOS" localSheetId="12">#REF!</definedName>
    <definedName name="CODOS" localSheetId="14">#REF!</definedName>
    <definedName name="CODOS" localSheetId="3">#REF!</definedName>
    <definedName name="CODOS" localSheetId="4">#REF!</definedName>
    <definedName name="CODOS" localSheetId="20">#REF!</definedName>
    <definedName name="CODOS" localSheetId="31">#REF!</definedName>
    <definedName name="CODOS">#REF!</definedName>
    <definedName name="codos2" localSheetId="38">#REF!</definedName>
    <definedName name="codos2" localSheetId="35">#REF!</definedName>
    <definedName name="codos2" localSheetId="18">#REF!</definedName>
    <definedName name="codos2" localSheetId="41">#REF!</definedName>
    <definedName name="codos2" localSheetId="34">#REF!</definedName>
    <definedName name="codos2" localSheetId="33">#REF!</definedName>
    <definedName name="codos2" localSheetId="28">#REF!</definedName>
    <definedName name="codos2" localSheetId="37">#REF!</definedName>
    <definedName name="codos2" localSheetId="39">#REF!</definedName>
    <definedName name="codos2" localSheetId="15">#REF!</definedName>
    <definedName name="codos2" localSheetId="16">#REF!</definedName>
    <definedName name="codos2" localSheetId="36">#REF!</definedName>
    <definedName name="codos2" localSheetId="21">#REF!</definedName>
    <definedName name="codos2" localSheetId="23">#REF!</definedName>
    <definedName name="codos2" localSheetId="9">#REF!</definedName>
    <definedName name="codos2" localSheetId="10">#REF!</definedName>
    <definedName name="codos2" localSheetId="11">#REF!</definedName>
    <definedName name="codos2" localSheetId="12">#REF!</definedName>
    <definedName name="codos2" localSheetId="14">#REF!</definedName>
    <definedName name="codos2" localSheetId="3">#REF!</definedName>
    <definedName name="codos2" localSheetId="4">#REF!</definedName>
    <definedName name="codos2" localSheetId="20">#REF!</definedName>
    <definedName name="codos2" localSheetId="31">#REF!</definedName>
    <definedName name="codos2">#REF!</definedName>
    <definedName name="ColTap">'[28]Coloc. e Interc. Tapones'!$E$1:$E$65536</definedName>
    <definedName name="COMN1">[46]BASE!#REF!</definedName>
    <definedName name="COMPR">#REF!</definedName>
    <definedName name="CONM1">[2]BASE!$D$309</definedName>
    <definedName name="CONM2">[2]BASE!$D$310</definedName>
    <definedName name="CONMI">[46]BASE!#REF!</definedName>
    <definedName name="CONMX">[9]BASE!$D$505</definedName>
    <definedName name="copia">#REF!</definedName>
    <definedName name="copia1" localSheetId="38">#REF!</definedName>
    <definedName name="copia1" localSheetId="35">#REF!</definedName>
    <definedName name="copia1" localSheetId="42">#REF!</definedName>
    <definedName name="copia1" localSheetId="18">#REF!</definedName>
    <definedName name="copia1" localSheetId="41">#REF!</definedName>
    <definedName name="copia1" localSheetId="34">#REF!</definedName>
    <definedName name="copia1" localSheetId="33">#REF!</definedName>
    <definedName name="copia1" localSheetId="28">#REF!</definedName>
    <definedName name="copia1" localSheetId="37">#REF!</definedName>
    <definedName name="copia1" localSheetId="39">#REF!</definedName>
    <definedName name="copia1" localSheetId="15">#REF!</definedName>
    <definedName name="copia1" localSheetId="16">#REF!</definedName>
    <definedName name="copia1" localSheetId="36">#REF!</definedName>
    <definedName name="copia1" localSheetId="21">#REF!</definedName>
    <definedName name="copia1" localSheetId="23">#REF!</definedName>
    <definedName name="copia1" localSheetId="9">#REF!</definedName>
    <definedName name="copia1" localSheetId="10">#REF!</definedName>
    <definedName name="copia1" localSheetId="11">#REF!</definedName>
    <definedName name="copia1" localSheetId="12">#REF!</definedName>
    <definedName name="copia1" localSheetId="14">#REF!</definedName>
    <definedName name="copia1" localSheetId="3">#REF!</definedName>
    <definedName name="copia1" localSheetId="4">#REF!</definedName>
    <definedName name="copia1" localSheetId="20">#REF!</definedName>
    <definedName name="copia1" localSheetId="31">#REF!</definedName>
    <definedName name="copia1">#REF!</definedName>
    <definedName name="CORTA">[2]BASE!$D$319</definedName>
    <definedName name="CORTACT">[31]BASE!$D$124</definedName>
    <definedName name="cota">'[47]Base de Diseño'!$A$1:$D$290</definedName>
    <definedName name="COTAS">[48]Hoja3!$A$5:$B$154</definedName>
    <definedName name="COYLL">'[10]BASE ORIGINAL'!#REF!</definedName>
    <definedName name="CP">[1]BASE!#REF!</definedName>
    <definedName name="CP1045PN10">#REF!</definedName>
    <definedName name="CP1090PN10">#REF!</definedName>
    <definedName name="CP1245PN10">#REF!</definedName>
    <definedName name="CP452L">#REF!</definedName>
    <definedName name="CP453L">#REF!</definedName>
    <definedName name="CP454L">[34]BASE!$D$239</definedName>
    <definedName name="CP902L">#REF!</definedName>
    <definedName name="CP903L">#REF!</definedName>
    <definedName name="CP904L">[9]BASE!$D$421</definedName>
    <definedName name="CQ">[1]BASE!#REF!</definedName>
    <definedName name="CR">[1]BASE!#REF!</definedName>
    <definedName name="CR22JH">#REF!</definedName>
    <definedName name="CR42JH">#REF!</definedName>
    <definedName name="CR44JH">#REF!</definedName>
    <definedName name="CR66JH">[2]BASE!$D$178</definedName>
    <definedName name="CRAS">#REF!</definedName>
    <definedName name="CRK" localSheetId="35">Apoyo!#REF!</definedName>
    <definedName name="CRK" localSheetId="34">Cuantías!#REF!</definedName>
    <definedName name="CRK">'Obra&amp;K'!$B$2</definedName>
    <definedName name="CS">[1]BASE!#REF!</definedName>
    <definedName name="CSIKA">[9]BASE!$D$368</definedName>
    <definedName name="CT">[1]BASE!#REF!</definedName>
    <definedName name="CT070KG">#REF!</definedName>
    <definedName name="CT080KG">#REF!</definedName>
    <definedName name="CT110K">[49]PRELIM!$B$311</definedName>
    <definedName name="CT110KG">[2]BASE!$D$36</definedName>
    <definedName name="CT140K">[49]PRELIM!$B$329</definedName>
    <definedName name="CT140KG">[2]BASE!$D$35</definedName>
    <definedName name="CT170KG">#REF!</definedName>
    <definedName name="CT180K">[49]PRELIM!$B$346</definedName>
    <definedName name="CT180KG">#REF!</definedName>
    <definedName name="CT210K">[49]PRELIM!$B$363</definedName>
    <definedName name="CT210KG">[2]BASE!$D$33</definedName>
    <definedName name="CT245K">[49]PRELIM!$B$380</definedName>
    <definedName name="CT245KG">[2]BASE!$D$32</definedName>
    <definedName name="CT280KG">[31]BASE!$D$38</definedName>
    <definedName name="CTC140KG">[2]BASE!$D$37</definedName>
    <definedName name="CU">[1]BASE!#REF!</definedName>
    <definedName name="CUANTIAS">Cuantías!$B$2</definedName>
    <definedName name="cUCA">#REF!</definedName>
    <definedName name="CV">'[3]BASE ORIGINAL'!#REF!</definedName>
    <definedName name="CVa">'[28]Cambio de Valv.'!$E$1:$E$65536</definedName>
    <definedName name="CW">'[3]BASE ORIGINAL'!#REF!</definedName>
    <definedName name="Cwvu.ComparEneMar9697." hidden="1">'[50]Seguimiento CSF'!#REF!,'[50]Seguimiento CSF'!$30:$34,'[50]Seguimiento CSF'!$104:$104,'[50]Seguimiento CSF'!#REF!,'[50]Seguimiento CSF'!#REF!,'[50]Seguimiento CSF'!$124:$125</definedName>
    <definedName name="Cwvu.EneFeb." hidden="1">'[50]Seguimiento CSF'!#REF!,'[50]Seguimiento CSF'!#REF!</definedName>
    <definedName name="Cwvu.EneMar." hidden="1">'[50]Seguimiento CSF'!#REF!,'[50]Seguimiento CSF'!$67:$67,'[50]Seguimiento CSF'!#REF!,'[50]Seguimiento CSF'!#REF!</definedName>
    <definedName name="Cwvu.Formato._.Corto." hidden="1">'[50]Seguimiento CSF'!$11:$12,'[50]Seguimiento CSF'!#REF!,'[50]Seguimiento CSF'!$45:$46,'[50]Seguimiento CSF'!$48:$57,'[50]Seguimiento CSF'!$61:$63,'[50]Seguimiento CSF'!$65:$66,'[50]Seguimiento CSF'!$72:$82,'[50]Seguimiento CSF'!$89:$92,'[50]Seguimiento CSF'!$114:$116,'[50]Seguimiento CSF'!$118:$122,'[50]Seguimiento CSF'!$129:$132,'[50]Seguimiento CSF'!$134:$135</definedName>
    <definedName name="Cwvu.Formato._.Total." hidden="1">'[50]Seguimiento CSF'!#REF!,'[50]Seguimiento CSF'!#REF!,'[50]Seguimiento CSF'!#REF!</definedName>
    <definedName name="CX">'[3]BASE ORIGINAL'!#REF!</definedName>
    <definedName name="CY">'[3]BASE ORIGINAL'!#REF!</definedName>
    <definedName name="CYLL2">[2]BASE!$D$220</definedName>
    <definedName name="CYLL3">#REF!</definedName>
    <definedName name="CYLL4">#REF!</definedName>
    <definedName name="CYLL6">#REF!</definedName>
    <definedName name="CZ">#REF!</definedName>
    <definedName name="d">#REF!</definedName>
    <definedName name="DA">[1]BASE!#REF!</definedName>
    <definedName name="datos" localSheetId="38">#REF!</definedName>
    <definedName name="datos" localSheetId="35">#REF!</definedName>
    <definedName name="datos" localSheetId="42">#REF!</definedName>
    <definedName name="datos" localSheetId="18">#REF!</definedName>
    <definedName name="datos" localSheetId="41">#REF!</definedName>
    <definedName name="datos" localSheetId="34">#REF!</definedName>
    <definedName name="datos" localSheetId="33">#REF!</definedName>
    <definedName name="datos" localSheetId="28">#REF!</definedName>
    <definedName name="datos" localSheetId="37">#REF!</definedName>
    <definedName name="datos" localSheetId="39">#REF!</definedName>
    <definedName name="datos" localSheetId="15">#REF!</definedName>
    <definedName name="datos" localSheetId="16">#REF!</definedName>
    <definedName name="datos" localSheetId="36">#REF!</definedName>
    <definedName name="datos" localSheetId="21">#REF!</definedName>
    <definedName name="datos" localSheetId="23">#REF!</definedName>
    <definedName name="datos" localSheetId="9">#REF!</definedName>
    <definedName name="datos" localSheetId="10">#REF!</definedName>
    <definedName name="datos" localSheetId="11">#REF!</definedName>
    <definedName name="datos" localSheetId="12">#REF!</definedName>
    <definedName name="datos" localSheetId="14">#REF!</definedName>
    <definedName name="datos" localSheetId="3">#REF!</definedName>
    <definedName name="datos" localSheetId="4">#REF!</definedName>
    <definedName name="datos" localSheetId="20">#REF!</definedName>
    <definedName name="datos" localSheetId="31">#REF!</definedName>
    <definedName name="datos">#REF!</definedName>
    <definedName name="Datos_G1">#REF!</definedName>
    <definedName name="Datos_G2">#REF!</definedName>
    <definedName name="Datos_SW_G1">#REF!</definedName>
    <definedName name="Datos_SW_G2">#REF!</definedName>
    <definedName name="datos1">'[51]Base de Diseño'!$A$1:$D$204</definedName>
    <definedName name="datos2" localSheetId="38">#REF!</definedName>
    <definedName name="datos2" localSheetId="35">#REF!</definedName>
    <definedName name="datos2" localSheetId="42">#REF!</definedName>
    <definedName name="datos2" localSheetId="18">#REF!</definedName>
    <definedName name="datos2" localSheetId="41">#REF!</definedName>
    <definedName name="datos2" localSheetId="34">#REF!</definedName>
    <definedName name="datos2" localSheetId="33">#REF!</definedName>
    <definedName name="datos2" localSheetId="28">#REF!</definedName>
    <definedName name="datos2" localSheetId="37">#REF!</definedName>
    <definedName name="datos2" localSheetId="39">#REF!</definedName>
    <definedName name="datos2" localSheetId="15">#REF!</definedName>
    <definedName name="datos2" localSheetId="16">#REF!</definedName>
    <definedName name="datos2" localSheetId="36">#REF!</definedName>
    <definedName name="datos2" localSheetId="21">#REF!</definedName>
    <definedName name="datos2" localSheetId="23">#REF!</definedName>
    <definedName name="datos2" localSheetId="9">#REF!</definedName>
    <definedName name="datos2" localSheetId="10">#REF!</definedName>
    <definedName name="datos2" localSheetId="11">#REF!</definedName>
    <definedName name="datos2" localSheetId="12">#REF!</definedName>
    <definedName name="datos2" localSheetId="14">#REF!</definedName>
    <definedName name="datos2" localSheetId="3">#REF!</definedName>
    <definedName name="datos2" localSheetId="4">#REF!</definedName>
    <definedName name="datos2" localSheetId="20">#REF!</definedName>
    <definedName name="datos2" localSheetId="31">#REF!</definedName>
    <definedName name="datos2">#REF!</definedName>
    <definedName name="DB">[1]BASE!#REF!</definedName>
    <definedName name="DC">[1]BASE!#REF!</definedName>
    <definedName name="DD">'[3]BASE ORIGINAL'!#REF!</definedName>
    <definedName name="DE">#REF!</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si">#REF!</definedName>
    <definedName name="design">'[52]Design (3)'!$A$12:$CM$71</definedName>
    <definedName name="design2">[52]Design!$A$24:$CM$66</definedName>
    <definedName name="DF">'[3]BASE ORIGINAL'!#REF!</definedName>
    <definedName name="DG">'[3]BASE ORIGINAL'!#REF!</definedName>
    <definedName name="dghfs">#REF!</definedName>
    <definedName name="DH">'[3]BASE ORIGINAL'!#REF!</definedName>
    <definedName name="DI">#REF!</definedName>
    <definedName name="DIA">'[36]base de datos'!$V$3:$V$33</definedName>
    <definedName name="DIAME">#REF!</definedName>
    <definedName name="diametros" localSheetId="38">#REF!</definedName>
    <definedName name="diametros" localSheetId="35">#REF!</definedName>
    <definedName name="diametros" localSheetId="42">#REF!</definedName>
    <definedName name="diametros" localSheetId="18">#REF!</definedName>
    <definedName name="diametros" localSheetId="41">#REF!</definedName>
    <definedName name="diametros" localSheetId="34">#REF!</definedName>
    <definedName name="diametros" localSheetId="33">#REF!</definedName>
    <definedName name="diametros" localSheetId="28">#REF!</definedName>
    <definedName name="diametros" localSheetId="37">#REF!</definedName>
    <definedName name="diametros" localSheetId="39">#REF!</definedName>
    <definedName name="diametros" localSheetId="15">#REF!</definedName>
    <definedName name="diametros" localSheetId="16">#REF!</definedName>
    <definedName name="diametros" localSheetId="36">#REF!</definedName>
    <definedName name="diametros" localSheetId="21">#REF!</definedName>
    <definedName name="diametros" localSheetId="23">#REF!</definedName>
    <definedName name="diametros" localSheetId="9">#REF!</definedName>
    <definedName name="diametros" localSheetId="10">#REF!</definedName>
    <definedName name="diametros" localSheetId="11">#REF!</definedName>
    <definedName name="diametros" localSheetId="12">#REF!</definedName>
    <definedName name="diametros" localSheetId="14">#REF!</definedName>
    <definedName name="diametros" localSheetId="3">#REF!</definedName>
    <definedName name="diametros" localSheetId="4">#REF!</definedName>
    <definedName name="diametros" localSheetId="20">#REF!</definedName>
    <definedName name="diametros" localSheetId="31">#REF!</definedName>
    <definedName name="diametros">#REF!</definedName>
    <definedName name="DiametrosCodos">'[53]L codos'!$B$2:$V$2</definedName>
    <definedName name="DIANA">[9]BASE!#REF!</definedName>
    <definedName name="distintivos">Distintivos!$B$2</definedName>
    <definedName name="DJ">#REF!</definedName>
    <definedName name="DK">[6]REAJUSTESACTA1PROVI!#REF!</definedName>
    <definedName name="DL">[1]BASE!#REF!</definedName>
    <definedName name="DM">#REF!</definedName>
    <definedName name="DN">[1]BASE!#REF!</definedName>
    <definedName name="DO">[1]BASE!#REF!</definedName>
    <definedName name="dos" localSheetId="38">#REF!</definedName>
    <definedName name="dos" localSheetId="35">#REF!</definedName>
    <definedName name="dos" localSheetId="18">#REF!</definedName>
    <definedName name="dos" localSheetId="41">#REF!</definedName>
    <definedName name="dos" localSheetId="34">#REF!</definedName>
    <definedName name="dos" localSheetId="33">#REF!</definedName>
    <definedName name="dos" localSheetId="28">#REF!</definedName>
    <definedName name="dos" localSheetId="37">#REF!</definedName>
    <definedName name="dos" localSheetId="39">#REF!</definedName>
    <definedName name="dos" localSheetId="15">#REF!</definedName>
    <definedName name="dos" localSheetId="16">#REF!</definedName>
    <definedName name="dos" localSheetId="36">#REF!</definedName>
    <definedName name="dos" localSheetId="21">#REF!</definedName>
    <definedName name="dos" localSheetId="23">#REF!</definedName>
    <definedName name="dos" localSheetId="9">#REF!</definedName>
    <definedName name="dos" localSheetId="10">#REF!</definedName>
    <definedName name="dos" localSheetId="11">#REF!</definedName>
    <definedName name="dos" localSheetId="12">#REF!</definedName>
    <definedName name="dos" localSheetId="14">#REF!</definedName>
    <definedName name="dos" localSheetId="3">#REF!</definedName>
    <definedName name="dos" localSheetId="4">#REF!</definedName>
    <definedName name="dos" localSheetId="20">#REF!</definedName>
    <definedName name="dos" localSheetId="31">#REF!</definedName>
    <definedName name="dos">#REF!</definedName>
    <definedName name="DP">[1]BASE!#REF!</definedName>
    <definedName name="DQ">[1]BASE!#REF!</definedName>
    <definedName name="DR">[1]BASE!#REF!</definedName>
    <definedName name="DS">[1]BASE!#REF!</definedName>
    <definedName name="DT">[1]BASE!#REF!</definedName>
    <definedName name="DU">[1]BASE!#REF!</definedName>
    <definedName name="DUCTO">[54]CONDUIT!#REF!</definedName>
    <definedName name="DV">[1]BASE!#REF!</definedName>
    <definedName name="DW">[1]BASE!#REF!</definedName>
    <definedName name="DX">'[3]BASE ORIGINAL'!#REF!</definedName>
    <definedName name="DY">'[3]BASE ORIGINAL'!#REF!</definedName>
    <definedName name="DZ">'[3]BASE ORIGINAL'!#REF!</definedName>
    <definedName name="E">#REF!</definedName>
    <definedName name="EA">'[3]BASE ORIGINAL'!#REF!</definedName>
    <definedName name="EB">'[3]BASE ORIGINAL'!#REF!</definedName>
    <definedName name="EC">#REF!</definedName>
    <definedName name="ED">#REF!</definedName>
    <definedName name="ee" localSheetId="38">#REF!</definedName>
    <definedName name="ee" localSheetId="35">#REF!</definedName>
    <definedName name="ee" localSheetId="18">#REF!</definedName>
    <definedName name="ee" localSheetId="41">#REF!</definedName>
    <definedName name="ee" localSheetId="34">#REF!</definedName>
    <definedName name="ee" localSheetId="33">#REF!</definedName>
    <definedName name="ee" localSheetId="28">#REF!</definedName>
    <definedName name="ee" localSheetId="37">#REF!</definedName>
    <definedName name="ee" localSheetId="39">#REF!</definedName>
    <definedName name="ee" localSheetId="15">#REF!</definedName>
    <definedName name="ee" localSheetId="16">#REF!</definedName>
    <definedName name="ee" localSheetId="36">#REF!</definedName>
    <definedName name="ee" localSheetId="21">#REF!</definedName>
    <definedName name="ee" localSheetId="23">#REF!</definedName>
    <definedName name="ee" localSheetId="9">#REF!</definedName>
    <definedName name="ee" localSheetId="10">#REF!</definedName>
    <definedName name="ee" localSheetId="11">#REF!</definedName>
    <definedName name="ee" localSheetId="12">#REF!</definedName>
    <definedName name="ee" localSheetId="14">#REF!</definedName>
    <definedName name="ee" localSheetId="3">#REF!</definedName>
    <definedName name="ee" localSheetId="4">#REF!</definedName>
    <definedName name="ee" localSheetId="20">#REF!</definedName>
    <definedName name="ee" localSheetId="31">#REF!</definedName>
    <definedName name="ee">#REF!</definedName>
    <definedName name="eeee">[55]BASE!$D$13</definedName>
    <definedName name="EF">[6]REAJUSTESACTA1PROVI!#REF!</definedName>
    <definedName name="EG">[1]BASE!#REF!</definedName>
    <definedName name="EH">#REF!</definedName>
    <definedName name="EI">[1]BASE!#REF!</definedName>
    <definedName name="EJ">[1]BASE!#REF!</definedName>
    <definedName name="EK">[1]BASE!#REF!</definedName>
    <definedName name="EL">[1]BASE!#REF!</definedName>
    <definedName name="electricosAPUS">[56]BASE!$C$3</definedName>
    <definedName name="EM">[1]BASE!#REF!</definedName>
    <definedName name="EN">[1]BASE!#REF!</definedName>
    <definedName name="Ene">[57]ENE!$A$12:$H$34</definedName>
    <definedName name="Ene_C">[57]ENE!$A$35:$H$52</definedName>
    <definedName name="EneFeb">'[58]Ene-Feb'!$A$12:$H$34</definedName>
    <definedName name="EO">[1]BASE!#REF!</definedName>
    <definedName name="EP">[1]BASE!#REF!</definedName>
    <definedName name="EQ">[1]BASE!#REF!</definedName>
    <definedName name="EQPL">'[29]8.2 BASE'!$E$1731</definedName>
    <definedName name="ER">[1]BASE!#REF!</definedName>
    <definedName name="ES">'[3]BASE ORIGINAL'!#REF!</definedName>
    <definedName name="ESTAC">[2]BASE!$D$242</definedName>
    <definedName name="ESTADO_ACUEDUCTO">#REF!</definedName>
    <definedName name="ESTADO_ALCANTARILLADO">#REF!</definedName>
    <definedName name="estadotramite">'[36]base de datos'!$U$3:$U$5</definedName>
    <definedName name="estmercado">#REF!</definedName>
    <definedName name="ESTOP">#REF!</definedName>
    <definedName name="ET">'[3]BASE ORIGINAL'!#REF!</definedName>
    <definedName name="EU">'[3]BASE ORIGINAL'!#REF!</definedName>
    <definedName name="EV">'[3]BASE ORIGINAL'!#REF!</definedName>
    <definedName name="evafin">'Evaluación financiera'!$C$2</definedName>
    <definedName name="EW">#REF!</definedName>
    <definedName name="EX">#REF!</definedName>
    <definedName name="Excel_BuiltIn__FilterDatabase">[59]Presupuesto_Via_distribuidora!$A$9:$H$344</definedName>
    <definedName name="Excel_BuiltIn_Print_Area">[59]Presupuesto_Via_distribuidora!$C$1:$H$344</definedName>
    <definedName name="Excel_BuiltIn_Print_Titles">[59]Presupuesto_Via_distribuidora!$A$2:$IV$8</definedName>
    <definedName name="EY">[6]REAJUSTESACTA1PROVI!#REF!</definedName>
    <definedName name="EZ">[1]BASE!#REF!</definedName>
    <definedName name="FA">[1]BASE!#REF!</definedName>
    <definedName name="FB">[1]BASE!#REF!</definedName>
    <definedName name="FD">[1]BASE!#REF!</definedName>
    <definedName name="FDGASDFASD" localSheetId="38">#REF!</definedName>
    <definedName name="FDGASDFASD" localSheetId="35">#REF!</definedName>
    <definedName name="FDGASDFASD" localSheetId="42">#REF!</definedName>
    <definedName name="FDGASDFASD" localSheetId="18">#REF!</definedName>
    <definedName name="FDGASDFASD" localSheetId="41">#REF!</definedName>
    <definedName name="FDGASDFASD" localSheetId="34">#REF!</definedName>
    <definedName name="FDGASDFASD" localSheetId="33">#REF!</definedName>
    <definedName name="FDGASDFASD" localSheetId="28">#REF!</definedName>
    <definedName name="FDGASDFASD" localSheetId="37">#REF!</definedName>
    <definedName name="FDGASDFASD" localSheetId="39">#REF!</definedName>
    <definedName name="FDGASDFASD" localSheetId="15">#REF!</definedName>
    <definedName name="FDGASDFASD" localSheetId="16">#REF!</definedName>
    <definedName name="FDGASDFASD" localSheetId="36">#REF!</definedName>
    <definedName name="FDGASDFASD" localSheetId="21">#REF!</definedName>
    <definedName name="FDGASDFASD" localSheetId="23">#REF!</definedName>
    <definedName name="FDGASDFASD" localSheetId="9">#REF!</definedName>
    <definedName name="FDGASDFASD" localSheetId="10">#REF!</definedName>
    <definedName name="FDGASDFASD" localSheetId="11">#REF!</definedName>
    <definedName name="FDGASDFASD" localSheetId="12">#REF!</definedName>
    <definedName name="FDGASDFASD" localSheetId="14">#REF!</definedName>
    <definedName name="FDGASDFASD" localSheetId="3">#REF!</definedName>
    <definedName name="FDGASDFASD" localSheetId="4">#REF!</definedName>
    <definedName name="FDGASDFASD" localSheetId="20">#REF!</definedName>
    <definedName name="FDGASDFASD" localSheetId="31">#REF!</definedName>
    <definedName name="FDGASDFASD">#REF!</definedName>
    <definedName name="FE">[1]BASE!#REF!</definedName>
    <definedName name="Feb">[57]FEB!$A$12:$H$33</definedName>
    <definedName name="Feb_C">[57]FEB!$A$35:$H$51</definedName>
    <definedName name="FFF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FG">[9]BASE!#REF!</definedName>
    <definedName name="FG">'[3]BASE ORIGINAL'!#REF!</definedName>
    <definedName name="FH">'[3]BASE ORIGINAL'!#REF!</definedName>
    <definedName name="FI">'[3]BASE ORIGINAL'!#REF!</definedName>
    <definedName name="FIELT">[2]BASE!$D$256</definedName>
    <definedName name="FILTRANTES">'[60]Base de Diseño'!#REF!</definedName>
    <definedName name="FJ">'[3]BASE ORIGINAL'!#REF!</definedName>
    <definedName name="FK">#REF!</definedName>
    <definedName name="fkdfkdfj">#REF!</definedName>
    <definedName name="FL">#REF!</definedName>
    <definedName name="FM">[6]REAJUSTESACTA1PROVI!#REF!</definedName>
    <definedName name="FN">[1]BASE!#REF!</definedName>
    <definedName name="FO">#REF!</definedName>
    <definedName name="FORM3">[2]BASE!$D$322</definedName>
    <definedName name="FORMA">#REF!</definedName>
    <definedName name="FORMATO_5">#REF!</definedName>
    <definedName name="Formato_APU">#REF!</definedName>
    <definedName name="FORMH">[2]BASE!$D$321</definedName>
    <definedName name="FORMM">#REF!</definedName>
    <definedName name="formularioCantidades" localSheetId="38">#REF!</definedName>
    <definedName name="formularioCantidades" localSheetId="35">#REF!</definedName>
    <definedName name="formularioCantidades" localSheetId="42">#REF!</definedName>
    <definedName name="formularioCantidades" localSheetId="18">#REF!</definedName>
    <definedName name="formularioCantidades" localSheetId="41">#REF!</definedName>
    <definedName name="formularioCantidades" localSheetId="34">#REF!</definedName>
    <definedName name="formularioCantidades" localSheetId="33">#REF!</definedName>
    <definedName name="formularioCantidades" localSheetId="28">#REF!</definedName>
    <definedName name="formularioCantidades" localSheetId="37">#REF!</definedName>
    <definedName name="formularioCantidades" localSheetId="39">#REF!</definedName>
    <definedName name="formularioCantidades" localSheetId="15">#REF!</definedName>
    <definedName name="formularioCantidades" localSheetId="16">#REF!</definedName>
    <definedName name="formularioCantidades" localSheetId="36">#REF!</definedName>
    <definedName name="formularioCantidades" localSheetId="21">#REF!</definedName>
    <definedName name="formularioCantidades" localSheetId="23">#REF!</definedName>
    <definedName name="formularioCantidades" localSheetId="9">#REF!</definedName>
    <definedName name="formularioCantidades" localSheetId="10">#REF!</definedName>
    <definedName name="formularioCantidades" localSheetId="11">#REF!</definedName>
    <definedName name="formularioCantidades" localSheetId="12">#REF!</definedName>
    <definedName name="formularioCantidades" localSheetId="14">#REF!</definedName>
    <definedName name="formularioCantidades" localSheetId="3">#REF!</definedName>
    <definedName name="formularioCantidades" localSheetId="4">#REF!</definedName>
    <definedName name="formularioCantidades" localSheetId="20">#REF!</definedName>
    <definedName name="formularioCantidades" localSheetId="31">#REF!</definedName>
    <definedName name="formularioCantidades">#REF!</definedName>
    <definedName name="FP">[1]BASE!#REF!</definedName>
    <definedName name="FQ">[1]BASE!#REF!</definedName>
    <definedName name="FR">[1]BASE!#REF!</definedName>
    <definedName name="FS">[1]BASE!#REF!</definedName>
    <definedName name="FT">[1]BASE!#REF!</definedName>
    <definedName name="FU">[1]BASE!#REF!</definedName>
    <definedName name="fue" localSheetId="38">#REF!</definedName>
    <definedName name="fue" localSheetId="35">#REF!</definedName>
    <definedName name="fue" localSheetId="42">#REF!</definedName>
    <definedName name="fue" localSheetId="18">#REF!</definedName>
    <definedName name="fue" localSheetId="41">#REF!</definedName>
    <definedName name="fue" localSheetId="34">#REF!</definedName>
    <definedName name="fue" localSheetId="33">#REF!</definedName>
    <definedName name="fue" localSheetId="28">#REF!</definedName>
    <definedName name="fue" localSheetId="37">#REF!</definedName>
    <definedName name="fue" localSheetId="39">#REF!</definedName>
    <definedName name="fue" localSheetId="15">#REF!</definedName>
    <definedName name="fue" localSheetId="16">#REF!</definedName>
    <definedName name="fue" localSheetId="36">#REF!</definedName>
    <definedName name="fue" localSheetId="21">#REF!</definedName>
    <definedName name="fue" localSheetId="23">#REF!</definedName>
    <definedName name="fue" localSheetId="9">#REF!</definedName>
    <definedName name="fue" localSheetId="10">#REF!</definedName>
    <definedName name="fue" localSheetId="11">#REF!</definedName>
    <definedName name="fue" localSheetId="12">#REF!</definedName>
    <definedName name="fue" localSheetId="14">#REF!</definedName>
    <definedName name="fue" localSheetId="3">#REF!</definedName>
    <definedName name="fue" localSheetId="4">#REF!</definedName>
    <definedName name="fue" localSheetId="20">#REF!</definedName>
    <definedName name="fue" localSheetId="31">#REF!</definedName>
    <definedName name="fue">#REF!</definedName>
    <definedName name="FV">[1]BASE!#REF!</definedName>
    <definedName name="FW">[1]BASE!#REF!</definedName>
    <definedName name="FX">[1]BASE!#REF!</definedName>
    <definedName name="FY">[1]BASE!#REF!</definedName>
    <definedName name="FZ">'[3]BASE ORIGINAL'!#REF!</definedName>
    <definedName name="GA">'[3]BASE ORIGINAL'!#REF!</definedName>
    <definedName name="GASO">#REF!</definedName>
    <definedName name="GB">'[3]BASE ORIGINAL'!#REF!</definedName>
    <definedName name="GC">'[3]BASE ORIGINAL'!#REF!</definedName>
    <definedName name="GD">#REF!</definedName>
    <definedName name="gdym" localSheetId="9">'[61]Gtos DyM'!#REF!</definedName>
    <definedName name="gdym" localSheetId="10">'[61]Gtos DyM'!#REF!</definedName>
    <definedName name="gdym" localSheetId="11">'[61]Gtos DyM'!#REF!</definedName>
    <definedName name="gdym" localSheetId="12">'[61]Gtos DyM'!#REF!</definedName>
    <definedName name="gdym" localSheetId="14">'[61]Gtos DyM'!#REF!</definedName>
    <definedName name="gdym">'Gtos DyM'!$B$2</definedName>
    <definedName name="GE">#REF!</definedName>
    <definedName name="GEOT">#REF!</definedName>
    <definedName name="GF">[6]REAJUSTESACTA1PROVI!#REF!</definedName>
    <definedName name="GH">[1]BASE!#REF!</definedName>
    <definedName name="GI">#REF!</definedName>
    <definedName name="GJ">[1]BASE!#REF!</definedName>
    <definedName name="GK">[1]BASE!#REF!</definedName>
    <definedName name="GL">[1]BASE!#REF!</definedName>
    <definedName name="GM">[1]BASE!#REF!</definedName>
    <definedName name="GN">[1]BASE!#REF!</definedName>
    <definedName name="GO">[1]BASE!#REF!</definedName>
    <definedName name="GP">[1]BASE!#REF!</definedName>
    <definedName name="GQ">[1]BASE!#REF!</definedName>
    <definedName name="GR">[1]BASE!#REF!</definedName>
    <definedName name="GRAMA">[2]BASE!$D$272</definedName>
    <definedName name="GRAP">[2]BASE!$D$243</definedName>
    <definedName name="GRAV2">#REF!</definedName>
    <definedName name="GRAV3">[40]BASE!$D$64</definedName>
    <definedName name="GRAV4">[62]BASE!$D$63</definedName>
    <definedName name="GS">'[3]BASE ORIGINAL'!#REF!</definedName>
    <definedName name="GT">'[3]BASE ORIGINAL'!#REF!</definedName>
    <definedName name="gtosadm" localSheetId="38">'A&amp;PA'!#REF!</definedName>
    <definedName name="gtosadm" localSheetId="35">Apoyo!#REF!</definedName>
    <definedName name="gtosadm" localSheetId="18">'Bienes relevantes'!#REF!</definedName>
    <definedName name="gtosadm" localSheetId="41">'CF&amp;O'!#REF!</definedName>
    <definedName name="gtosadm" localSheetId="34">Cuantías!#REF!</definedName>
    <definedName name="gtosadm" localSheetId="37">'Imp &amp; garantías'!#REF!</definedName>
    <definedName name="gtosadm" localSheetId="39">IVA!#REF!</definedName>
    <definedName name="gtosadm" localSheetId="36">'Obra&amp;K'!#REF!</definedName>
    <definedName name="gtosadm">'Gastos de adm'!$B$2</definedName>
    <definedName name="gtosadm2" localSheetId="18">'Bienes relevantes'!$K$3</definedName>
    <definedName name="gtosadm2">'Gastos de adm'!$D$3</definedName>
    <definedName name="GU">'[3]BASE ORIGINAL'!#REF!</definedName>
    <definedName name="GV">'[3]BASE ORIGINAL'!#REF!</definedName>
    <definedName name="GW">#REF!</definedName>
    <definedName name="GX">#REF!</definedName>
    <definedName name="GY">[6]REAJUSTESACTA1PROVI!#REF!</definedName>
    <definedName name="GZ">[1]BASE!#REF!</definedName>
    <definedName name="HA">[1]BASE!#REF!</definedName>
    <definedName name="HACER" hidden="1">{TRUE,TRUE,-2.75,-17.75,483,276.75,FALSE,TRUE,TRUE,TRUE,0,1,#N/A,4,#N/A,8.57142857142857,19.625,1,FALSE,FALSE,3,TRUE,1,FALSE,75,"Swvu.OPEF._.96.","ACwvu.OPEF._.96.",#N/A,FALSE,FALSE,1.88,0.787401575,0.39,0.6,1,"","",FALSE,FALSE,FALSE,FALSE,1,#N/A,1,1,"=R4C2:R117C13",FALSE,"Rwvu.OPEF._.96.",#N/A,FALSE,FALSE,FALSE,5,300,300,FALSE,FALSE,TRUE,TRUE,TRUE}</definedName>
    <definedName name="HB">[1]BASE!#REF!</definedName>
    <definedName name="HC">[1]BASE!#REF!</definedName>
    <definedName name="HC78MH">[2]BASE!$D$24</definedName>
    <definedName name="HD">[1]BASE!#REF!</definedName>
    <definedName name="HE">[1]BASE!#REF!</definedName>
    <definedName name="HF">[1]BASE!#REF!</definedName>
    <definedName name="HG">[1]BASE!#REF!</definedName>
    <definedName name="HH">[1]BASE!#REF!</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I">[1]BASE!#REF!</definedName>
    <definedName name="Hid">'[28]Interc de Hidr.'!$E$1:$E$65536</definedName>
    <definedName name="HJ">'[3]BASE ORIGINAL'!#REF!</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K">'[3]BASE ORIGINAL'!#REF!</definedName>
    <definedName name="hkjhjkhkhk">#REF!</definedName>
    <definedName name="HL">'[3]BASE ORIGINAL'!#REF!</definedName>
    <definedName name="HM">'[3]BASE ORIGINAL'!#REF!</definedName>
    <definedName name="HM3EB">#REF!</definedName>
    <definedName name="HM3JH">#REF!</definedName>
    <definedName name="HMHF3">'[10]BASE ORIGINAL'!#REF!</definedName>
    <definedName name="HN">#REF!</definedName>
    <definedName name="HO">#REF!</definedName>
    <definedName name="Hono">#REF!</definedName>
    <definedName name="honorarios" localSheetId="42">'Ayuda honorarios'!$B$2</definedName>
    <definedName name="honorarios">Honorarios!$B$2</definedName>
    <definedName name="HONORARIOS_CORPORATIVOS_2016V2">#REF!</definedName>
    <definedName name="horat" localSheetId="38">'[63]Itemes Renovación'!#REF!</definedName>
    <definedName name="horat" localSheetId="35">'[63]Itemes Renovación'!#REF!</definedName>
    <definedName name="horat" localSheetId="42">'[63]Itemes Renovación'!#REF!</definedName>
    <definedName name="horat" localSheetId="18">'[63]Itemes Renovación'!#REF!</definedName>
    <definedName name="horat" localSheetId="41">'[63]Itemes Renovación'!#REF!</definedName>
    <definedName name="horat" localSheetId="34">'[63]Itemes Renovación'!#REF!</definedName>
    <definedName name="horat" localSheetId="33">'[63]Itemes Renovación'!#REF!</definedName>
    <definedName name="horat" localSheetId="28">'[63]Itemes Renovación'!#REF!</definedName>
    <definedName name="horat" localSheetId="37">'[63]Itemes Renovación'!#REF!</definedName>
    <definedName name="horat" localSheetId="39">'[63]Itemes Renovación'!#REF!</definedName>
    <definedName name="horat" localSheetId="15">'[63]Itemes Renovación'!#REF!</definedName>
    <definedName name="horat" localSheetId="16">'[63]Itemes Renovación'!#REF!</definedName>
    <definedName name="horat" localSheetId="36">'[63]Itemes Renovación'!#REF!</definedName>
    <definedName name="horat" localSheetId="21">'[63]Itemes Renovación'!#REF!</definedName>
    <definedName name="horat" localSheetId="23">'[63]Itemes Renovación'!#REF!</definedName>
    <definedName name="horat" localSheetId="9">'[63]Itemes Renovación'!#REF!</definedName>
    <definedName name="horat" localSheetId="10">'[63]Itemes Renovación'!#REF!</definedName>
    <definedName name="horat" localSheetId="11">'[63]Itemes Renovación'!#REF!</definedName>
    <definedName name="horat" localSheetId="12">'[63]Itemes Renovación'!#REF!</definedName>
    <definedName name="horat" localSheetId="14">'[63]Itemes Renovación'!#REF!</definedName>
    <definedName name="horat" localSheetId="3">'[63]Itemes Renovación'!#REF!</definedName>
    <definedName name="horat" localSheetId="4">'[63]Itemes Renovación'!#REF!</definedName>
    <definedName name="horat" localSheetId="20">'[63]Itemes Renovación'!#REF!</definedName>
    <definedName name="horat" localSheetId="31">'[63]Itemes Renovación'!#REF!</definedName>
    <definedName name="horat">'[63]Itemes Renovación'!#REF!</definedName>
    <definedName name="HP">[6]REAJUSTESACTA1PROVI!#REF!</definedName>
    <definedName name="HQ">[1]BASE!#REF!</definedName>
    <definedName name="HR">#REF!</definedName>
    <definedName name="HS">[1]BASE!#REF!</definedName>
    <definedName name="HT">[1]BASE!#REF!</definedName>
    <definedName name="HT75MH">[2]BASE!$D$23</definedName>
    <definedName name="HU">[1]BASE!#REF!</definedName>
    <definedName name="HV">[1]BASE!#REF!</definedName>
    <definedName name="HW">[1]BASE!#REF!</definedName>
    <definedName name="HX">[1]BASE!#REF!</definedName>
    <definedName name="HY">[1]BASE!#REF!</definedName>
    <definedName name="HZ">[1]BASE!#REF!</definedName>
    <definedName name="I">#REF!</definedName>
    <definedName name="I21b55">#REF!</definedName>
    <definedName name="IA">[1]BASE!#REF!</definedName>
    <definedName name="IB">[1]BASE!#REF!</definedName>
    <definedName name="IC">'[3]BASE ORIGINAL'!#REF!</definedName>
    <definedName name="ICOB" localSheetId="35">#REF!</definedName>
    <definedName name="ICOB" localSheetId="18">#REF!</definedName>
    <definedName name="ICOB" localSheetId="41">#REF!</definedName>
    <definedName name="ICOB" localSheetId="34">#REF!</definedName>
    <definedName name="ICOB" localSheetId="36">#REF!</definedName>
    <definedName name="ICOB" localSheetId="9">#REF!</definedName>
    <definedName name="ICOB" localSheetId="10">#REF!</definedName>
    <definedName name="ICOB" localSheetId="11">#REF!</definedName>
    <definedName name="ICOB" localSheetId="12">#REF!</definedName>
    <definedName name="ICOB" localSheetId="14">#REF!</definedName>
    <definedName name="ICOB" localSheetId="3">#REF!</definedName>
    <definedName name="ICOB">#REF!</definedName>
    <definedName name="ID">'[3]BASE ORIGINAL'!#REF!</definedName>
    <definedName name="IE">'[3]BASE ORIGINAL'!#REF!</definedName>
    <definedName name="IF">'[3]BASE ORIGINAL'!#REF!</definedName>
    <definedName name="IG">#REF!</definedName>
    <definedName name="IH">#REF!</definedName>
    <definedName name="II" hidden="1">#REF!</definedName>
    <definedName name="IIVA" localSheetId="35">IVA!#REF!</definedName>
    <definedName name="IIVA" localSheetId="18">IVA!#REF!</definedName>
    <definedName name="IIVA" localSheetId="41">IVA!#REF!</definedName>
    <definedName name="IIVA" localSheetId="34">IVA!#REF!</definedName>
    <definedName name="IIVA" localSheetId="36">IVA!#REF!</definedName>
    <definedName name="IIVA" localSheetId="9">[64]IVA!#REF!</definedName>
    <definedName name="IIVA" localSheetId="10">[64]IVA!#REF!</definedName>
    <definedName name="IIVA" localSheetId="11">[64]IVA!#REF!</definedName>
    <definedName name="IIVA" localSheetId="12">[64]IVA!#REF!</definedName>
    <definedName name="IIVA" localSheetId="14">[64]IVA!#REF!</definedName>
    <definedName name="IIVA" localSheetId="3">IVA!#REF!</definedName>
    <definedName name="IIVA">IVA!#REF!</definedName>
    <definedName name="IJ">[6]REAJUSTESACTA1PROVI!#REF!</definedName>
    <definedName name="IK">[6]REAJUSTESACTA1PROVI!#REF!</definedName>
    <definedName name="IL" hidden="1">[65]CARBOCOL!#REF!</definedName>
    <definedName name="IM" hidden="1">[66]ANUAL1!#REF!</definedName>
    <definedName name="impg" localSheetId="38">'A&amp;PA'!$B$2</definedName>
    <definedName name="impg" localSheetId="35">Apoyo!#REF!</definedName>
    <definedName name="impg" localSheetId="41">'CF&amp;O'!#REF!</definedName>
    <definedName name="impg" localSheetId="34">Cuantías!#REF!</definedName>
    <definedName name="impg" localSheetId="39">IVA!#REF!</definedName>
    <definedName name="impg" localSheetId="36">'Obra&amp;K'!#REF!</definedName>
    <definedName name="impg">'Imp &amp; garantías'!$B$2</definedName>
    <definedName name="IMPRI">#REF!</definedName>
    <definedName name="IN" hidden="1">[65]CARBOCOL!#REF!</definedName>
    <definedName name="indicador">'[36]base de datos'!$Q$3:$Q$75</definedName>
    <definedName name="ins">Instructivo!$C$2</definedName>
    <definedName name="Instructivo" localSheetId="38">#REF!</definedName>
    <definedName name="Instructivo" localSheetId="35">#REF!</definedName>
    <definedName name="Instructivo" localSheetId="42">#REF!</definedName>
    <definedName name="Instructivo" localSheetId="18">#REF!</definedName>
    <definedName name="Instructivo" localSheetId="41">#REF!</definedName>
    <definedName name="Instructivo" localSheetId="34">#REF!</definedName>
    <definedName name="Instructivo" localSheetId="37">#REF!</definedName>
    <definedName name="Instructivo" localSheetId="39">#REF!</definedName>
    <definedName name="Instructivo" localSheetId="15">#REF!</definedName>
    <definedName name="Instructivo" localSheetId="16">#REF!</definedName>
    <definedName name="Instructivo" localSheetId="36">#REF!</definedName>
    <definedName name="Instructivo" localSheetId="21">#REF!</definedName>
    <definedName name="Instructivo" localSheetId="23">#REF!</definedName>
    <definedName name="Instructivo" localSheetId="9">#REF!</definedName>
    <definedName name="Instructivo" localSheetId="10">#REF!</definedName>
    <definedName name="Instructivo" localSheetId="11">#REF!</definedName>
    <definedName name="Instructivo" localSheetId="12">#REF!</definedName>
    <definedName name="Instructivo" localSheetId="14">#REF!</definedName>
    <definedName name="Instructivo" localSheetId="3">#REF!</definedName>
    <definedName name="Instructivo" localSheetId="20">#REF!</definedName>
    <definedName name="Instructivo">#REF!</definedName>
    <definedName name="INSU">[67]INSUMOS!$A$1:$E$65536</definedName>
    <definedName name="InTap">[28]Interc.tapones!$E$1:$E$65536</definedName>
    <definedName name="INTERv">[62]BASE!$C$5</definedName>
    <definedName name="IntVal">'[28]Interc.válv.'!$E$1:$E$65536</definedName>
    <definedName name="IO">#REF!</definedName>
    <definedName name="IP">#REF!</definedName>
    <definedName name="IQ">#REF!</definedName>
    <definedName name="IR">#REF!</definedName>
    <definedName name="IS">#REF!</definedName>
    <definedName name="IT">#REF!</definedName>
    <definedName name="ITEM1" localSheetId="38">#REF!</definedName>
    <definedName name="ITEM1" localSheetId="35">#REF!</definedName>
    <definedName name="ITEM1" localSheetId="42">#REF!</definedName>
    <definedName name="ITEM1" localSheetId="18">#REF!</definedName>
    <definedName name="ITEM1" localSheetId="41">#REF!</definedName>
    <definedName name="ITEM1" localSheetId="34">#REF!</definedName>
    <definedName name="ITEM1" localSheetId="33">#REF!</definedName>
    <definedName name="ITEM1" localSheetId="28">#REF!</definedName>
    <definedName name="ITEM1" localSheetId="37">#REF!</definedName>
    <definedName name="ITEM1" localSheetId="39">#REF!</definedName>
    <definedName name="ITEM1" localSheetId="15">#REF!</definedName>
    <definedName name="ITEM1" localSheetId="16">#REF!</definedName>
    <definedName name="ITEM1" localSheetId="36">#REF!</definedName>
    <definedName name="ITEM1" localSheetId="21">#REF!</definedName>
    <definedName name="ITEM1" localSheetId="23">#REF!</definedName>
    <definedName name="ITEM1" localSheetId="9">#REF!</definedName>
    <definedName name="ITEM1" localSheetId="10">#REF!</definedName>
    <definedName name="ITEM1" localSheetId="11">#REF!</definedName>
    <definedName name="ITEM1" localSheetId="12">#REF!</definedName>
    <definedName name="ITEM1" localSheetId="14">#REF!</definedName>
    <definedName name="ITEM1" localSheetId="3">#REF!</definedName>
    <definedName name="ITEM1" localSheetId="4">#REF!</definedName>
    <definedName name="ITEM1" localSheetId="20">#REF!</definedName>
    <definedName name="ITEM1" localSheetId="31">#REF!</definedName>
    <definedName name="ITEM1">#REF!</definedName>
    <definedName name="ITEM2" localSheetId="38">#REF!</definedName>
    <definedName name="ITEM2" localSheetId="35">#REF!</definedName>
    <definedName name="ITEM2" localSheetId="42">#REF!</definedName>
    <definedName name="ITEM2" localSheetId="18">#REF!</definedName>
    <definedName name="ITEM2" localSheetId="41">#REF!</definedName>
    <definedName name="ITEM2" localSheetId="34">#REF!</definedName>
    <definedName name="ITEM2" localSheetId="33">#REF!</definedName>
    <definedName name="ITEM2" localSheetId="28">#REF!</definedName>
    <definedName name="ITEM2" localSheetId="37">#REF!</definedName>
    <definedName name="ITEM2" localSheetId="39">#REF!</definedName>
    <definedName name="ITEM2" localSheetId="15">#REF!</definedName>
    <definedName name="ITEM2" localSheetId="16">#REF!</definedName>
    <definedName name="ITEM2" localSheetId="36">#REF!</definedName>
    <definedName name="ITEM2" localSheetId="21">#REF!</definedName>
    <definedName name="ITEM2" localSheetId="23">#REF!</definedName>
    <definedName name="ITEM2" localSheetId="9">#REF!</definedName>
    <definedName name="ITEM2" localSheetId="10">#REF!</definedName>
    <definedName name="ITEM2" localSheetId="11">#REF!</definedName>
    <definedName name="ITEM2" localSheetId="12">#REF!</definedName>
    <definedName name="ITEM2" localSheetId="14">#REF!</definedName>
    <definedName name="ITEM2" localSheetId="3">#REF!</definedName>
    <definedName name="ITEM2" localSheetId="4">#REF!</definedName>
    <definedName name="ITEM2" localSheetId="20">#REF!</definedName>
    <definedName name="ITEM2" localSheetId="31">#REF!</definedName>
    <definedName name="ITEM2">#REF!</definedName>
    <definedName name="ITEM3" localSheetId="38">#REF!</definedName>
    <definedName name="ITEM3" localSheetId="35">#REF!</definedName>
    <definedName name="ITEM3" localSheetId="42">#REF!</definedName>
    <definedName name="ITEM3" localSheetId="18">#REF!</definedName>
    <definedName name="ITEM3" localSheetId="41">#REF!</definedName>
    <definedName name="ITEM3" localSheetId="34">#REF!</definedName>
    <definedName name="ITEM3" localSheetId="33">#REF!</definedName>
    <definedName name="ITEM3" localSheetId="28">#REF!</definedName>
    <definedName name="ITEM3" localSheetId="37">#REF!</definedName>
    <definedName name="ITEM3" localSheetId="39">#REF!</definedName>
    <definedName name="ITEM3" localSheetId="15">#REF!</definedName>
    <definedName name="ITEM3" localSheetId="16">#REF!</definedName>
    <definedName name="ITEM3" localSheetId="36">#REF!</definedName>
    <definedName name="ITEM3" localSheetId="21">#REF!</definedName>
    <definedName name="ITEM3" localSheetId="23">#REF!</definedName>
    <definedName name="ITEM3" localSheetId="9">#REF!</definedName>
    <definedName name="ITEM3" localSheetId="10">#REF!</definedName>
    <definedName name="ITEM3" localSheetId="11">#REF!</definedName>
    <definedName name="ITEM3" localSheetId="12">#REF!</definedName>
    <definedName name="ITEM3" localSheetId="14">#REF!</definedName>
    <definedName name="ITEM3" localSheetId="3">#REF!</definedName>
    <definedName name="ITEM3" localSheetId="4">#REF!</definedName>
    <definedName name="ITEM3" localSheetId="20">#REF!</definedName>
    <definedName name="ITEM3" localSheetId="31">#REF!</definedName>
    <definedName name="ITEM3">#REF!</definedName>
    <definedName name="ItemCodos" localSheetId="38">#REF!</definedName>
    <definedName name="ItemCodos" localSheetId="35">#REF!</definedName>
    <definedName name="ItemCodos" localSheetId="18">#REF!</definedName>
    <definedName name="ItemCodos" localSheetId="41">#REF!</definedName>
    <definedName name="ItemCodos" localSheetId="34">#REF!</definedName>
    <definedName name="ItemCodos" localSheetId="33">#REF!</definedName>
    <definedName name="ItemCodos" localSheetId="28">#REF!</definedName>
    <definedName name="ItemCodos" localSheetId="37">#REF!</definedName>
    <definedName name="ItemCodos" localSheetId="39">#REF!</definedName>
    <definedName name="ItemCodos" localSheetId="15">#REF!</definedName>
    <definedName name="ItemCodos" localSheetId="16">#REF!</definedName>
    <definedName name="ItemCodos" localSheetId="36">#REF!</definedName>
    <definedName name="ItemCodos" localSheetId="21">#REF!</definedName>
    <definedName name="ItemCodos" localSheetId="23">#REF!</definedName>
    <definedName name="ItemCodos" localSheetId="9">#REF!</definedName>
    <definedName name="ItemCodos" localSheetId="10">#REF!</definedName>
    <definedName name="ItemCodos" localSheetId="11">#REF!</definedName>
    <definedName name="ItemCodos" localSheetId="12">#REF!</definedName>
    <definedName name="ItemCodos" localSheetId="14">#REF!</definedName>
    <definedName name="ItemCodos" localSheetId="3">#REF!</definedName>
    <definedName name="ItemCodos" localSheetId="4">#REF!</definedName>
    <definedName name="ItemCodos" localSheetId="20">#REF!</definedName>
    <definedName name="ItemCodos" localSheetId="31">#REF!</definedName>
    <definedName name="ItemCodos">#REF!</definedName>
    <definedName name="IU">#REF!</definedName>
    <definedName name="IV">#REF!</definedName>
    <definedName name="IVA">IVA!$B$2</definedName>
    <definedName name="IW">#REF!</definedName>
    <definedName name="IX">#REF!</definedName>
    <definedName name="IY">#REF!</definedName>
    <definedName name="IZ">#REF!</definedName>
    <definedName name="J">#REF!</definedName>
    <definedName name="jdfjkd">#REF!</definedName>
    <definedName name="JHHHHH" localSheetId="38">#REF!</definedName>
    <definedName name="JHHHHH" localSheetId="35">#REF!</definedName>
    <definedName name="JHHHHH" localSheetId="42">#REF!</definedName>
    <definedName name="JHHHHH" localSheetId="18">#REF!</definedName>
    <definedName name="JHHHHH" localSheetId="41">#REF!</definedName>
    <definedName name="JHHHHH" localSheetId="34">#REF!</definedName>
    <definedName name="JHHHHH" localSheetId="33">#REF!</definedName>
    <definedName name="JHHHHH" localSheetId="28">#REF!</definedName>
    <definedName name="JHHHHH" localSheetId="29">#REF!</definedName>
    <definedName name="JHHHHH" localSheetId="37">#REF!</definedName>
    <definedName name="JHHHHH" localSheetId="39">#REF!</definedName>
    <definedName name="JHHHHH" localSheetId="15">#REF!</definedName>
    <definedName name="JHHHHH" localSheetId="16">#REF!</definedName>
    <definedName name="JHHHHH" localSheetId="36">#REF!</definedName>
    <definedName name="JHHHHH" localSheetId="21">#REF!</definedName>
    <definedName name="JHHHHH" localSheetId="23">#REF!</definedName>
    <definedName name="JHHHHH" localSheetId="6">#REF!</definedName>
    <definedName name="JHHHHH" localSheetId="7">#REF!</definedName>
    <definedName name="JHHHHH" localSheetId="9">#REF!</definedName>
    <definedName name="JHHHHH" localSheetId="10">#REF!</definedName>
    <definedName name="JHHHHH" localSheetId="11">#REF!</definedName>
    <definedName name="JHHHHH" localSheetId="12">#REF!</definedName>
    <definedName name="JHHHHH" localSheetId="13">#REF!</definedName>
    <definedName name="JHHHHH" localSheetId="14">#REF!</definedName>
    <definedName name="JHHHHH" localSheetId="1">#REF!</definedName>
    <definedName name="JHHHHH" localSheetId="3">'Ppto PSP'!#REF!</definedName>
    <definedName name="JHHHHH" localSheetId="2">'Presupuesto Contrato'!#REF!</definedName>
    <definedName name="JHHHHH" localSheetId="4">'Presupuesto Convenio'!#REF!</definedName>
    <definedName name="JHHHHH" localSheetId="20">#REF!</definedName>
    <definedName name="JHHHHH" localSheetId="31">#REF!</definedName>
    <definedName name="JHHHHH">#REF!</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ornal">Jornal!$C$2</definedName>
    <definedName name="JU">#REF!</definedName>
    <definedName name="JulAgo">'[58]Jul-Ago'!$A$12:$H$29</definedName>
    <definedName name="JulAgo_C">#REF!</definedName>
    <definedName name="KI">#REF!</definedName>
    <definedName name="KJH">#REF!</definedName>
    <definedName name="kk">'[68]Mano de Obra'!$A$2:$A$34</definedName>
    <definedName name="L">#REF!</definedName>
    <definedName name="LARGUE">[43]BASE!$D$394</definedName>
    <definedName name="LECHOS">#REF!</definedName>
    <definedName name="lechosdos">#REF!</definedName>
    <definedName name="Lestrategicas">'[36]base de datos'!$J$3:$J$7</definedName>
    <definedName name="LIMP">#REF!</definedName>
    <definedName name="lineas">#REF!</definedName>
    <definedName name="lis">'[69]Mano de Obra'!$A$2:$A$36</definedName>
    <definedName name="LisaCodSAO">#REF!</definedName>
    <definedName name="lista">'[70]Mano de Obra'!$A$2:$A$36</definedName>
    <definedName name="LISTA_EQ">#REF!</definedName>
    <definedName name="LISTA_HE">#REF!</definedName>
    <definedName name="LISTA_MA">#REF!</definedName>
    <definedName name="LISTA_MO">#REF!</definedName>
    <definedName name="LISTA_OT">#REF!</definedName>
    <definedName name="Listacanti">#REF!</definedName>
    <definedName name="ListaCantidad" localSheetId="38">#REF!</definedName>
    <definedName name="ListaCantidad" localSheetId="35">#REF!</definedName>
    <definedName name="ListaCantidad" localSheetId="18">#REF!</definedName>
    <definedName name="ListaCantidad" localSheetId="41">#REF!</definedName>
    <definedName name="ListaCantidad" localSheetId="34">#REF!</definedName>
    <definedName name="ListaCantidad" localSheetId="33">#REF!</definedName>
    <definedName name="ListaCantidad" localSheetId="28">#REF!</definedName>
    <definedName name="ListaCantidad" localSheetId="37">#REF!</definedName>
    <definedName name="ListaCantidad" localSheetId="39">#REF!</definedName>
    <definedName name="ListaCantidad" localSheetId="15">#REF!</definedName>
    <definedName name="ListaCantidad" localSheetId="16">#REF!</definedName>
    <definedName name="ListaCantidad" localSheetId="36">#REF!</definedName>
    <definedName name="ListaCantidad" localSheetId="21">#REF!</definedName>
    <definedName name="ListaCantidad" localSheetId="23">#REF!</definedName>
    <definedName name="ListaCantidad" localSheetId="9">#REF!</definedName>
    <definedName name="ListaCantidad" localSheetId="10">#REF!</definedName>
    <definedName name="ListaCantidad" localSheetId="11">#REF!</definedName>
    <definedName name="ListaCantidad" localSheetId="12">#REF!</definedName>
    <definedName name="ListaCantidad" localSheetId="14">#REF!</definedName>
    <definedName name="ListaCantidad" localSheetId="3">#REF!</definedName>
    <definedName name="ListaCantidad" localSheetId="4">#REF!</definedName>
    <definedName name="ListaCantidad" localSheetId="20">#REF!</definedName>
    <definedName name="ListaCantidad" localSheetId="31">#REF!</definedName>
    <definedName name="ListaCantidad">#REF!</definedName>
    <definedName name="ListaItem" localSheetId="38">#REF!</definedName>
    <definedName name="ListaItem" localSheetId="35">#REF!</definedName>
    <definedName name="ListaItem" localSheetId="18">#REF!</definedName>
    <definedName name="ListaItem" localSheetId="41">#REF!</definedName>
    <definedName name="ListaItem" localSheetId="34">#REF!</definedName>
    <definedName name="ListaItem" localSheetId="33">#REF!</definedName>
    <definedName name="ListaItem" localSheetId="28">#REF!</definedName>
    <definedName name="ListaItem" localSheetId="37">#REF!</definedName>
    <definedName name="ListaItem" localSheetId="39">#REF!</definedName>
    <definedName name="ListaItem" localSheetId="15">#REF!</definedName>
    <definedName name="ListaItem" localSheetId="16">#REF!</definedName>
    <definedName name="ListaItem" localSheetId="36">#REF!</definedName>
    <definedName name="ListaItem" localSheetId="21">#REF!</definedName>
    <definedName name="ListaItem" localSheetId="23">#REF!</definedName>
    <definedName name="ListaItem" localSheetId="9">#REF!</definedName>
    <definedName name="ListaItem" localSheetId="10">#REF!</definedName>
    <definedName name="ListaItem" localSheetId="11">#REF!</definedName>
    <definedName name="ListaItem" localSheetId="12">#REF!</definedName>
    <definedName name="ListaItem" localSheetId="14">#REF!</definedName>
    <definedName name="ListaItem" localSheetId="3">#REF!</definedName>
    <definedName name="ListaItem" localSheetId="4">#REF!</definedName>
    <definedName name="ListaItem" localSheetId="20">#REF!</definedName>
    <definedName name="ListaItem" localSheetId="31">#REF!</definedName>
    <definedName name="ListaItem">#REF!</definedName>
    <definedName name="ListaUni">[71]TOTALES!$D$7:$D$654</definedName>
    <definedName name="LISTON">[43]BASE!$D$395</definedName>
    <definedName name="LKM">#REF!</definedName>
    <definedName name="LLAC12">#REF!</definedName>
    <definedName name="LLAP12">#REF!</definedName>
    <definedName name="LONG">#REF!</definedName>
    <definedName name="LUBRI">[2]BASE!$D$213</definedName>
    <definedName name="LUPVC">[2]BASE!$D$70</definedName>
    <definedName name="LUPVT">#REF!</definedName>
    <definedName name="m">#REF!</definedName>
    <definedName name="M120K">#REF!</definedName>
    <definedName name="M240K">[2]BASE!$D$39</definedName>
    <definedName name="M280K">[2]BASE!$D$38</definedName>
    <definedName name="MADCJ">[2]BASE!$D$269</definedName>
    <definedName name="MANTO">[43]BASE!$D$401</definedName>
    <definedName name="Mar">[57]MAR!$A$12:$H$33</definedName>
    <definedName name="Mar_C">[57]MAR!$A$35:$H$51</definedName>
    <definedName name="MARABA">[2]BASE!$D$248</definedName>
    <definedName name="MarAbr">'[58]Mar-Abr'!$A$12:$H$34</definedName>
    <definedName name="MaterialTub" localSheetId="38">#REF!</definedName>
    <definedName name="MaterialTub" localSheetId="35">#REF!</definedName>
    <definedName name="MaterialTub" localSheetId="42">#REF!</definedName>
    <definedName name="MaterialTub" localSheetId="18">#REF!</definedName>
    <definedName name="MaterialTub" localSheetId="41">#REF!</definedName>
    <definedName name="MaterialTub" localSheetId="34">#REF!</definedName>
    <definedName name="MaterialTub" localSheetId="33">#REF!</definedName>
    <definedName name="MaterialTub" localSheetId="28">#REF!</definedName>
    <definedName name="MaterialTub" localSheetId="37">#REF!</definedName>
    <definedName name="MaterialTub" localSheetId="39">#REF!</definedName>
    <definedName name="MaterialTub" localSheetId="15">#REF!</definedName>
    <definedName name="MaterialTub" localSheetId="16">#REF!</definedName>
    <definedName name="MaterialTub" localSheetId="36">#REF!</definedName>
    <definedName name="MaterialTub" localSheetId="21">#REF!</definedName>
    <definedName name="MaterialTub" localSheetId="23">#REF!</definedName>
    <definedName name="MaterialTub" localSheetId="9">#REF!</definedName>
    <definedName name="MaterialTub" localSheetId="10">#REF!</definedName>
    <definedName name="MaterialTub" localSheetId="11">#REF!</definedName>
    <definedName name="MaterialTub" localSheetId="12">#REF!</definedName>
    <definedName name="MaterialTub" localSheetId="14">#REF!</definedName>
    <definedName name="MaterialTub" localSheetId="3">#REF!</definedName>
    <definedName name="MaterialTub" localSheetId="4">#REF!</definedName>
    <definedName name="MaterialTub" localSheetId="20">#REF!</definedName>
    <definedName name="MaterialTub" localSheetId="31">#REF!</definedName>
    <definedName name="MaterialTub">#REF!</definedName>
    <definedName name="MATPR">[2]BASE!$D$49</definedName>
    <definedName name="MayJun">'[58]May-Jun'!$A$12:$H$32</definedName>
    <definedName name="MayJun_C">#REF!</definedName>
    <definedName name="mc">#REF!</definedName>
    <definedName name="MC4CM">#REF!</definedName>
    <definedName name="MCCOP2">'Memoria de cálculo O2'!$D$2</definedName>
    <definedName name="MCCOP3" localSheetId="20">'Propuesta económica O3'!#REF!</definedName>
    <definedName name="MCCOP3">'Memoria de cálculo O3'!$D$2</definedName>
    <definedName name="MCOP1" localSheetId="21">'PAB CA'!#REF!</definedName>
    <definedName name="MCOP1" localSheetId="23">'PAB CR'!#REF!</definedName>
    <definedName name="MCOP1">'Memoria de cálculo O1'!$B$2</definedName>
    <definedName name="MCOP2" localSheetId="38">'Propuesta económica O2'!#REF!</definedName>
    <definedName name="MCOP2" localSheetId="35">'Propuesta económica O2'!#REF!</definedName>
    <definedName name="MCOP2" localSheetId="42">'[72]Propuesta económica O2'!#REF!</definedName>
    <definedName name="MCOP2" localSheetId="18">'Propuesta económica O2'!#REF!</definedName>
    <definedName name="MCOP2" localSheetId="41">'Propuesta económica O2'!#REF!</definedName>
    <definedName name="MCOP2" localSheetId="34">'Propuesta económica O2'!#REF!</definedName>
    <definedName name="MCOP2" localSheetId="37">'Propuesta económica O2'!#REF!</definedName>
    <definedName name="MCOP2" localSheetId="39">'Propuesta económica O2'!#REF!</definedName>
    <definedName name="MCOP2" localSheetId="15">'Memoria de cálculo O2'!#REF!</definedName>
    <definedName name="MCOP2" localSheetId="36">'Propuesta económica O2'!#REF!</definedName>
    <definedName name="MCOP2" localSheetId="21">'Propuesta económica O2'!#REF!</definedName>
    <definedName name="MCOP2" localSheetId="23">'Propuesta económica O2'!#REF!</definedName>
    <definedName name="MCOP2" localSheetId="9">'[64]Propuesta económica O2'!#REF!</definedName>
    <definedName name="MCOP2" localSheetId="10">'[64]Propuesta económica O2'!#REF!</definedName>
    <definedName name="MCOP2" localSheetId="11">'[64]Propuesta económica O2'!#REF!</definedName>
    <definedName name="MCOP2" localSheetId="12">'[64]Propuesta económica O2'!#REF!</definedName>
    <definedName name="MCOP2" localSheetId="14">'[64]Propuesta económica O2'!#REF!</definedName>
    <definedName name="MCOP2" localSheetId="3">'Propuesta económica O2'!#REF!</definedName>
    <definedName name="MCOP2">'Propuesta económica O2'!#REF!</definedName>
    <definedName name="MCOP3" localSheetId="38">#REF!</definedName>
    <definedName name="MCOP3" localSheetId="35">#REF!</definedName>
    <definedName name="MCOP3" localSheetId="42">#REF!</definedName>
    <definedName name="MCOP3" localSheetId="18">#REF!</definedName>
    <definedName name="MCOP3" localSheetId="41">#REF!</definedName>
    <definedName name="MCOP3" localSheetId="34">#REF!</definedName>
    <definedName name="MCOP3" localSheetId="37">#REF!</definedName>
    <definedName name="MCOP3" localSheetId="39">#REF!</definedName>
    <definedName name="MCOP3" localSheetId="16">'Memoria de cálculo O3'!$D$2</definedName>
    <definedName name="MCOP3" localSheetId="36">#REF!</definedName>
    <definedName name="MCOP3" localSheetId="21">#REF!</definedName>
    <definedName name="MCOP3" localSheetId="23">#REF!</definedName>
    <definedName name="MCOP3" localSheetId="9">#REF!</definedName>
    <definedName name="MCOP3" localSheetId="10">#REF!</definedName>
    <definedName name="MCOP3" localSheetId="11">#REF!</definedName>
    <definedName name="MCOP3" localSheetId="12">#REF!</definedName>
    <definedName name="MCOP3" localSheetId="14">#REF!</definedName>
    <definedName name="MCOP3" localSheetId="3">#REF!</definedName>
    <definedName name="MCOP3" localSheetId="20">'Propuesta económica O3'!#REF!</definedName>
    <definedName name="MCOP3">#REF!</definedName>
    <definedName name="MEDID">#REF!</definedName>
    <definedName name="mem">[6]REAJUSTESACTA1PROVI!#REF!</definedName>
    <definedName name="MES">'[36]base de datos'!$W$3:$W$14</definedName>
    <definedName name="MES_COM">'[36]base de datos'!$X$3:$X$14</definedName>
    <definedName name="mm">#REF!</definedName>
    <definedName name="MO120K">[49]PRELIM!$B$427</definedName>
    <definedName name="MO240K">[49]PRELIM!$B$412</definedName>
    <definedName name="MO280K">[49]PRELIM!$B$397</definedName>
    <definedName name="MOCARG">#REF!</definedName>
    <definedName name="MOENC">[2]BASE!$D$17</definedName>
    <definedName name="MOIHF">[2]BASE!$D$15</definedName>
    <definedName name="moobras" localSheetId="38">#REF!</definedName>
    <definedName name="moobras" localSheetId="35">#REF!</definedName>
    <definedName name="moobras" localSheetId="42">#REF!</definedName>
    <definedName name="moobras" localSheetId="18">#REF!</definedName>
    <definedName name="moobras" localSheetId="41">#REF!</definedName>
    <definedName name="moobras" localSheetId="34">#REF!</definedName>
    <definedName name="moobras" localSheetId="37">#REF!</definedName>
    <definedName name="moobras" localSheetId="39">#REF!</definedName>
    <definedName name="moobras" localSheetId="36">#REF!</definedName>
    <definedName name="moobras" localSheetId="21">#REF!</definedName>
    <definedName name="moobras" localSheetId="23">#REF!</definedName>
    <definedName name="moobras" localSheetId="9">#REF!</definedName>
    <definedName name="moobras" localSheetId="10">#REF!</definedName>
    <definedName name="moobras" localSheetId="11">#REF!</definedName>
    <definedName name="moobras" localSheetId="12">#REF!</definedName>
    <definedName name="moobras" localSheetId="14">#REF!</definedName>
    <definedName name="moobras" localSheetId="3">#REF!</definedName>
    <definedName name="moobras">#REF!</definedName>
    <definedName name="MOPRE">[2]BASE!$D$13</definedName>
    <definedName name="MOTOB2">[37]BASE!$D$504</definedName>
    <definedName name="MOTON">#REF!</definedName>
    <definedName name="MOTOP">[2]BASE!$D$12</definedName>
    <definedName name="MOVOL">#REF!</definedName>
    <definedName name="municipio">#REF!</definedName>
    <definedName name="municipios">'[36]base de datos'!$I$3:$I$86</definedName>
    <definedName name="NB">#REF!</definedName>
    <definedName name="Niqui">#REF!</definedName>
    <definedName name="Norte" localSheetId="38">#REF!</definedName>
    <definedName name="Norte" localSheetId="35">#REF!</definedName>
    <definedName name="Norte" localSheetId="42">#REF!</definedName>
    <definedName name="Norte" localSheetId="18">#REF!</definedName>
    <definedName name="Norte" localSheetId="41">#REF!</definedName>
    <definedName name="Norte" localSheetId="34">#REF!</definedName>
    <definedName name="Norte" localSheetId="33">#REF!</definedName>
    <definedName name="Norte" localSheetId="28">#REF!</definedName>
    <definedName name="Norte" localSheetId="37">#REF!</definedName>
    <definedName name="Norte" localSheetId="39">#REF!</definedName>
    <definedName name="Norte" localSheetId="15">#REF!</definedName>
    <definedName name="Norte" localSheetId="16">#REF!</definedName>
    <definedName name="Norte" localSheetId="36">#REF!</definedName>
    <definedName name="Norte" localSheetId="21">#REF!</definedName>
    <definedName name="Norte" localSheetId="23">#REF!</definedName>
    <definedName name="Norte" localSheetId="9">#REF!</definedName>
    <definedName name="Norte" localSheetId="10">#REF!</definedName>
    <definedName name="Norte" localSheetId="11">#REF!</definedName>
    <definedName name="Norte" localSheetId="12">#REF!</definedName>
    <definedName name="Norte" localSheetId="14">#REF!</definedName>
    <definedName name="Norte" localSheetId="3">#REF!</definedName>
    <definedName name="Norte" localSheetId="4">#REF!</definedName>
    <definedName name="Norte" localSheetId="20">#REF!</definedName>
    <definedName name="Norte" localSheetId="31">#REF!</definedName>
    <definedName name="Norte">#REF!</definedName>
    <definedName name="NovDic">'[58]Nov-Dic'!$A$12:$H$34</definedName>
    <definedName name="NPE" localSheetId="9">#REF!</definedName>
    <definedName name="NPE" localSheetId="10">#REF!</definedName>
    <definedName name="NPE" localSheetId="11">#REF!</definedName>
    <definedName name="NPE" localSheetId="12">#REF!</definedName>
    <definedName name="NPE" localSheetId="14">#REF!</definedName>
    <definedName name="NPE">'Notas PE'!$B$2</definedName>
    <definedName name="NUEVO" localSheetId="38">#REF!</definedName>
    <definedName name="NUEVO" localSheetId="35">#REF!</definedName>
    <definedName name="NUEVO" localSheetId="18">#REF!</definedName>
    <definedName name="NUEVO" localSheetId="41">#REF!</definedName>
    <definedName name="NUEVO" localSheetId="34">#REF!</definedName>
    <definedName name="NUEVO" localSheetId="33">#REF!</definedName>
    <definedName name="NUEVO" localSheetId="28">#REF!</definedName>
    <definedName name="NUEVO" localSheetId="37">#REF!</definedName>
    <definedName name="NUEVO" localSheetId="39">#REF!</definedName>
    <definedName name="NUEVO" localSheetId="15">#REF!</definedName>
    <definedName name="NUEVO" localSheetId="16">#REF!</definedName>
    <definedName name="NUEVO" localSheetId="36">#REF!</definedName>
    <definedName name="NUEVO" localSheetId="21">#REF!</definedName>
    <definedName name="NUEVO" localSheetId="23">#REF!</definedName>
    <definedName name="NUEVO" localSheetId="9">#REF!</definedName>
    <definedName name="NUEVO" localSheetId="10">#REF!</definedName>
    <definedName name="NUEVO" localSheetId="11">#REF!</definedName>
    <definedName name="NUEVO" localSheetId="12">#REF!</definedName>
    <definedName name="NUEVO" localSheetId="14">#REF!</definedName>
    <definedName name="NUEVO" localSheetId="3">#REF!</definedName>
    <definedName name="NUEVO" localSheetId="4">#REF!</definedName>
    <definedName name="NUEVO" localSheetId="20">#REF!</definedName>
    <definedName name="NUEVO" localSheetId="31">#REF!</definedName>
    <definedName name="NUEVO">#REF!</definedName>
    <definedName name="ñ">#REF!</definedName>
    <definedName name="O">#REF!</definedName>
    <definedName name="OBRA" localSheetId="38">#REF!</definedName>
    <definedName name="OBRA" localSheetId="35">#REF!</definedName>
    <definedName name="OBRA" localSheetId="18">#REF!</definedName>
    <definedName name="OBRA" localSheetId="41">#REF!</definedName>
    <definedName name="OBRA" localSheetId="34">#REF!</definedName>
    <definedName name="OBRA" localSheetId="33">#REF!</definedName>
    <definedName name="OBRA" localSheetId="28">#REF!</definedName>
    <definedName name="OBRA" localSheetId="37">#REF!</definedName>
    <definedName name="OBRA" localSheetId="39">#REF!</definedName>
    <definedName name="OBRA" localSheetId="15">#REF!</definedName>
    <definedName name="OBRA" localSheetId="16">#REF!</definedName>
    <definedName name="OBRA" localSheetId="36">#REF!</definedName>
    <definedName name="OBRA" localSheetId="21">#REF!</definedName>
    <definedName name="OBRA" localSheetId="23">#REF!</definedName>
    <definedName name="OBRA" localSheetId="9">#REF!</definedName>
    <definedName name="OBRA" localSheetId="10">#REF!</definedName>
    <definedName name="OBRA" localSheetId="11">#REF!</definedName>
    <definedName name="OBRA" localSheetId="12">#REF!</definedName>
    <definedName name="OBRA" localSheetId="14">#REF!</definedName>
    <definedName name="OBRA" localSheetId="3">#REF!</definedName>
    <definedName name="OBRA" localSheetId="4">#REF!</definedName>
    <definedName name="OBRA" localSheetId="20">#REF!</definedName>
    <definedName name="OBRA" localSheetId="31">#REF!</definedName>
    <definedName name="OBRA">#REF!</definedName>
    <definedName name="OFICI">[2]BASE!$D$9</definedName>
    <definedName name="OFICI_">[41]BASE!$D$11</definedName>
    <definedName name="P150X240">#REF!</definedName>
    <definedName name="P80X200">[2]BASE!$D$246</definedName>
    <definedName name="P90X200">[2]BASE!$D$245</definedName>
    <definedName name="PA14X">[9]BASE!$D$371</definedName>
    <definedName name="PABCA" localSheetId="23">'PAB CR'!#REF!</definedName>
    <definedName name="PABCA">'PAB CA'!$B$2</definedName>
    <definedName name="PABCR">'PAB CR'!$E$2</definedName>
    <definedName name="paelnque" localSheetId="38">#REF!</definedName>
    <definedName name="paelnque" localSheetId="35">#REF!</definedName>
    <definedName name="paelnque" localSheetId="18">#REF!</definedName>
    <definedName name="paelnque" localSheetId="41">#REF!</definedName>
    <definedName name="paelnque" localSheetId="34">#REF!</definedName>
    <definedName name="paelnque" localSheetId="33">#REF!</definedName>
    <definedName name="paelnque" localSheetId="28">#REF!</definedName>
    <definedName name="paelnque" localSheetId="37">#REF!</definedName>
    <definedName name="paelnque" localSheetId="39">#REF!</definedName>
    <definedName name="paelnque" localSheetId="15">#REF!</definedName>
    <definedName name="paelnque" localSheetId="16">#REF!</definedName>
    <definedName name="paelnque" localSheetId="36">#REF!</definedName>
    <definedName name="paelnque" localSheetId="21">#REF!</definedName>
    <definedName name="paelnque" localSheetId="23">#REF!</definedName>
    <definedName name="paelnque" localSheetId="9">#REF!</definedName>
    <definedName name="paelnque" localSheetId="10">#REF!</definedName>
    <definedName name="paelnque" localSheetId="11">#REF!</definedName>
    <definedName name="paelnque" localSheetId="12">#REF!</definedName>
    <definedName name="paelnque" localSheetId="14">#REF!</definedName>
    <definedName name="paelnque" localSheetId="3">#REF!</definedName>
    <definedName name="paelnque" localSheetId="4">#REF!</definedName>
    <definedName name="paelnque" localSheetId="20">#REF!</definedName>
    <definedName name="paelnque" localSheetId="31">#REF!</definedName>
    <definedName name="paelnque">#REF!</definedName>
    <definedName name="palenque" localSheetId="38">#REF!</definedName>
    <definedName name="palenque" localSheetId="35">#REF!</definedName>
    <definedName name="palenque" localSheetId="18">#REF!</definedName>
    <definedName name="palenque" localSheetId="41">#REF!</definedName>
    <definedName name="palenque" localSheetId="34">#REF!</definedName>
    <definedName name="palenque" localSheetId="33">#REF!</definedName>
    <definedName name="palenque" localSheetId="28">#REF!</definedName>
    <definedName name="palenque" localSheetId="37">#REF!</definedName>
    <definedName name="palenque" localSheetId="39">#REF!</definedName>
    <definedName name="palenque" localSheetId="15">#REF!</definedName>
    <definedName name="palenque" localSheetId="16">#REF!</definedName>
    <definedName name="palenque" localSheetId="36">#REF!</definedName>
    <definedName name="palenque" localSheetId="21">#REF!</definedName>
    <definedName name="palenque" localSheetId="23">#REF!</definedName>
    <definedName name="palenque" localSheetId="9">#REF!</definedName>
    <definedName name="palenque" localSheetId="10">#REF!</definedName>
    <definedName name="palenque" localSheetId="11">#REF!</definedName>
    <definedName name="palenque" localSheetId="12">#REF!</definedName>
    <definedName name="palenque" localSheetId="14">#REF!</definedName>
    <definedName name="palenque" localSheetId="3">#REF!</definedName>
    <definedName name="palenque" localSheetId="4">#REF!</definedName>
    <definedName name="palenque" localSheetId="20">#REF!</definedName>
    <definedName name="palenque" localSheetId="31">#REF!</definedName>
    <definedName name="palenque">#REF!</definedName>
    <definedName name="PAPA">#REF!</definedName>
    <definedName name="PC" localSheetId="3">'Ppto PSP'!#REF!</definedName>
    <definedName name="PC">'Presupuesto Contrato'!$C$2</definedName>
    <definedName name="PCV">'Presupuesto Convenio'!$E$2</definedName>
    <definedName name="Pedestales">[73]Otros!$A$2:$A$69</definedName>
    <definedName name="PEFI">'Plan Ejecución'!$C$2</definedName>
    <definedName name="PEGCO">[2]BASE!$D$268</definedName>
    <definedName name="PEPSP1">#REF!</definedName>
    <definedName name="PERM">#REF!</definedName>
    <definedName name="permisos">#REF!</definedName>
    <definedName name="PERNO">[9]BASE!$D$369</definedName>
    <definedName name="PIE4A6">#REF!</definedName>
    <definedName name="PIECR">#REF!</definedName>
    <definedName name="PIEDR">[2]BASE!$D$50</definedName>
    <definedName name="PINBAR">[2]BASE!$D$250</definedName>
    <definedName name="PINBLA">#REF!</definedName>
    <definedName name="PLAELE">#REF!</definedName>
    <definedName name="PLAST">[2]BASE!$D$229</definedName>
    <definedName name="PO">#REF!</definedName>
    <definedName name="POLINOMIAL1">[74]CANALETA9!#REF!</definedName>
    <definedName name="Polynomial">#REF!</definedName>
    <definedName name="pomch">'[36]base de datos'!$R$3:$R$38</definedName>
    <definedName name="PoMede">#REF!</definedName>
    <definedName name="ppta">#REF!</definedName>
    <definedName name="PPTA2" localSheetId="15">'Memoria de cálculo O2'!$D$2</definedName>
    <definedName name="PPTA2">'Propuesta económica O2'!$D$2</definedName>
    <definedName name="ppta3">'Propuesta económica O3'!$D$2</definedName>
    <definedName name="Ppto">#REF!</definedName>
    <definedName name="PPtoNorte" localSheetId="38">#REF!</definedName>
    <definedName name="PPtoNorte" localSheetId="35">#REF!</definedName>
    <definedName name="PPtoNorte" localSheetId="18">#REF!</definedName>
    <definedName name="PPtoNorte" localSheetId="41">#REF!</definedName>
    <definedName name="PPtoNorte" localSheetId="34">#REF!</definedName>
    <definedName name="PPtoNorte" localSheetId="33">#REF!</definedName>
    <definedName name="PPtoNorte" localSheetId="28">#REF!</definedName>
    <definedName name="PPtoNorte" localSheetId="37">#REF!</definedName>
    <definedName name="PPtoNorte" localSheetId="39">#REF!</definedName>
    <definedName name="PPtoNorte" localSheetId="15">#REF!</definedName>
    <definedName name="PPtoNorte" localSheetId="16">#REF!</definedName>
    <definedName name="PPtoNorte" localSheetId="36">#REF!</definedName>
    <definedName name="PPtoNorte" localSheetId="21">#REF!</definedName>
    <definedName name="PPtoNorte" localSheetId="23">#REF!</definedName>
    <definedName name="PPtoNorte" localSheetId="9">#REF!</definedName>
    <definedName name="PPtoNorte" localSheetId="10">#REF!</definedName>
    <definedName name="PPtoNorte" localSheetId="11">#REF!</definedName>
    <definedName name="PPtoNorte" localSheetId="12">#REF!</definedName>
    <definedName name="PPtoNorte" localSheetId="14">#REF!</definedName>
    <definedName name="PPtoNorte" localSheetId="3">#REF!</definedName>
    <definedName name="PPtoNorte" localSheetId="4">#REF!</definedName>
    <definedName name="PPtoNorte" localSheetId="20">#REF!</definedName>
    <definedName name="PPtoNorte" localSheetId="31">#REF!</definedName>
    <definedName name="PPtoNorte">#REF!</definedName>
    <definedName name="PPTOPSP">'Ppto PSP'!$B$2</definedName>
    <definedName name="Precio" localSheetId="38">#REF!</definedName>
    <definedName name="Precio" localSheetId="35">#REF!</definedName>
    <definedName name="Precio" localSheetId="18">#REF!</definedName>
    <definedName name="Precio" localSheetId="41">#REF!</definedName>
    <definedName name="Precio" localSheetId="34">#REF!</definedName>
    <definedName name="Precio" localSheetId="33">#REF!</definedName>
    <definedName name="Precio" localSheetId="28">#REF!</definedName>
    <definedName name="Precio" localSheetId="37">#REF!</definedName>
    <definedName name="Precio" localSheetId="39">#REF!</definedName>
    <definedName name="Precio" localSheetId="15">#REF!</definedName>
    <definedName name="Precio" localSheetId="16">#REF!</definedName>
    <definedName name="Precio" localSheetId="36">#REF!</definedName>
    <definedName name="Precio" localSheetId="21">#REF!</definedName>
    <definedName name="Precio" localSheetId="23">#REF!</definedName>
    <definedName name="Precio" localSheetId="9">#REF!</definedName>
    <definedName name="Precio" localSheetId="10">#REF!</definedName>
    <definedName name="Precio" localSheetId="11">#REF!</definedName>
    <definedName name="Precio" localSheetId="12">#REF!</definedName>
    <definedName name="Precio" localSheetId="14">#REF!</definedName>
    <definedName name="Precio" localSheetId="3">#REF!</definedName>
    <definedName name="Precio" localSheetId="4">#REF!</definedName>
    <definedName name="Precio" localSheetId="20">#REF!</definedName>
    <definedName name="Precio" localSheetId="31">#REF!</definedName>
    <definedName name="Precio">#REF!</definedName>
    <definedName name="precio2" localSheetId="38">#REF!</definedName>
    <definedName name="precio2" localSheetId="35">#REF!</definedName>
    <definedName name="precio2" localSheetId="18">#REF!</definedName>
    <definedName name="precio2" localSheetId="41">#REF!</definedName>
    <definedName name="precio2" localSheetId="34">#REF!</definedName>
    <definedName name="precio2" localSheetId="33">#REF!</definedName>
    <definedName name="precio2" localSheetId="28">#REF!</definedName>
    <definedName name="precio2" localSheetId="37">#REF!</definedName>
    <definedName name="precio2" localSheetId="39">#REF!</definedName>
    <definedName name="precio2" localSheetId="15">#REF!</definedName>
    <definedName name="precio2" localSheetId="16">#REF!</definedName>
    <definedName name="precio2" localSheetId="36">#REF!</definedName>
    <definedName name="precio2" localSheetId="21">#REF!</definedName>
    <definedName name="precio2" localSheetId="23">#REF!</definedName>
    <definedName name="precio2" localSheetId="9">#REF!</definedName>
    <definedName name="precio2" localSheetId="10">#REF!</definedName>
    <definedName name="precio2" localSheetId="11">#REF!</definedName>
    <definedName name="precio2" localSheetId="12">#REF!</definedName>
    <definedName name="precio2" localSheetId="14">#REF!</definedName>
    <definedName name="precio2" localSheetId="3">#REF!</definedName>
    <definedName name="precio2" localSheetId="4">#REF!</definedName>
    <definedName name="precio2" localSheetId="20">#REF!</definedName>
    <definedName name="precio2" localSheetId="31">#REF!</definedName>
    <definedName name="precio2">#REF!</definedName>
    <definedName name="PrecioS" localSheetId="38">#REF!</definedName>
    <definedName name="PrecioS" localSheetId="35">#REF!</definedName>
    <definedName name="PrecioS" localSheetId="18">#REF!</definedName>
    <definedName name="PrecioS" localSheetId="41">#REF!</definedName>
    <definedName name="PrecioS" localSheetId="34">#REF!</definedName>
    <definedName name="PrecioS" localSheetId="33">#REF!</definedName>
    <definedName name="PrecioS" localSheetId="28">#REF!</definedName>
    <definedName name="PrecioS" localSheetId="37">#REF!</definedName>
    <definedName name="PrecioS" localSheetId="39">#REF!</definedName>
    <definedName name="PrecioS" localSheetId="15">#REF!</definedName>
    <definedName name="PrecioS" localSheetId="16">#REF!</definedName>
    <definedName name="PrecioS" localSheetId="36">#REF!</definedName>
    <definedName name="PrecioS" localSheetId="21">#REF!</definedName>
    <definedName name="PrecioS" localSheetId="23">#REF!</definedName>
    <definedName name="PrecioS" localSheetId="9">#REF!</definedName>
    <definedName name="PrecioS" localSheetId="10">#REF!</definedName>
    <definedName name="PrecioS" localSheetId="11">#REF!</definedName>
    <definedName name="PrecioS" localSheetId="12">#REF!</definedName>
    <definedName name="PrecioS" localSheetId="14">#REF!</definedName>
    <definedName name="PrecioS" localSheetId="3">#REF!</definedName>
    <definedName name="PrecioS" localSheetId="4">#REF!</definedName>
    <definedName name="PrecioS" localSheetId="20">#REF!</definedName>
    <definedName name="PrecioS" localSheetId="31">#REF!</definedName>
    <definedName name="PrecioS">#REF!</definedName>
    <definedName name="PRES.AGRI">#REF!</definedName>
    <definedName name="PRESIPISTO">#REF!</definedName>
    <definedName name="presta">[75]BASE!$D$8</definedName>
    <definedName name="prestacional" localSheetId="38">#REF!</definedName>
    <definedName name="prestacional" localSheetId="35">#REF!</definedName>
    <definedName name="prestacional" localSheetId="18">#REF!</definedName>
    <definedName name="prestacional" localSheetId="41">#REF!</definedName>
    <definedName name="prestacional" localSheetId="34">#REF!</definedName>
    <definedName name="prestacional" localSheetId="37">#REF!</definedName>
    <definedName name="prestacional" localSheetId="39">#REF!</definedName>
    <definedName name="prestacional" localSheetId="36">#REF!</definedName>
    <definedName name="prestacional" localSheetId="21">#REF!</definedName>
    <definedName name="prestacional" localSheetId="23">#REF!</definedName>
    <definedName name="prestacional" localSheetId="9">#REF!</definedName>
    <definedName name="prestacional" localSheetId="10">#REF!</definedName>
    <definedName name="prestacional" localSheetId="11">#REF!</definedName>
    <definedName name="prestacional" localSheetId="12">#REF!</definedName>
    <definedName name="prestacional" localSheetId="14">#REF!</definedName>
    <definedName name="prestacional" localSheetId="3">#REF!</definedName>
    <definedName name="prestacional">#REF!</definedName>
    <definedName name="PRINT_AREA">#N/A</definedName>
    <definedName name="PRINT_AREA_MI">#N/A</definedName>
    <definedName name="PRINT_TITLES">#N/A</definedName>
    <definedName name="PRINT_TITLES_MI">#N/A</definedName>
    <definedName name="PROF">#REF!</definedName>
    <definedName name="programa">#REF!</definedName>
    <definedName name="programas">'[36]base de datos'!$L$3:$L$9</definedName>
    <definedName name="proyectos">'[36]base de datos'!$N$3:$N$18</definedName>
    <definedName name="PUNTI">[2]BASE!$D$230</definedName>
    <definedName name="Q">#REF!</definedName>
    <definedName name="RASF">[76]BASE!$D$75</definedName>
    <definedName name="REJILLA">#REF!</definedName>
    <definedName name="rele">'Bienes relevantes'!$E$2</definedName>
    <definedName name="RESU" localSheetId="38">#REF!</definedName>
    <definedName name="RESU" localSheetId="35">#REF!</definedName>
    <definedName name="RESU" localSheetId="42">#REF!</definedName>
    <definedName name="RESU" localSheetId="18">#REF!</definedName>
    <definedName name="RESU" localSheetId="41">#REF!</definedName>
    <definedName name="RESU" localSheetId="34">#REF!</definedName>
    <definedName name="RESU" localSheetId="33">#REF!</definedName>
    <definedName name="RESU" localSheetId="28">#REF!</definedName>
    <definedName name="RESU" localSheetId="37">#REF!</definedName>
    <definedName name="RESU" localSheetId="39">#REF!</definedName>
    <definedName name="RESU" localSheetId="15">#REF!</definedName>
    <definedName name="RESU" localSheetId="16">#REF!</definedName>
    <definedName name="RESU" localSheetId="36">#REF!</definedName>
    <definedName name="RESU" localSheetId="21">#REF!</definedName>
    <definedName name="RESU" localSheetId="23">#REF!</definedName>
    <definedName name="RESU" localSheetId="9">#REF!</definedName>
    <definedName name="RESU" localSheetId="10">#REF!</definedName>
    <definedName name="RESU" localSheetId="11">#REF!</definedName>
    <definedName name="RESU" localSheetId="12">#REF!</definedName>
    <definedName name="RESU" localSheetId="14">#REF!</definedName>
    <definedName name="RESU" localSheetId="3">#REF!</definedName>
    <definedName name="RESU" localSheetId="4">#REF!</definedName>
    <definedName name="RESU" localSheetId="20">#REF!</definedName>
    <definedName name="RESU" localSheetId="31">#REF!</definedName>
    <definedName name="RESU">#REF!</definedName>
    <definedName name="resumen">#REF!</definedName>
    <definedName name="RETRO">[2]BASE!$D$307</definedName>
    <definedName name="REY">'[77]Tabla 1.1'!#REF!</definedName>
    <definedName name="RFO">'CF&amp;O'!$B$2</definedName>
    <definedName name="RLIGA">#REF!</definedName>
    <definedName name="Rwvu.ComparEneMar9697." hidden="1">'[50]Seguimiento CSF'!$L:$N,'[50]Seguimiento CSF'!$R:$BU</definedName>
    <definedName name="Rwvu.EneFeb." hidden="1">'[50]Seguimiento CSF'!$L:$N,'[50]Seguimiento CSF'!$Q:$AD</definedName>
    <definedName name="Rwvu.Formato._.Corto." hidden="1">'[50]Seguimiento CSF'!$L:$N,'[50]Seguimiento CSF'!$R:$AD,'[50]Seguimiento CSF'!$AH:$AY,'[50]Seguimiento CSF'!$BA:$BH,'[50]Seguimiento CSF'!$BJ:$BQ,'[50]Seguimiento CSF'!$BS:$CF</definedName>
    <definedName name="Rwvu.OPEF._.96." hidden="1">'[50]Resumen OPEF'!$E:$J,'[50]Resumen OPEF'!$M:$Q</definedName>
    <definedName name="Rwvu.OPEF._.97." hidden="1">'[50]Resumen OPEF'!$C:$C,'[50]Resumen OPEF'!#REF!,'[50]Resumen OPEF'!$K:$Q</definedName>
    <definedName name="Sabaneta">#REF!</definedName>
    <definedName name="salarios">Salarios!$C$2</definedName>
    <definedName name="SAOG7">#REF!</definedName>
    <definedName name="SAOG7OCTUBRE">#REF!</definedName>
    <definedName name="sda" localSheetId="6">#REF!</definedName>
    <definedName name="sda" localSheetId="7">#REF!</definedName>
    <definedName name="sda" localSheetId="9">#REF!</definedName>
    <definedName name="sda" localSheetId="10">#REF!</definedName>
    <definedName name="sda" localSheetId="11">#REF!</definedName>
    <definedName name="sda" localSheetId="12">#REF!</definedName>
    <definedName name="sda" localSheetId="13">#REF!</definedName>
    <definedName name="sda" localSheetId="14">#REF!</definedName>
    <definedName name="sda">#REF!</definedName>
    <definedName name="SepOct">'[58]Sep-Oct'!$A$12:$H$30</definedName>
    <definedName name="SepOct_C">#REF!</definedName>
    <definedName name="septico">#REF!</definedName>
    <definedName name="SHARED_FORMULA_21">#N/A</definedName>
    <definedName name="SIKAD">#REF!</definedName>
    <definedName name="SLPVC">[2]BASE!$D$214</definedName>
    <definedName name="SMMLV">#REF!</definedName>
    <definedName name="SOLDA">#REF!</definedName>
    <definedName name="SOLPVC">#REF!</definedName>
    <definedName name="SSS">#REF!</definedName>
    <definedName name="ssss">[78]BASE!$D$84</definedName>
    <definedName name="ssssaaaa">[79]BASE!$D$1742</definedName>
    <definedName name="SUBA">'[80]SUB APU'!$A$1:$D$65536</definedName>
    <definedName name="subasta1">'A. Lances - SIP'!$B$2</definedName>
    <definedName name="subasta2">'Habilitados - SI'!$C$2</definedName>
    <definedName name="subasta3">'D. Lances - SIP'!$C$2</definedName>
    <definedName name="subasta4">'DD. Lances - SIP'!$C$2</definedName>
    <definedName name="SUELLEN" localSheetId="38">#REF!</definedName>
    <definedName name="SUELLEN" localSheetId="35">#REF!</definedName>
    <definedName name="SUELLEN" localSheetId="42">#REF!</definedName>
    <definedName name="SUELLEN" localSheetId="18">#REF!</definedName>
    <definedName name="SUELLEN" localSheetId="41">#REF!</definedName>
    <definedName name="SUELLEN" localSheetId="34">#REF!</definedName>
    <definedName name="SUELLEN" localSheetId="33">#REF!</definedName>
    <definedName name="SUELLEN" localSheetId="28">#REF!</definedName>
    <definedName name="SUELLEN" localSheetId="37">#REF!</definedName>
    <definedName name="SUELLEN" localSheetId="39">#REF!</definedName>
    <definedName name="SUELLEN" localSheetId="15">#REF!</definedName>
    <definedName name="SUELLEN" localSheetId="16">#REF!</definedName>
    <definedName name="SUELLEN" localSheetId="36">#REF!</definedName>
    <definedName name="SUELLEN" localSheetId="21">#REF!</definedName>
    <definedName name="SUELLEN" localSheetId="23">#REF!</definedName>
    <definedName name="SUELLEN" localSheetId="9">#REF!</definedName>
    <definedName name="SUELLEN" localSheetId="10">#REF!</definedName>
    <definedName name="SUELLEN" localSheetId="11">#REF!</definedName>
    <definedName name="SUELLEN" localSheetId="12">#REF!</definedName>
    <definedName name="SUELLEN" localSheetId="14">#REF!</definedName>
    <definedName name="SUELLEN" localSheetId="3">#REF!</definedName>
    <definedName name="SUELLEN" localSheetId="4">#REF!</definedName>
    <definedName name="SUELLEN" localSheetId="20">#REF!</definedName>
    <definedName name="SUELLEN" localSheetId="31">#REF!</definedName>
    <definedName name="SUELLEN">#REF!</definedName>
    <definedName name="Sum">'[77]Tabla 1.1'!#REF!</definedName>
    <definedName name="suma">[44]Hoja1!$F$60</definedName>
    <definedName name="SUMIN">[2]BASE!$D$251</definedName>
    <definedName name="SZ">#REF!</definedName>
    <definedName name="T22JH">#REF!</definedName>
    <definedName name="T32JH">#REF!</definedName>
    <definedName name="T33JH">#REF!</definedName>
    <definedName name="T42JH">#REF!</definedName>
    <definedName name="T43JH">#REF!</definedName>
    <definedName name="T44JH">#REF!</definedName>
    <definedName name="T62JH">#REF!</definedName>
    <definedName name="T63JH">#REF!</definedName>
    <definedName name="T64JH">#REF!</definedName>
    <definedName name="T66JH">[2]BASE!$D$163</definedName>
    <definedName name="T82JH">#REF!</definedName>
    <definedName name="T83JH">#REF!</definedName>
    <definedName name="T84JH">[5]BASE!$D$168</definedName>
    <definedName name="T88EB">#REF!</definedName>
    <definedName name="T88EL">#REF!</definedName>
    <definedName name="TabBL">'[53]L codos'!$A$3:$V$10</definedName>
    <definedName name="TabCIM">[60]Hoja2!$A$5:$I$38</definedName>
    <definedName name="TABLA">[2]BASE!$D$255</definedName>
    <definedName name="TABLILLA">[43]BASE!$D$396</definedName>
    <definedName name="TACOM">[2]BASE!$D$316</definedName>
    <definedName name="TACOM1">[5]BASE!$D$306</definedName>
    <definedName name="TACOR">[2]BASE!$D$314</definedName>
    <definedName name="TACOR_">[41]BASE!$D$457</definedName>
    <definedName name="TAP2PN10">#REF!</definedName>
    <definedName name="TAPAM">#REF!</definedName>
    <definedName name="TASP1">#REF!</definedName>
    <definedName name="TASP2">#REF!</definedName>
    <definedName name="TASP3">#REF!</definedName>
    <definedName name="TASP4">#REF!</definedName>
    <definedName name="TASR4">#REF!</definedName>
    <definedName name="TEJAB">[2]BASE!$D$65</definedName>
    <definedName name="TEJAJ">[9]BASE!$D$392</definedName>
    <definedName name="TELEP">[2]BASE!$D$313</definedName>
    <definedName name="territoriales">'[36]base de datos'!$G$3:$G$11</definedName>
    <definedName name="TGALV">#REF!</definedName>
    <definedName name="TH10J">#REF!</definedName>
    <definedName name="THF6JH">#REF!</definedName>
    <definedName name="THF6RO">[2]BASE!$D$190</definedName>
    <definedName name="THF8JH">#REF!</definedName>
    <definedName name="_xlnm.Print_Titles" localSheetId="42">'Ayuda honorarios'!$1:$3</definedName>
    <definedName name="_xlnm.Print_Titles" localSheetId="33">Distintivos!$1:$3</definedName>
    <definedName name="_xlnm.Print_Titles" localSheetId="29">Honorarios!$1:$4</definedName>
    <definedName name="_xlnm.Print_Titles" localSheetId="1">'Plan Ejecución'!$1:$4</definedName>
    <definedName name="_xlnm.Print_Titles" localSheetId="3">'Ppto PSP'!$1:$4</definedName>
    <definedName name="_xlnm.Print_Titles" localSheetId="2">'Presupuesto Contrato'!$1:$4</definedName>
    <definedName name="_xlnm.Print_Titles" localSheetId="4">'Presupuesto Convenio'!$1:$4</definedName>
    <definedName name="_xlnm.Print_Titles">#N/A</definedName>
    <definedName name="Títulos_a_imprimir_IM" localSheetId="38">#REF!</definedName>
    <definedName name="Títulos_a_imprimir_IM" localSheetId="35">#REF!</definedName>
    <definedName name="Títulos_a_imprimir_IM" localSheetId="42">#REF!</definedName>
    <definedName name="Títulos_a_imprimir_IM" localSheetId="18">#REF!</definedName>
    <definedName name="Títulos_a_imprimir_IM" localSheetId="41">#REF!</definedName>
    <definedName name="Títulos_a_imprimir_IM" localSheetId="34">#REF!</definedName>
    <definedName name="Títulos_a_imprimir_IM" localSheetId="33">#REF!</definedName>
    <definedName name="Títulos_a_imprimir_IM" localSheetId="28">#REF!</definedName>
    <definedName name="Títulos_a_imprimir_IM" localSheetId="37">#REF!</definedName>
    <definedName name="Títulos_a_imprimir_IM" localSheetId="39">#REF!</definedName>
    <definedName name="Títulos_a_imprimir_IM" localSheetId="15">#REF!</definedName>
    <definedName name="Títulos_a_imprimir_IM" localSheetId="16">#REF!</definedName>
    <definedName name="Títulos_a_imprimir_IM" localSheetId="36">#REF!</definedName>
    <definedName name="Títulos_a_imprimir_IM" localSheetId="21">#REF!</definedName>
    <definedName name="Títulos_a_imprimir_IM" localSheetId="23">#REF!</definedName>
    <definedName name="Títulos_a_imprimir_IM" localSheetId="9">#REF!</definedName>
    <definedName name="Títulos_a_imprimir_IM" localSheetId="10">#REF!</definedName>
    <definedName name="Títulos_a_imprimir_IM" localSheetId="11">#REF!</definedName>
    <definedName name="Títulos_a_imprimir_IM" localSheetId="12">#REF!</definedName>
    <definedName name="Títulos_a_imprimir_IM" localSheetId="14">#REF!</definedName>
    <definedName name="Títulos_a_imprimir_IM" localSheetId="3">#REF!</definedName>
    <definedName name="Títulos_a_imprimir_IM" localSheetId="4">#REF!</definedName>
    <definedName name="Títulos_a_imprimir_IM" localSheetId="20">#REF!</definedName>
    <definedName name="Títulos_a_imprimir_IM" localSheetId="31">#REF!</definedName>
    <definedName name="Títulos_a_imprimir_IM">#REF!</definedName>
    <definedName name="TNOV10">#REF!</definedName>
    <definedName name="TNOV12">[2]BASE!$D$147</definedName>
    <definedName name="TNOV16">#REF!</definedName>
    <definedName name="TNOV18">#REF!</definedName>
    <definedName name="TNOV20">#REF!</definedName>
    <definedName name="TNOV6">#REF!</definedName>
    <definedName name="TNOV8">[2]BASE!$D$145</definedName>
    <definedName name="TORNI">[2]BASE!$D$265</definedName>
    <definedName name="Tot_Act01">#REF!</definedName>
    <definedName name="Tot_Act02">#REF!</definedName>
    <definedName name="Tot_Act03">#REF!</definedName>
    <definedName name="TotalOpti">#REF!</definedName>
    <definedName name="TOTALOPTIM">#REF!</definedName>
    <definedName name="TOTALOPTIMIZACION">#REF!</definedName>
    <definedName name="TOTALREPOS">#REF!</definedName>
    <definedName name="TOTALREPOSICION">#REF!</definedName>
    <definedName name="TPVCME">#REF!</definedName>
    <definedName name="TPVCP1">#REF!</definedName>
    <definedName name="TPVCS3">'[10]BASE ORIGINAL'!#REF!</definedName>
    <definedName name="TPVCS4">#REF!</definedName>
    <definedName name="tramites">'[36]base de datos'!$T$3:$T$18</definedName>
    <definedName name="TRANA">'[10]BASE ORIGINAL'!#REF!</definedName>
    <definedName name="TRANAG">[2]BASE!$D$336</definedName>
    <definedName name="TRANAR">[2]BASE!$D$332</definedName>
    <definedName name="TRANS">[2]BASE!$D$333</definedName>
    <definedName name="tre">#REF!</definedName>
    <definedName name="tres" localSheetId="38">#REF!</definedName>
    <definedName name="tres" localSheetId="35">#REF!</definedName>
    <definedName name="tres" localSheetId="42">#REF!</definedName>
    <definedName name="tres" localSheetId="18">#REF!</definedName>
    <definedName name="tres" localSheetId="41">#REF!</definedName>
    <definedName name="tres" localSheetId="34">#REF!</definedName>
    <definedName name="tres" localSheetId="33">#REF!</definedName>
    <definedName name="tres" localSheetId="28">#REF!</definedName>
    <definedName name="tres" localSheetId="37">#REF!</definedName>
    <definedName name="tres" localSheetId="39">#REF!</definedName>
    <definedName name="tres" localSheetId="15">#REF!</definedName>
    <definedName name="tres" localSheetId="16">#REF!</definedName>
    <definedName name="tres" localSheetId="36">#REF!</definedName>
    <definedName name="tres" localSheetId="21">#REF!</definedName>
    <definedName name="tres" localSheetId="23">#REF!</definedName>
    <definedName name="tres" localSheetId="9">#REF!</definedName>
    <definedName name="tres" localSheetId="10">#REF!</definedName>
    <definedName name="tres" localSheetId="11">#REF!</definedName>
    <definedName name="tres" localSheetId="12">#REF!</definedName>
    <definedName name="tres" localSheetId="14">#REF!</definedName>
    <definedName name="tres" localSheetId="3">#REF!</definedName>
    <definedName name="tres" localSheetId="4">#REF!</definedName>
    <definedName name="tres" localSheetId="20">#REF!</definedName>
    <definedName name="tres" localSheetId="31">#REF!</definedName>
    <definedName name="tres">#REF!</definedName>
    <definedName name="TRITM">#REF!</definedName>
    <definedName name="TRITU">[2]BASE!$D$54</definedName>
    <definedName name="TS">[67]INSUMOS!$A:$E</definedName>
    <definedName name="TUAC12">#REF!</definedName>
    <definedName name="TUAC14">[81]BASE!$D$271</definedName>
    <definedName name="TUAC4">[81]BASE!$D$268</definedName>
    <definedName name="TUAC6">[81]BASE!$D$269</definedName>
    <definedName name="TUB8AC">#REF!</definedName>
    <definedName name="TUBNE">#REF!</definedName>
    <definedName name="TUBS2">#REF!</definedName>
    <definedName name="TUBS3">[2]BASE!$D$124</definedName>
    <definedName name="TUBS4">[2]BASE!$D$125</definedName>
    <definedName name="TUBS6">[9]BASE!$D$193</definedName>
    <definedName name="U_Z">#REF!</definedName>
    <definedName name="UALU">[9]BASE!$D$370</definedName>
    <definedName name="ujhghjh">#REF!</definedName>
    <definedName name="und">[2]BASE!#REF!</definedName>
    <definedName name="UNION_Z">#REF!</definedName>
    <definedName name="UNOV30">[2]BASE!$D$104</definedName>
    <definedName name="UNOV36">[2]BASE!$D$105</definedName>
    <definedName name="UNPVP4">[34]BASE!#REF!</definedName>
    <definedName name="UNPVP5">[34]BASE!#REF!</definedName>
    <definedName name="UNPVP6">[34]BASE!#REF!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u">[68]Herramienta!$A$2:$A$4</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ALMA3">#REF!</definedName>
    <definedName name="VALMA4">#REF!</definedName>
    <definedName name="Var">[28]Varios.!$E$1:$E$65536</definedName>
    <definedName name="vas" localSheetId="38">#REF!</definedName>
    <definedName name="vas" localSheetId="35">#REF!</definedName>
    <definedName name="vas" localSheetId="42">#REF!</definedName>
    <definedName name="vas" localSheetId="18">#REF!</definedName>
    <definedName name="vas" localSheetId="41">#REF!</definedName>
    <definedName name="vas" localSheetId="34">#REF!</definedName>
    <definedName name="vas" localSheetId="33">#REF!</definedName>
    <definedName name="vas" localSheetId="28">#REF!</definedName>
    <definedName name="vas" localSheetId="37">#REF!</definedName>
    <definedName name="vas" localSheetId="39">#REF!</definedName>
    <definedName name="vas" localSheetId="15">#REF!</definedName>
    <definedName name="vas" localSheetId="16">#REF!</definedName>
    <definedName name="vas" localSheetId="36">#REF!</definedName>
    <definedName name="vas" localSheetId="21">#REF!</definedName>
    <definedName name="vas" localSheetId="23">#REF!</definedName>
    <definedName name="vas" localSheetId="9">#REF!</definedName>
    <definedName name="vas" localSheetId="10">#REF!</definedName>
    <definedName name="vas" localSheetId="11">#REF!</definedName>
    <definedName name="vas" localSheetId="12">#REF!</definedName>
    <definedName name="vas" localSheetId="14">#REF!</definedName>
    <definedName name="vas" localSheetId="3">#REF!</definedName>
    <definedName name="vas" localSheetId="4">#REF!</definedName>
    <definedName name="vas" localSheetId="20">#REF!</definedName>
    <definedName name="vas" localSheetId="31">#REF!</definedName>
    <definedName name="vas">#REF!</definedName>
    <definedName name="VBOL2">[2]BASE!$D$294</definedName>
    <definedName name="VBOL4">[2]BASE!$D$295</definedName>
    <definedName name="VCBB2">#REF!</definedName>
    <definedName name="VCBB3">#REF!</definedName>
    <definedName name="VCBB8">#REF!</definedName>
    <definedName name="VCEL1">#REF!</definedName>
    <definedName name="VCEL2">#REF!</definedName>
    <definedName name="VCEL3">[2]BASE!$D$285</definedName>
    <definedName name="VCEL4">#REF!</definedName>
    <definedName name="VCEL6">[2]BASE!$D$283</definedName>
    <definedName name="VCEL8">'[10]BASE ORIGINAL'!#REF!</definedName>
    <definedName name="VCELA2">#REF!</definedName>
    <definedName name="VCELA3">#REF!</definedName>
    <definedName name="VCELA4">#REF!</definedName>
    <definedName name="VCELA6">#REF!</definedName>
    <definedName name="VCEVNAEL3">[35]BASE!$D$593</definedName>
    <definedName name="VCHE12">#REF!</definedName>
    <definedName name="VCSBVNAEL2">[34]BASE!$D$644</definedName>
    <definedName name="VCSBVNAEL3">[34]BASE!$D$645</definedName>
    <definedName name="VENTI">[2]BASE!$D$258</definedName>
    <definedName name="VERT">#REF!</definedName>
    <definedName name="VIAJE">[2]BASE!$D$334</definedName>
    <definedName name="VIBGA">[2]BASE!$D$311</definedName>
    <definedName name="VIBRCOM">#REF!</definedName>
    <definedName name="VIBRE">[2]BASE!$D$312</definedName>
    <definedName name="VIDRI">[2]BASE!$D$259</definedName>
    <definedName name="viscosidad">#REF!</definedName>
    <definedName name="VOLQUET">#REF!</definedName>
    <definedName name="VPVC2">#REF!</definedName>
    <definedName name="VVV">[43]BASE!$C$3</definedName>
    <definedName name="wrn.GENERAL." localSheetId="42"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31" hidden="1">{"TAB1",#N/A,TRUE,"GENERAL";"TAB2",#N/A,TRUE,"GENERAL";"TAB3",#N/A,TRUE,"GENERAL";"TAB4",#N/A,TRUE,"GENERAL";"TAB5",#N/A,TRUE,"GENERAL"}</definedName>
    <definedName name="wrn.GENERAL." hidden="1">{"TAB1",#N/A,TRUE,"GENERAL";"TAB2",#N/A,TRUE,"GENERAL";"TAB3",#N/A,TRUE,"GENERAL";"TAB4",#N/A,TRUE,"GENERAL";"TAB5",#N/A,TRUE,"GENERAL"}</definedName>
    <definedName name="wrn.via." localSheetId="42" hidden="1">{"via1",#N/A,TRUE,"general";"via2",#N/A,TRUE,"general";"via3",#N/A,TRUE,"general"}</definedName>
    <definedName name="wrn.via." localSheetId="28" hidden="1">{"via1",#N/A,TRUE,"general";"via2",#N/A,TRUE,"general";"via3",#N/A,TRUE,"general"}</definedName>
    <definedName name="wrn.via." localSheetId="31" hidden="1">{"via1",#N/A,TRUE,"general";"via2",#N/A,TRUE,"general";"via3",#N/A,TRUE,"general"}</definedName>
    <definedName name="wrn.via." hidden="1">{"via1",#N/A,TRUE,"general";"via2",#N/A,TRUE,"general";"via3",#N/A,TRUE,"general"}</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#REF!</definedName>
    <definedName name="xx" localSheetId="38">#REF!</definedName>
    <definedName name="xx" localSheetId="35">#REF!</definedName>
    <definedName name="xx" localSheetId="42">#REF!</definedName>
    <definedName name="xx" localSheetId="18">#REF!</definedName>
    <definedName name="xx" localSheetId="41">#REF!</definedName>
    <definedName name="xx" localSheetId="34">#REF!</definedName>
    <definedName name="xx" localSheetId="33">#REF!</definedName>
    <definedName name="xx" localSheetId="28">#REF!</definedName>
    <definedName name="xx" localSheetId="37">#REF!</definedName>
    <definedName name="xx" localSheetId="39">#REF!</definedName>
    <definedName name="xx" localSheetId="15">#REF!</definedName>
    <definedName name="xx" localSheetId="16">#REF!</definedName>
    <definedName name="xx" localSheetId="36">#REF!</definedName>
    <definedName name="xx" localSheetId="21">#REF!</definedName>
    <definedName name="xx" localSheetId="23">#REF!</definedName>
    <definedName name="xx" localSheetId="9">#REF!</definedName>
    <definedName name="xx" localSheetId="10">#REF!</definedName>
    <definedName name="xx" localSheetId="11">#REF!</definedName>
    <definedName name="xx" localSheetId="12">#REF!</definedName>
    <definedName name="xx" localSheetId="14">#REF!</definedName>
    <definedName name="xx" localSheetId="3">#REF!</definedName>
    <definedName name="xx" localSheetId="4">#REF!</definedName>
    <definedName name="xx" localSheetId="20">#REF!</definedName>
    <definedName name="xx" localSheetId="31">#REF!</definedName>
    <definedName name="xx">#REF!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uf" localSheetId="42" hidden="1">{"TAB1",#N/A,TRUE,"GENERAL";"TAB2",#N/A,TRUE,"GENERAL";"TAB3",#N/A,TRUE,"GENERAL";"TAB4",#N/A,TRUE,"GENERAL";"TAB5",#N/A,TRUE,"GENERAL"}</definedName>
    <definedName name="yuf" localSheetId="28" hidden="1">{"TAB1",#N/A,TRUE,"GENERAL";"TAB2",#N/A,TRUE,"GENERAL";"TAB3",#N/A,TRUE,"GENERAL";"TAB4",#N/A,TRUE,"GENERAL";"TAB5",#N/A,TRUE,"GENERAL"}</definedName>
    <definedName name="yuf" localSheetId="31" hidden="1">{"TAB1",#N/A,TRUE,"GENERAL";"TAB2",#N/A,TRUE,"GENERAL";"TAB3",#N/A,TRUE,"GENERAL";"TAB4",#N/A,TRUE,"GENERAL";"TAB5",#N/A,TRUE,"GENERAL"}</definedName>
    <definedName name="yuf" hidden="1">{"TAB1",#N/A,TRUE,"GENERAL";"TAB2",#N/A,TRUE,"GENERAL";"TAB3",#N/A,TRUE,"GENERAL";"TAB4",#N/A,TRUE,"GENERAL";"TAB5",#N/A,TRUE,"GENERAL"}</definedName>
    <definedName name="YUYYYY">#REF!</definedName>
    <definedName name="Z_91E95AE5_DCC2_11D0_8DF1_00805F2A002D_.wvu.Cols" hidden="1">'[50]Seguimiento CSF'!$L:$N,'[50]Seguimiento CSF'!$R:$BU</definedName>
    <definedName name="Z_91E95AE6_DCC2_11D0_8DF1_00805F2A002D_.wvu.Cols" hidden="1">'[50]Seguimiento CSF'!$L:$N,'[50]Seguimiento CSF'!$Q:$AD</definedName>
    <definedName name="Z_91E95AE6_DCC2_11D0_8DF1_00805F2A002D_.wvu.Rows" hidden="1">'[50]Seguimiento CSF'!#REF!,'[50]Seguimiento CSF'!#REF!</definedName>
    <definedName name="Z_91E95AE7_DCC2_11D0_8DF1_00805F2A002D_.wvu.Cols" hidden="1">'[50]Resumen MES OPEF'!$C:$C,'[50]Resumen MES OPEF'!$N:$N,'[50]Resumen MES OPEF'!$Y:$Y,'[50]Resumen MES OPEF'!$AL:$AL,'[50]Resumen MES OPEF'!$AV:$AV,'[50]Resumen MES OPEF'!$BG:$BG,'[50]Resumen MES OPEF'!$BR:$BR,'[50]Resumen MES OPEF'!$CC:$CC</definedName>
    <definedName name="Z_91E95AE8_DCC2_11D0_8DF1_00805F2A002D_.wvu.Cols" hidden="1">'[50]Seguimiento CSF'!$L:$N,'[50]Seguimiento CSF'!$R:$AD,'[50]Seguimiento CSF'!$AY:$AY,'[50]Seguimiento CSF'!$BH:$BH,'[50]Seguimiento CSF'!$BQ:$BQ</definedName>
    <definedName name="Z_91E95AE9_DCC2_11D0_8DF1_00805F2A002D_.wvu.Cols" hidden="1">'[50]Seguimiento CSF'!$L:$N,'[50]Seguimiento CSF'!$R:$AD,'[50]Seguimiento CSF'!$AH:$AY,'[50]Seguimiento CSF'!$BA:$BH,'[50]Seguimiento CSF'!$BJ:$BQ,'[50]Seguimiento CSF'!$BS:$CF</definedName>
    <definedName name="Z_91E95AEB_DCC2_11D0_8DF1_00805F2A002D_.wvu.Cols" hidden="1">'[50]Resumen OPEF'!$E:$J,'[50]Resumen OPEF'!$M:$Q</definedName>
    <definedName name="Z_91E95AEC_DCC2_11D0_8DF1_00805F2A002D_.wvu.Cols" hidden="1">'[50]Resumen OPEF'!$C:$C,'[50]Resumen OPEF'!$E:$E,'[50]Resumen OPEF'!$H:$I,'[50]Resumen OPEF'!$K:$L,'[50]Resumen OPEF'!$O:$O</definedName>
    <definedName name="zonificacion">'[36]base de datos'!$G$14:$G$33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7" i="9" l="1"/>
  <c r="H132" i="26" l="1"/>
  <c r="D14" i="9"/>
  <c r="E14" i="9" s="1"/>
  <c r="D15" i="9"/>
  <c r="E15" i="9" s="1"/>
  <c r="D16" i="9"/>
  <c r="E16" i="9" s="1"/>
  <c r="D17" i="9"/>
  <c r="E17" i="9" s="1"/>
  <c r="D18" i="9"/>
  <c r="E18" i="9" s="1"/>
  <c r="D19" i="9"/>
  <c r="D20" i="9"/>
  <c r="D21" i="9"/>
  <c r="D22" i="9"/>
  <c r="D13" i="9"/>
  <c r="H129" i="26"/>
  <c r="H126" i="26"/>
  <c r="J126" i="26"/>
  <c r="K126" i="26"/>
  <c r="J89" i="26"/>
  <c r="K89" i="26" s="1"/>
  <c r="K86" i="26"/>
  <c r="K87" i="26"/>
  <c r="J88" i="26"/>
  <c r="H84" i="26"/>
  <c r="H85" i="26"/>
  <c r="J85" i="26" s="1"/>
  <c r="H86" i="26"/>
  <c r="H87" i="26"/>
  <c r="H88" i="26"/>
  <c r="K88" i="26" s="1"/>
  <c r="H89" i="26"/>
  <c r="E13" i="9" l="1"/>
  <c r="K84" i="26"/>
  <c r="K85" i="26"/>
  <c r="J84" i="26"/>
  <c r="E22" i="9" l="1"/>
  <c r="E21" i="9"/>
  <c r="E20" i="9"/>
  <c r="E19" i="9"/>
  <c r="H93" i="26"/>
  <c r="J209" i="25"/>
  <c r="Q209" i="25" l="1"/>
  <c r="I209" i="25"/>
  <c r="L209" i="25"/>
  <c r="M209" i="25"/>
  <c r="N209" i="25"/>
  <c r="O209" i="25"/>
  <c r="P209" i="25"/>
  <c r="R209" i="25"/>
  <c r="H209" i="25"/>
  <c r="F45" i="113" l="1"/>
  <c r="F44" i="113"/>
  <c r="F43" i="113"/>
  <c r="F42" i="113"/>
  <c r="F41" i="113"/>
  <c r="F40" i="113"/>
  <c r="F39" i="113"/>
  <c r="F38" i="113"/>
  <c r="F37" i="113"/>
  <c r="F36" i="113"/>
  <c r="F35" i="113"/>
  <c r="F34" i="113"/>
  <c r="F33" i="113"/>
  <c r="F32" i="113"/>
  <c r="F31" i="113"/>
  <c r="F30" i="113"/>
  <c r="F29" i="113"/>
  <c r="F28" i="113"/>
  <c r="F27" i="113"/>
  <c r="F26" i="113"/>
  <c r="F25" i="113"/>
  <c r="F24" i="113"/>
  <c r="F23" i="113"/>
  <c r="F22" i="113"/>
  <c r="F21" i="113"/>
  <c r="F20" i="113"/>
  <c r="F19" i="113"/>
  <c r="F18" i="113"/>
  <c r="F17" i="113"/>
  <c r="F16" i="113"/>
  <c r="F15" i="113"/>
  <c r="F14" i="113"/>
  <c r="F13" i="113"/>
  <c r="F12" i="113"/>
  <c r="F11" i="113"/>
  <c r="F10" i="113"/>
  <c r="F9" i="113"/>
  <c r="F8" i="113"/>
  <c r="F7" i="113"/>
  <c r="F6" i="113"/>
  <c r="F5" i="113"/>
  <c r="F4" i="113"/>
  <c r="F46" i="113" s="1"/>
  <c r="F47" i="113" l="1"/>
  <c r="F48" i="113" s="1"/>
  <c r="J29" i="104" l="1"/>
  <c r="J31" i="104" s="1"/>
  <c r="G17" i="100"/>
  <c r="G16" i="100"/>
  <c r="G15" i="100"/>
  <c r="G18" i="100" s="1"/>
  <c r="G15" i="95"/>
  <c r="G14" i="95"/>
  <c r="G16" i="95" s="1"/>
  <c r="D24" i="92"/>
  <c r="G24" i="92" s="1"/>
  <c r="G23" i="92"/>
  <c r="G22" i="92"/>
  <c r="G21" i="92"/>
  <c r="G20" i="92"/>
  <c r="G19" i="92"/>
  <c r="G18" i="92"/>
  <c r="G17" i="92"/>
  <c r="G16" i="92"/>
  <c r="G15" i="92"/>
  <c r="G14" i="92"/>
  <c r="G24" i="89"/>
  <c r="G23" i="89"/>
  <c r="G22" i="89"/>
  <c r="G21" i="89"/>
  <c r="G20" i="89"/>
  <c r="G19" i="89"/>
  <c r="G18" i="89"/>
  <c r="G17" i="89"/>
  <c r="G16" i="89"/>
  <c r="G15" i="89"/>
  <c r="G14" i="89"/>
  <c r="G25" i="89" s="1"/>
  <c r="G23" i="86"/>
  <c r="G22" i="86"/>
  <c r="G21" i="86"/>
  <c r="G20" i="86"/>
  <c r="G19" i="86"/>
  <c r="G18" i="86"/>
  <c r="G17" i="86"/>
  <c r="G16" i="86"/>
  <c r="G15" i="86"/>
  <c r="G24" i="86" s="1"/>
  <c r="G26" i="86" s="1"/>
  <c r="G14" i="86"/>
  <c r="G25" i="92" l="1"/>
  <c r="G26" i="92" s="1"/>
  <c r="G27" i="92" s="1"/>
  <c r="J32" i="104"/>
  <c r="J33" i="104" s="1"/>
  <c r="J29" i="102"/>
  <c r="J31" i="102" s="1"/>
  <c r="J32" i="102" s="1"/>
  <c r="G17" i="95"/>
  <c r="G18" i="95" s="1"/>
  <c r="G28" i="86"/>
  <c r="G27" i="86"/>
  <c r="G20" i="100"/>
  <c r="G19" i="100"/>
  <c r="G26" i="89"/>
  <c r="G27" i="89" s="1"/>
  <c r="J33" i="102" l="1"/>
  <c r="F53" i="38" l="1"/>
  <c r="F54" i="38"/>
  <c r="F55" i="38"/>
  <c r="F56" i="38"/>
  <c r="F57" i="38"/>
  <c r="F58" i="38"/>
  <c r="F59" i="38"/>
  <c r="F60" i="38"/>
  <c r="F61" i="38"/>
  <c r="F62" i="38"/>
  <c r="F63" i="38"/>
  <c r="F64" i="38"/>
  <c r="G226" i="25"/>
  <c r="G48" i="25"/>
  <c r="AE53" i="25"/>
  <c r="D53" i="25"/>
  <c r="AE52" i="25"/>
  <c r="D52" i="25"/>
  <c r="AE51" i="25"/>
  <c r="D51" i="25"/>
  <c r="AE50" i="25"/>
  <c r="D50" i="25"/>
  <c r="AE49" i="25"/>
  <c r="D49" i="25"/>
  <c r="AD48" i="25"/>
  <c r="AC48" i="25"/>
  <c r="AB48" i="25"/>
  <c r="AA48" i="25"/>
  <c r="Z48" i="25"/>
  <c r="Y48" i="25"/>
  <c r="X48" i="25"/>
  <c r="W48" i="25"/>
  <c r="V48" i="25"/>
  <c r="U48" i="25"/>
  <c r="T48" i="25"/>
  <c r="S48" i="25"/>
  <c r="R48" i="25"/>
  <c r="Q48" i="25"/>
  <c r="P48" i="25"/>
  <c r="O48" i="25"/>
  <c r="N48" i="25"/>
  <c r="M48" i="25"/>
  <c r="L48" i="25"/>
  <c r="K48" i="25"/>
  <c r="J48" i="25"/>
  <c r="I48" i="25"/>
  <c r="H48" i="25"/>
  <c r="B5" i="46"/>
  <c r="B5" i="77"/>
  <c r="B8" i="77"/>
  <c r="C13" i="39"/>
  <c r="J12" i="39"/>
  <c r="I12" i="39"/>
  <c r="H12" i="39"/>
  <c r="G12" i="39"/>
  <c r="F12" i="39"/>
  <c r="E12" i="39"/>
  <c r="D12" i="39"/>
  <c r="C12" i="39"/>
  <c r="AE48" i="25" l="1"/>
  <c r="D3" i="78"/>
  <c r="B3" i="78"/>
  <c r="C46" i="78"/>
  <c r="C47" i="78" s="1"/>
  <c r="B46" i="78"/>
  <c r="B47" i="78" s="1"/>
  <c r="C45" i="78"/>
  <c r="B45" i="78"/>
  <c r="B41" i="78"/>
  <c r="B39" i="78"/>
  <c r="B42" i="78" s="1"/>
  <c r="D18" i="78"/>
  <c r="D17" i="78"/>
  <c r="D16" i="78"/>
  <c r="D15" i="78"/>
  <c r="D14" i="78"/>
  <c r="D13" i="78"/>
  <c r="D12" i="78"/>
  <c r="D3" i="71"/>
  <c r="D3" i="55"/>
  <c r="D3" i="70"/>
  <c r="D3" i="69"/>
  <c r="D3" i="65"/>
  <c r="C3" i="72"/>
  <c r="C3" i="73"/>
  <c r="C3" i="77"/>
  <c r="C3" i="48"/>
  <c r="D3" i="38"/>
  <c r="E3" i="59"/>
  <c r="G3" i="39"/>
  <c r="C3" i="28"/>
  <c r="D3" i="46"/>
  <c r="G3" i="61"/>
  <c r="G3" i="58"/>
  <c r="D3" i="56"/>
  <c r="F3" i="57"/>
  <c r="J3" i="68"/>
  <c r="G3" i="50"/>
  <c r="D3" i="67"/>
  <c r="G3" i="63"/>
  <c r="H3" i="41"/>
  <c r="K3" i="76"/>
  <c r="D3" i="23"/>
  <c r="H3" i="62"/>
  <c r="H3" i="64"/>
  <c r="D3" i="9"/>
  <c r="M3" i="53"/>
  <c r="E3" i="75"/>
  <c r="H3" i="26"/>
  <c r="H3" i="25"/>
  <c r="D207" i="25"/>
  <c r="D205" i="25"/>
  <c r="D206" i="25"/>
  <c r="D208" i="25"/>
  <c r="D204" i="25"/>
  <c r="D202" i="25"/>
  <c r="D201" i="25"/>
  <c r="D199" i="25"/>
  <c r="D200" i="25"/>
  <c r="D198" i="25"/>
  <c r="D196" i="25"/>
  <c r="D193" i="25"/>
  <c r="D194" i="25"/>
  <c r="D195" i="25"/>
  <c r="D192" i="25"/>
  <c r="D190" i="25"/>
  <c r="D187" i="25"/>
  <c r="D188" i="25"/>
  <c r="D189" i="25"/>
  <c r="D186" i="25"/>
  <c r="D184" i="25"/>
  <c r="D183" i="25"/>
  <c r="D182" i="25"/>
  <c r="D181" i="25"/>
  <c r="D180" i="25"/>
  <c r="G179" i="25"/>
  <c r="AE208" i="25"/>
  <c r="AE207" i="25"/>
  <c r="AE206" i="25"/>
  <c r="AE205" i="25"/>
  <c r="AE204" i="25"/>
  <c r="AD203" i="25"/>
  <c r="AC203" i="25"/>
  <c r="AB203" i="25"/>
  <c r="AA203" i="25"/>
  <c r="Z203" i="25"/>
  <c r="Y203" i="25"/>
  <c r="X203" i="25"/>
  <c r="W203" i="25"/>
  <c r="V203" i="25"/>
  <c r="U203" i="25"/>
  <c r="T203" i="25"/>
  <c r="S203" i="25"/>
  <c r="R203" i="25"/>
  <c r="Q203" i="25"/>
  <c r="P203" i="25"/>
  <c r="O203" i="25"/>
  <c r="N203" i="25"/>
  <c r="M203" i="25"/>
  <c r="L203" i="25"/>
  <c r="K203" i="25"/>
  <c r="J203" i="25"/>
  <c r="I203" i="25"/>
  <c r="H203" i="25"/>
  <c r="G203" i="25"/>
  <c r="AE202" i="25"/>
  <c r="AE201" i="25"/>
  <c r="AE200" i="25"/>
  <c r="AE199" i="25"/>
  <c r="AE198" i="25"/>
  <c r="AD197" i="25"/>
  <c r="AC197" i="25"/>
  <c r="AB197" i="25"/>
  <c r="AA197" i="25"/>
  <c r="Z197" i="25"/>
  <c r="Y197" i="25"/>
  <c r="X197" i="25"/>
  <c r="W197" i="25"/>
  <c r="V197" i="25"/>
  <c r="U197" i="25"/>
  <c r="T197" i="25"/>
  <c r="S197" i="25"/>
  <c r="R197" i="25"/>
  <c r="Q197" i="25"/>
  <c r="P197" i="25"/>
  <c r="O197" i="25"/>
  <c r="N197" i="25"/>
  <c r="M197" i="25"/>
  <c r="L197" i="25"/>
  <c r="K197" i="25"/>
  <c r="J197" i="25"/>
  <c r="I197" i="25"/>
  <c r="H197" i="25"/>
  <c r="G197" i="25"/>
  <c r="AE196" i="25"/>
  <c r="AE195" i="25"/>
  <c r="AE194" i="25"/>
  <c r="AE193" i="25"/>
  <c r="AE192" i="25"/>
  <c r="AD191" i="25"/>
  <c r="AC191" i="25"/>
  <c r="AB191" i="25"/>
  <c r="AA191" i="25"/>
  <c r="Z191" i="25"/>
  <c r="Y191" i="25"/>
  <c r="X191" i="25"/>
  <c r="W191" i="25"/>
  <c r="V191" i="25"/>
  <c r="U191" i="25"/>
  <c r="T191" i="25"/>
  <c r="S191" i="25"/>
  <c r="R191" i="25"/>
  <c r="Q191" i="25"/>
  <c r="P191" i="25"/>
  <c r="O191" i="25"/>
  <c r="N191" i="25"/>
  <c r="M191" i="25"/>
  <c r="L191" i="25"/>
  <c r="K191" i="25"/>
  <c r="J191" i="25"/>
  <c r="I191" i="25"/>
  <c r="H191" i="25"/>
  <c r="G191" i="25"/>
  <c r="AE190" i="25"/>
  <c r="AE189" i="25"/>
  <c r="AE188" i="25"/>
  <c r="AE187" i="25"/>
  <c r="AE186" i="25"/>
  <c r="AD185" i="25"/>
  <c r="AC185" i="25"/>
  <c r="AB185" i="25"/>
  <c r="AA185" i="25"/>
  <c r="Z185" i="25"/>
  <c r="Y185" i="25"/>
  <c r="X185" i="25"/>
  <c r="W185" i="25"/>
  <c r="V185" i="25"/>
  <c r="U185" i="25"/>
  <c r="T185" i="25"/>
  <c r="S185" i="25"/>
  <c r="R185" i="25"/>
  <c r="Q185" i="25"/>
  <c r="P185" i="25"/>
  <c r="O185" i="25"/>
  <c r="N185" i="25"/>
  <c r="M185" i="25"/>
  <c r="L185" i="25"/>
  <c r="K185" i="25"/>
  <c r="J185" i="25"/>
  <c r="I185" i="25"/>
  <c r="H185" i="25"/>
  <c r="G185" i="25"/>
  <c r="AE184" i="25"/>
  <c r="AE183" i="25"/>
  <c r="AE182" i="25"/>
  <c r="AE181" i="25"/>
  <c r="AE180" i="25"/>
  <c r="AD179" i="25"/>
  <c r="AC179" i="25"/>
  <c r="AB179" i="25"/>
  <c r="AA179" i="25"/>
  <c r="Z179" i="25"/>
  <c r="Y179" i="25"/>
  <c r="X179" i="25"/>
  <c r="W179" i="25"/>
  <c r="V179" i="25"/>
  <c r="U179" i="25"/>
  <c r="T179" i="25"/>
  <c r="S179" i="25"/>
  <c r="R179" i="25"/>
  <c r="Q179" i="25"/>
  <c r="P179" i="25"/>
  <c r="O179" i="25"/>
  <c r="N179" i="25"/>
  <c r="M179" i="25"/>
  <c r="L179" i="25"/>
  <c r="K179" i="25"/>
  <c r="J179" i="25"/>
  <c r="I179" i="25"/>
  <c r="H179" i="25"/>
  <c r="N178" i="25" l="1"/>
  <c r="B49" i="78"/>
  <c r="B48" i="78"/>
  <c r="B50" i="78"/>
  <c r="C49" i="78"/>
  <c r="C48" i="78"/>
  <c r="C50" i="78" s="1"/>
  <c r="I178" i="25"/>
  <c r="H178" i="25"/>
  <c r="P178" i="25"/>
  <c r="X178" i="25"/>
  <c r="Q178" i="25"/>
  <c r="R178" i="25"/>
  <c r="AB178" i="25"/>
  <c r="W178" i="25"/>
  <c r="J178" i="25"/>
  <c r="M178" i="25"/>
  <c r="T178" i="25"/>
  <c r="L178" i="25"/>
  <c r="O178" i="25"/>
  <c r="K178" i="25"/>
  <c r="G178" i="25"/>
  <c r="AE185" i="25"/>
  <c r="V178" i="25"/>
  <c r="AD178" i="25"/>
  <c r="Y178" i="25"/>
  <c r="S178" i="25"/>
  <c r="AA178" i="25"/>
  <c r="AE191" i="25"/>
  <c r="U178" i="25"/>
  <c r="AC178" i="25"/>
  <c r="AE197" i="25"/>
  <c r="Z178" i="25"/>
  <c r="AE179" i="25"/>
  <c r="AE203" i="25"/>
  <c r="AE19" i="25"/>
  <c r="AE20" i="25"/>
  <c r="AE21" i="25"/>
  <c r="AE22" i="25"/>
  <c r="AE23" i="25"/>
  <c r="AE25" i="25"/>
  <c r="AE26" i="25"/>
  <c r="AE27" i="25"/>
  <c r="AE28" i="25"/>
  <c r="AE29" i="25"/>
  <c r="AE31" i="25"/>
  <c r="AE32" i="25"/>
  <c r="AE33" i="25"/>
  <c r="AE34" i="25"/>
  <c r="AE35" i="25"/>
  <c r="AE37" i="25"/>
  <c r="AE38" i="25"/>
  <c r="AE39" i="25"/>
  <c r="AE40" i="25"/>
  <c r="AE41" i="25"/>
  <c r="AE43" i="25"/>
  <c r="AE44" i="25"/>
  <c r="AE45" i="25"/>
  <c r="AE46" i="25"/>
  <c r="AE47" i="25"/>
  <c r="AE56" i="25"/>
  <c r="AE57" i="25"/>
  <c r="AE58" i="25"/>
  <c r="AE59" i="25"/>
  <c r="AE60" i="25"/>
  <c r="AE62" i="25"/>
  <c r="AE63" i="25"/>
  <c r="AE64" i="25"/>
  <c r="AE65" i="25"/>
  <c r="AE66" i="25"/>
  <c r="AE68" i="25"/>
  <c r="AE69" i="25"/>
  <c r="AE70" i="25"/>
  <c r="AE71" i="25"/>
  <c r="AE72" i="25"/>
  <c r="AE74" i="25"/>
  <c r="AE75" i="25"/>
  <c r="AE76" i="25"/>
  <c r="AE77" i="25"/>
  <c r="AE78" i="25"/>
  <c r="AE80" i="25"/>
  <c r="AE81" i="25"/>
  <c r="AE82" i="25"/>
  <c r="AE83" i="25"/>
  <c r="AE84" i="25"/>
  <c r="AE87" i="25"/>
  <c r="AE88" i="25"/>
  <c r="AE89" i="25"/>
  <c r="AE90" i="25"/>
  <c r="AE91" i="25"/>
  <c r="AE93" i="25"/>
  <c r="AE94" i="25"/>
  <c r="AE95" i="25"/>
  <c r="AE96" i="25"/>
  <c r="AE97" i="25"/>
  <c r="AE99" i="25"/>
  <c r="AE100" i="25"/>
  <c r="AE101" i="25"/>
  <c r="AE102" i="25"/>
  <c r="AE103" i="25"/>
  <c r="AE105" i="25"/>
  <c r="AE106" i="25"/>
  <c r="AE107" i="25"/>
  <c r="AE108" i="25"/>
  <c r="AE109" i="25"/>
  <c r="AE111" i="25"/>
  <c r="AE112" i="25"/>
  <c r="AE113" i="25"/>
  <c r="AE114" i="25"/>
  <c r="AE115" i="25"/>
  <c r="AE118" i="25"/>
  <c r="AE119" i="25"/>
  <c r="AE120" i="25"/>
  <c r="AE121" i="25"/>
  <c r="AE122" i="25"/>
  <c r="AE124" i="25"/>
  <c r="AE125" i="25"/>
  <c r="AE126" i="25"/>
  <c r="AE127" i="25"/>
  <c r="AE128" i="25"/>
  <c r="AE130" i="25"/>
  <c r="AE131" i="25"/>
  <c r="AE132" i="25"/>
  <c r="AE133" i="25"/>
  <c r="AE134" i="25"/>
  <c r="AE136" i="25"/>
  <c r="AE137" i="25"/>
  <c r="AE138" i="25"/>
  <c r="AE139" i="25"/>
  <c r="AE140" i="25"/>
  <c r="AE142" i="25"/>
  <c r="AE143" i="25"/>
  <c r="AE144" i="25"/>
  <c r="AE145" i="25"/>
  <c r="AE146" i="25"/>
  <c r="AE149" i="25"/>
  <c r="AE150" i="25"/>
  <c r="AE151" i="25"/>
  <c r="AE152" i="25"/>
  <c r="AE153" i="25"/>
  <c r="AE155" i="25"/>
  <c r="AE156" i="25"/>
  <c r="AE157" i="25"/>
  <c r="AE158" i="25"/>
  <c r="AE159" i="25"/>
  <c r="AE161" i="25"/>
  <c r="AE162" i="25"/>
  <c r="AE163" i="25"/>
  <c r="AE164" i="25"/>
  <c r="AE165" i="25"/>
  <c r="AE167" i="25"/>
  <c r="AE168" i="25"/>
  <c r="AE169" i="25"/>
  <c r="AE170" i="25"/>
  <c r="AE171" i="25"/>
  <c r="AE173" i="25"/>
  <c r="AE174" i="25"/>
  <c r="AE175" i="25"/>
  <c r="AE176" i="25"/>
  <c r="AE177" i="25"/>
  <c r="AE16" i="25"/>
  <c r="D130" i="25"/>
  <c r="AE178" i="25" l="1"/>
  <c r="J172" i="25"/>
  <c r="G172" i="25"/>
  <c r="D176" i="25"/>
  <c r="D174" i="25"/>
  <c r="D175" i="25"/>
  <c r="D177" i="25"/>
  <c r="D173" i="25"/>
  <c r="AD172" i="25"/>
  <c r="AC172" i="25"/>
  <c r="AB172" i="25"/>
  <c r="AA172" i="25"/>
  <c r="Z172" i="25"/>
  <c r="Y172" i="25"/>
  <c r="X172" i="25"/>
  <c r="W172" i="25"/>
  <c r="V172" i="25"/>
  <c r="U172" i="25"/>
  <c r="T172" i="25"/>
  <c r="S172" i="25"/>
  <c r="R172" i="25"/>
  <c r="Q172" i="25"/>
  <c r="P172" i="25"/>
  <c r="O172" i="25"/>
  <c r="N172" i="25"/>
  <c r="M172" i="25"/>
  <c r="L172" i="25"/>
  <c r="K172" i="25"/>
  <c r="I172" i="25"/>
  <c r="H172" i="25"/>
  <c r="H166" i="25"/>
  <c r="D171" i="25"/>
  <c r="D168" i="25"/>
  <c r="D169" i="25"/>
  <c r="D170" i="25"/>
  <c r="D167" i="25"/>
  <c r="AD166" i="25"/>
  <c r="AC166" i="25"/>
  <c r="AB166" i="25"/>
  <c r="AA166" i="25"/>
  <c r="Z166" i="25"/>
  <c r="Y166" i="25"/>
  <c r="X166" i="25"/>
  <c r="W166" i="25"/>
  <c r="V166" i="25"/>
  <c r="U166" i="25"/>
  <c r="T166" i="25"/>
  <c r="S166" i="25"/>
  <c r="R166" i="25"/>
  <c r="Q166" i="25"/>
  <c r="P166" i="25"/>
  <c r="O166" i="25"/>
  <c r="N166" i="25"/>
  <c r="M166" i="25"/>
  <c r="L166" i="25"/>
  <c r="K166" i="25"/>
  <c r="J166" i="25"/>
  <c r="I166" i="25"/>
  <c r="G166" i="25"/>
  <c r="J160" i="25"/>
  <c r="D163" i="25"/>
  <c r="D158" i="25"/>
  <c r="D162" i="25"/>
  <c r="D164" i="25"/>
  <c r="D165" i="25"/>
  <c r="D161" i="25"/>
  <c r="J154" i="25"/>
  <c r="D156" i="25"/>
  <c r="D157" i="25"/>
  <c r="D159" i="25"/>
  <c r="D155" i="25"/>
  <c r="I148" i="25"/>
  <c r="D150" i="25"/>
  <c r="D151" i="25"/>
  <c r="D152" i="25"/>
  <c r="D153" i="25"/>
  <c r="D149" i="25"/>
  <c r="K141" i="25"/>
  <c r="D145" i="25"/>
  <c r="D143" i="25"/>
  <c r="D144" i="25"/>
  <c r="D146" i="25"/>
  <c r="D142" i="25"/>
  <c r="AD141" i="25"/>
  <c r="AC141" i="25"/>
  <c r="AB141" i="25"/>
  <c r="AA141" i="25"/>
  <c r="Z141" i="25"/>
  <c r="Y141" i="25"/>
  <c r="X141" i="25"/>
  <c r="W141" i="25"/>
  <c r="V141" i="25"/>
  <c r="U141" i="25"/>
  <c r="T141" i="25"/>
  <c r="S141" i="25"/>
  <c r="R141" i="25"/>
  <c r="Q141" i="25"/>
  <c r="P141" i="25"/>
  <c r="O141" i="25"/>
  <c r="N141" i="25"/>
  <c r="M141" i="25"/>
  <c r="L141" i="25"/>
  <c r="J141" i="25"/>
  <c r="I141" i="25"/>
  <c r="H141" i="25"/>
  <c r="G141" i="25"/>
  <c r="J135" i="25"/>
  <c r="D139" i="25"/>
  <c r="D114" i="25"/>
  <c r="D137" i="25"/>
  <c r="D138" i="25"/>
  <c r="D140" i="25"/>
  <c r="D136" i="25"/>
  <c r="AD135" i="25"/>
  <c r="AC135" i="25"/>
  <c r="AB135" i="25"/>
  <c r="AA135" i="25"/>
  <c r="Z135" i="25"/>
  <c r="Y135" i="25"/>
  <c r="X135" i="25"/>
  <c r="W135" i="25"/>
  <c r="V135" i="25"/>
  <c r="U135" i="25"/>
  <c r="T135" i="25"/>
  <c r="S135" i="25"/>
  <c r="R135" i="25"/>
  <c r="Q135" i="25"/>
  <c r="P135" i="25"/>
  <c r="O135" i="25"/>
  <c r="N135" i="25"/>
  <c r="M135" i="25"/>
  <c r="L135" i="25"/>
  <c r="K135" i="25"/>
  <c r="I135" i="25"/>
  <c r="H135" i="25"/>
  <c r="G135" i="25"/>
  <c r="I129" i="25"/>
  <c r="D134" i="25"/>
  <c r="D131" i="25"/>
  <c r="D132" i="25"/>
  <c r="D133" i="25"/>
  <c r="K117" i="25"/>
  <c r="D121" i="25"/>
  <c r="D119" i="25"/>
  <c r="AE135" i="25" l="1"/>
  <c r="AE166" i="25"/>
  <c r="AE141" i="25"/>
  <c r="AE172" i="25"/>
  <c r="H123" i="25"/>
  <c r="D125" i="25"/>
  <c r="D126" i="25"/>
  <c r="D127" i="25"/>
  <c r="D128" i="25"/>
  <c r="D124" i="25"/>
  <c r="G117" i="25"/>
  <c r="J117" i="25"/>
  <c r="H117" i="25"/>
  <c r="D120" i="25"/>
  <c r="D122" i="25"/>
  <c r="D118" i="25"/>
  <c r="K110" i="25"/>
  <c r="G110" i="25"/>
  <c r="D113" i="25"/>
  <c r="D112" i="25"/>
  <c r="D115" i="25"/>
  <c r="D111" i="25"/>
  <c r="D105" i="25"/>
  <c r="H110" i="25"/>
  <c r="AD110" i="25"/>
  <c r="AC110" i="25"/>
  <c r="AB110" i="25"/>
  <c r="AA110" i="25"/>
  <c r="Z110" i="25"/>
  <c r="Y110" i="25"/>
  <c r="X110" i="25"/>
  <c r="W110" i="25"/>
  <c r="V110" i="25"/>
  <c r="U110" i="25"/>
  <c r="T110" i="25"/>
  <c r="S110" i="25"/>
  <c r="R110" i="25"/>
  <c r="Q110" i="25"/>
  <c r="P110" i="25"/>
  <c r="O110" i="25"/>
  <c r="N110" i="25"/>
  <c r="M110" i="25"/>
  <c r="L110" i="25"/>
  <c r="J110" i="25"/>
  <c r="I110" i="25"/>
  <c r="I104" i="25"/>
  <c r="D108" i="25"/>
  <c r="D107" i="25"/>
  <c r="D106" i="25"/>
  <c r="D109" i="25"/>
  <c r="AD104" i="25"/>
  <c r="AC104" i="25"/>
  <c r="AB104" i="25"/>
  <c r="AA104" i="25"/>
  <c r="Z104" i="25"/>
  <c r="Y104" i="25"/>
  <c r="X104" i="25"/>
  <c r="W104" i="25"/>
  <c r="V104" i="25"/>
  <c r="U104" i="25"/>
  <c r="T104" i="25"/>
  <c r="S104" i="25"/>
  <c r="R104" i="25"/>
  <c r="Q104" i="25"/>
  <c r="P104" i="25"/>
  <c r="O104" i="25"/>
  <c r="N104" i="25"/>
  <c r="M104" i="25"/>
  <c r="L104" i="25"/>
  <c r="K104" i="25"/>
  <c r="J104" i="25"/>
  <c r="H104" i="25"/>
  <c r="G104" i="25"/>
  <c r="D101" i="25"/>
  <c r="H98" i="25"/>
  <c r="J98" i="25"/>
  <c r="I98" i="25"/>
  <c r="D102" i="25"/>
  <c r="D100" i="25"/>
  <c r="D95" i="25"/>
  <c r="I92" i="25"/>
  <c r="D97" i="25"/>
  <c r="D96" i="25"/>
  <c r="D94" i="25"/>
  <c r="J86" i="25"/>
  <c r="G86" i="25"/>
  <c r="D90" i="25"/>
  <c r="D89" i="25"/>
  <c r="D88" i="25"/>
  <c r="K79" i="25"/>
  <c r="G79" i="25"/>
  <c r="H79" i="25"/>
  <c r="D84" i="25"/>
  <c r="D83" i="25"/>
  <c r="D81" i="25"/>
  <c r="D82" i="25"/>
  <c r="D80" i="25"/>
  <c r="AD79" i="25"/>
  <c r="AC79" i="25"/>
  <c r="AB79" i="25"/>
  <c r="AA79" i="25"/>
  <c r="Z79" i="25"/>
  <c r="Y79" i="25"/>
  <c r="X79" i="25"/>
  <c r="W79" i="25"/>
  <c r="V79" i="25"/>
  <c r="U79" i="25"/>
  <c r="T79" i="25"/>
  <c r="S79" i="25"/>
  <c r="R79" i="25"/>
  <c r="Q79" i="25"/>
  <c r="P79" i="25"/>
  <c r="O79" i="25"/>
  <c r="N79" i="25"/>
  <c r="M79" i="25"/>
  <c r="L79" i="25"/>
  <c r="J79" i="25"/>
  <c r="I79" i="25"/>
  <c r="J73" i="25"/>
  <c r="H73" i="25"/>
  <c r="D78" i="25"/>
  <c r="D75" i="25"/>
  <c r="D76" i="25"/>
  <c r="D77" i="25"/>
  <c r="D74" i="25"/>
  <c r="AD73" i="25"/>
  <c r="AC73" i="25"/>
  <c r="AB73" i="25"/>
  <c r="AA73" i="25"/>
  <c r="Z73" i="25"/>
  <c r="Y73" i="25"/>
  <c r="X73" i="25"/>
  <c r="W73" i="25"/>
  <c r="V73" i="25"/>
  <c r="U73" i="25"/>
  <c r="T73" i="25"/>
  <c r="S73" i="25"/>
  <c r="R73" i="25"/>
  <c r="Q73" i="25"/>
  <c r="P73" i="25"/>
  <c r="O73" i="25"/>
  <c r="N73" i="25"/>
  <c r="M73" i="25"/>
  <c r="L73" i="25"/>
  <c r="K73" i="25"/>
  <c r="I73" i="25"/>
  <c r="G73" i="25"/>
  <c r="K67" i="25"/>
  <c r="H67" i="25"/>
  <c r="D72" i="25"/>
  <c r="D71" i="25"/>
  <c r="D69" i="25"/>
  <c r="D70" i="25"/>
  <c r="J61" i="25"/>
  <c r="G61" i="25"/>
  <c r="D66" i="25"/>
  <c r="D63" i="25"/>
  <c r="D64" i="25"/>
  <c r="D65" i="25"/>
  <c r="D62" i="25"/>
  <c r="D60" i="25"/>
  <c r="I55" i="25"/>
  <c r="G55" i="25"/>
  <c r="D59" i="25"/>
  <c r="D56" i="25"/>
  <c r="D57" i="25"/>
  <c r="D58" i="25"/>
  <c r="D39" i="25"/>
  <c r="D38" i="25"/>
  <c r="G42" i="25"/>
  <c r="Z42" i="25"/>
  <c r="I42" i="25"/>
  <c r="D47" i="25"/>
  <c r="D44" i="25"/>
  <c r="D45" i="25"/>
  <c r="D46" i="25"/>
  <c r="D43" i="25"/>
  <c r="AD42" i="25"/>
  <c r="AC42" i="25"/>
  <c r="AB42" i="25"/>
  <c r="AA42" i="25"/>
  <c r="Y42" i="25"/>
  <c r="X42" i="25"/>
  <c r="W42" i="25"/>
  <c r="V42" i="25"/>
  <c r="U42" i="25"/>
  <c r="T42" i="25"/>
  <c r="S42" i="25"/>
  <c r="R42" i="25"/>
  <c r="Q42" i="25"/>
  <c r="P42" i="25"/>
  <c r="O42" i="25"/>
  <c r="N42" i="25"/>
  <c r="M42" i="25"/>
  <c r="L42" i="25"/>
  <c r="K42" i="25"/>
  <c r="J42" i="25"/>
  <c r="H42" i="25"/>
  <c r="G36" i="25"/>
  <c r="D40" i="25"/>
  <c r="D41" i="25"/>
  <c r="D37" i="25"/>
  <c r="AD36" i="25"/>
  <c r="AC36" i="25"/>
  <c r="AB36" i="25"/>
  <c r="AA36" i="25"/>
  <c r="Z36" i="25"/>
  <c r="Y36" i="25"/>
  <c r="X36" i="25"/>
  <c r="W36" i="25"/>
  <c r="V36" i="25"/>
  <c r="U36" i="25"/>
  <c r="T36" i="25"/>
  <c r="S36" i="25"/>
  <c r="R36" i="25"/>
  <c r="Q36" i="25"/>
  <c r="P36" i="25"/>
  <c r="O36" i="25"/>
  <c r="N36" i="25"/>
  <c r="M36" i="25"/>
  <c r="L36" i="25"/>
  <c r="K36" i="25"/>
  <c r="J36" i="25"/>
  <c r="I36" i="25"/>
  <c r="H36" i="25"/>
  <c r="D33" i="25"/>
  <c r="D32" i="25"/>
  <c r="G30" i="25"/>
  <c r="D34" i="25"/>
  <c r="G24" i="25"/>
  <c r="D29" i="25"/>
  <c r="D28" i="25"/>
  <c r="D27" i="25"/>
  <c r="AD18" i="25"/>
  <c r="R18" i="25"/>
  <c r="S18" i="25"/>
  <c r="T18" i="25"/>
  <c r="U18" i="25"/>
  <c r="V18" i="25"/>
  <c r="W18" i="25"/>
  <c r="X18" i="25"/>
  <c r="Y18" i="25"/>
  <c r="Z18" i="25"/>
  <c r="AA18" i="25"/>
  <c r="AB18" i="25"/>
  <c r="AC18" i="25"/>
  <c r="D22" i="25"/>
  <c r="D23" i="25"/>
  <c r="AE229" i="25"/>
  <c r="AD226" i="25"/>
  <c r="R226" i="25"/>
  <c r="S226" i="25"/>
  <c r="T226" i="25"/>
  <c r="U226" i="25"/>
  <c r="V226" i="25"/>
  <c r="W226" i="25"/>
  <c r="X226" i="25"/>
  <c r="Y226" i="25"/>
  <c r="Z226" i="25"/>
  <c r="AA226" i="25"/>
  <c r="AB226" i="25"/>
  <c r="AC226" i="25"/>
  <c r="R24" i="25"/>
  <c r="S24" i="25"/>
  <c r="T24" i="25"/>
  <c r="U24" i="25"/>
  <c r="V24" i="25"/>
  <c r="W24" i="25"/>
  <c r="X24" i="25"/>
  <c r="Y24" i="25"/>
  <c r="Z24" i="25"/>
  <c r="AA24" i="25"/>
  <c r="AB24" i="25"/>
  <c r="AC24" i="25"/>
  <c r="AD24" i="25"/>
  <c r="R30" i="25"/>
  <c r="S30" i="25"/>
  <c r="T30" i="25"/>
  <c r="U30" i="25"/>
  <c r="V30" i="25"/>
  <c r="W30" i="25"/>
  <c r="X30" i="25"/>
  <c r="Y30" i="25"/>
  <c r="Z30" i="25"/>
  <c r="AA30" i="25"/>
  <c r="AB30" i="25"/>
  <c r="AC30" i="25"/>
  <c r="AD30" i="25"/>
  <c r="R55" i="25"/>
  <c r="S55" i="25"/>
  <c r="T55" i="25"/>
  <c r="U55" i="25"/>
  <c r="V55" i="25"/>
  <c r="W55" i="25"/>
  <c r="X55" i="25"/>
  <c r="Y55" i="25"/>
  <c r="Z55" i="25"/>
  <c r="AA55" i="25"/>
  <c r="AB55" i="25"/>
  <c r="AC55" i="25"/>
  <c r="AD55" i="25"/>
  <c r="R61" i="25"/>
  <c r="S61" i="25"/>
  <c r="T61" i="25"/>
  <c r="U61" i="25"/>
  <c r="V61" i="25"/>
  <c r="W61" i="25"/>
  <c r="X61" i="25"/>
  <c r="Y61" i="25"/>
  <c r="Z61" i="25"/>
  <c r="AA61" i="25"/>
  <c r="AB61" i="25"/>
  <c r="AC61" i="25"/>
  <c r="AD61" i="25"/>
  <c r="R67" i="25"/>
  <c r="S67" i="25"/>
  <c r="T67" i="25"/>
  <c r="U67" i="25"/>
  <c r="V67" i="25"/>
  <c r="W67" i="25"/>
  <c r="X67" i="25"/>
  <c r="Y67" i="25"/>
  <c r="Z67" i="25"/>
  <c r="AA67" i="25"/>
  <c r="AB67" i="25"/>
  <c r="AC67" i="25"/>
  <c r="AD67" i="25"/>
  <c r="R86" i="25"/>
  <c r="S86" i="25"/>
  <c r="T86" i="25"/>
  <c r="U86" i="25"/>
  <c r="V86" i="25"/>
  <c r="W86" i="25"/>
  <c r="X86" i="25"/>
  <c r="Y86" i="25"/>
  <c r="Z86" i="25"/>
  <c r="AA86" i="25"/>
  <c r="AB86" i="25"/>
  <c r="AC86" i="25"/>
  <c r="AD86" i="25"/>
  <c r="R92" i="25"/>
  <c r="S92" i="25"/>
  <c r="T92" i="25"/>
  <c r="U92" i="25"/>
  <c r="V92" i="25"/>
  <c r="W92" i="25"/>
  <c r="X92" i="25"/>
  <c r="Y92" i="25"/>
  <c r="Z92" i="25"/>
  <c r="AA92" i="25"/>
  <c r="AB92" i="25"/>
  <c r="AC92" i="25"/>
  <c r="AD92" i="25"/>
  <c r="R98" i="25"/>
  <c r="S98" i="25"/>
  <c r="T98" i="25"/>
  <c r="U98" i="25"/>
  <c r="V98" i="25"/>
  <c r="W98" i="25"/>
  <c r="X98" i="25"/>
  <c r="Y98" i="25"/>
  <c r="Z98" i="25"/>
  <c r="AA98" i="25"/>
  <c r="AB98" i="25"/>
  <c r="AC98" i="25"/>
  <c r="AD98" i="25"/>
  <c r="R117" i="25"/>
  <c r="S117" i="25"/>
  <c r="T117" i="25"/>
  <c r="U117" i="25"/>
  <c r="V117" i="25"/>
  <c r="W117" i="25"/>
  <c r="X117" i="25"/>
  <c r="Y117" i="25"/>
  <c r="Z117" i="25"/>
  <c r="AA117" i="25"/>
  <c r="AB117" i="25"/>
  <c r="AC117" i="25"/>
  <c r="AD117" i="25"/>
  <c r="R123" i="25"/>
  <c r="S123" i="25"/>
  <c r="T123" i="25"/>
  <c r="U123" i="25"/>
  <c r="V123" i="25"/>
  <c r="W123" i="25"/>
  <c r="X123" i="25"/>
  <c r="Y123" i="25"/>
  <c r="Z123" i="25"/>
  <c r="AA123" i="25"/>
  <c r="AB123" i="25"/>
  <c r="AC123" i="25"/>
  <c r="AD123" i="25"/>
  <c r="R129" i="25"/>
  <c r="S129" i="25"/>
  <c r="T129" i="25"/>
  <c r="U129" i="25"/>
  <c r="V129" i="25"/>
  <c r="W129" i="25"/>
  <c r="X129" i="25"/>
  <c r="Y129" i="25"/>
  <c r="Z129" i="25"/>
  <c r="AA129" i="25"/>
  <c r="AB129" i="25"/>
  <c r="AC129" i="25"/>
  <c r="AD129" i="25"/>
  <c r="R148" i="25"/>
  <c r="S148" i="25"/>
  <c r="T148" i="25"/>
  <c r="U148" i="25"/>
  <c r="V148" i="25"/>
  <c r="W148" i="25"/>
  <c r="X148" i="25"/>
  <c r="Y148" i="25"/>
  <c r="Z148" i="25"/>
  <c r="AA148" i="25"/>
  <c r="AB148" i="25"/>
  <c r="AC148" i="25"/>
  <c r="AD148" i="25"/>
  <c r="R154" i="25"/>
  <c r="S154" i="25"/>
  <c r="T154" i="25"/>
  <c r="U154" i="25"/>
  <c r="V154" i="25"/>
  <c r="W154" i="25"/>
  <c r="X154" i="25"/>
  <c r="Y154" i="25"/>
  <c r="Z154" i="25"/>
  <c r="AA154" i="25"/>
  <c r="AB154" i="25"/>
  <c r="AC154" i="25"/>
  <c r="AD154" i="25"/>
  <c r="R160" i="25"/>
  <c r="S160" i="25"/>
  <c r="T160" i="25"/>
  <c r="U160" i="25"/>
  <c r="V160" i="25"/>
  <c r="W160" i="25"/>
  <c r="X160" i="25"/>
  <c r="Y160" i="25"/>
  <c r="Z160" i="25"/>
  <c r="AA160" i="25"/>
  <c r="AB160" i="25"/>
  <c r="AC160" i="25"/>
  <c r="AD160" i="25"/>
  <c r="O150" i="53"/>
  <c r="P150" i="53"/>
  <c r="Q150" i="53"/>
  <c r="R150" i="53"/>
  <c r="S150" i="53"/>
  <c r="T150" i="53"/>
  <c r="U12" i="53"/>
  <c r="U13" i="53"/>
  <c r="U14" i="53"/>
  <c r="U15" i="53"/>
  <c r="U16" i="53"/>
  <c r="U17" i="53"/>
  <c r="U18" i="53"/>
  <c r="U19" i="53"/>
  <c r="U20" i="53"/>
  <c r="U21" i="53"/>
  <c r="U22" i="53"/>
  <c r="U23" i="53"/>
  <c r="U24" i="53"/>
  <c r="U25" i="53"/>
  <c r="U26" i="53"/>
  <c r="U27" i="53"/>
  <c r="U28" i="53"/>
  <c r="U29" i="53"/>
  <c r="U30" i="53"/>
  <c r="U31" i="53"/>
  <c r="U32" i="53"/>
  <c r="U33" i="53"/>
  <c r="U34" i="53"/>
  <c r="U35" i="53"/>
  <c r="U36" i="53"/>
  <c r="U37" i="53"/>
  <c r="U38" i="53"/>
  <c r="U39" i="53"/>
  <c r="U40" i="53"/>
  <c r="U41" i="53"/>
  <c r="U42" i="53"/>
  <c r="U43" i="53"/>
  <c r="U44" i="53"/>
  <c r="U45" i="53"/>
  <c r="U46" i="53"/>
  <c r="U47" i="53"/>
  <c r="U48" i="53"/>
  <c r="U49" i="53"/>
  <c r="U50" i="53"/>
  <c r="U51" i="53"/>
  <c r="U52" i="53"/>
  <c r="U53" i="53"/>
  <c r="U54" i="53"/>
  <c r="U55" i="53"/>
  <c r="U56" i="53"/>
  <c r="U57" i="53"/>
  <c r="U58" i="53"/>
  <c r="U59" i="53"/>
  <c r="U60" i="53"/>
  <c r="U63" i="53"/>
  <c r="U64" i="53"/>
  <c r="U65" i="53"/>
  <c r="U66" i="53"/>
  <c r="U67" i="53"/>
  <c r="U68" i="53"/>
  <c r="U69" i="53"/>
  <c r="U70" i="53"/>
  <c r="U71" i="53"/>
  <c r="U72" i="53"/>
  <c r="U73" i="53"/>
  <c r="U74" i="53"/>
  <c r="U75" i="53"/>
  <c r="U76" i="53"/>
  <c r="U77" i="53"/>
  <c r="U78" i="53"/>
  <c r="U79" i="53"/>
  <c r="U80" i="53"/>
  <c r="U81" i="53"/>
  <c r="U82" i="53"/>
  <c r="U83" i="53"/>
  <c r="U84" i="53"/>
  <c r="U85" i="53"/>
  <c r="U86" i="53"/>
  <c r="U87" i="53"/>
  <c r="U88" i="53"/>
  <c r="U89" i="53"/>
  <c r="U90" i="53"/>
  <c r="U91" i="53"/>
  <c r="U92" i="53"/>
  <c r="U93" i="53"/>
  <c r="U94" i="53"/>
  <c r="U95" i="53"/>
  <c r="U96" i="53"/>
  <c r="U97" i="53"/>
  <c r="U98" i="53"/>
  <c r="U105" i="53"/>
  <c r="U106" i="53"/>
  <c r="U107" i="53"/>
  <c r="U108" i="53"/>
  <c r="U109" i="53"/>
  <c r="U110" i="53"/>
  <c r="U111" i="53"/>
  <c r="U112" i="53"/>
  <c r="U113" i="53"/>
  <c r="U114" i="53"/>
  <c r="U115" i="53"/>
  <c r="U116" i="53"/>
  <c r="U117" i="53"/>
  <c r="U118" i="53"/>
  <c r="U119" i="53"/>
  <c r="U120" i="53"/>
  <c r="U121" i="53"/>
  <c r="U122" i="53"/>
  <c r="U123" i="53"/>
  <c r="U124" i="53"/>
  <c r="U125" i="53"/>
  <c r="U126" i="53"/>
  <c r="U127" i="53"/>
  <c r="U128" i="53"/>
  <c r="U129" i="53"/>
  <c r="U130" i="53"/>
  <c r="U131" i="53"/>
  <c r="U132" i="53"/>
  <c r="U133" i="53"/>
  <c r="U134" i="53"/>
  <c r="U135" i="53"/>
  <c r="U136" i="53"/>
  <c r="U137" i="53"/>
  <c r="U138" i="53"/>
  <c r="U139" i="53"/>
  <c r="U140" i="53"/>
  <c r="U141" i="53"/>
  <c r="U142" i="53"/>
  <c r="U143" i="53"/>
  <c r="U144" i="53"/>
  <c r="U145" i="53"/>
  <c r="U146" i="53"/>
  <c r="U147" i="53"/>
  <c r="U148" i="53"/>
  <c r="L127" i="26"/>
  <c r="M127" i="26"/>
  <c r="N127" i="26"/>
  <c r="O127" i="26"/>
  <c r="R17" i="25" l="1"/>
  <c r="R116" i="25"/>
  <c r="R147" i="25"/>
  <c r="AE18" i="25"/>
  <c r="AE104" i="25"/>
  <c r="AE36" i="25"/>
  <c r="AE73" i="25"/>
  <c r="AE79" i="25"/>
  <c r="AE42" i="25"/>
  <c r="AE110" i="25"/>
  <c r="Y54" i="25"/>
  <c r="X54" i="25"/>
  <c r="AC54" i="25"/>
  <c r="U54" i="25"/>
  <c r="W54" i="25"/>
  <c r="AD54" i="25"/>
  <c r="V54" i="25"/>
  <c r="Z54" i="25"/>
  <c r="R54" i="25"/>
  <c r="AB54" i="25"/>
  <c r="T54" i="25"/>
  <c r="AA54" i="25"/>
  <c r="S54" i="25"/>
  <c r="R85" i="25"/>
  <c r="Z85" i="25"/>
  <c r="AA116" i="25"/>
  <c r="X147" i="25"/>
  <c r="Y85" i="25"/>
  <c r="S85" i="25"/>
  <c r="AA85" i="25"/>
  <c r="AB116" i="25"/>
  <c r="T116" i="25"/>
  <c r="T85" i="25"/>
  <c r="AB85" i="25"/>
  <c r="AB147" i="25"/>
  <c r="U85" i="25"/>
  <c r="AC85" i="25"/>
  <c r="T147" i="25"/>
  <c r="V85" i="25"/>
  <c r="AD85" i="25"/>
  <c r="W85" i="25"/>
  <c r="X85" i="25"/>
  <c r="U17" i="25"/>
  <c r="AC116" i="25"/>
  <c r="U116" i="25"/>
  <c r="AA147" i="25"/>
  <c r="S147" i="25"/>
  <c r="Y17" i="25"/>
  <c r="S116" i="25"/>
  <c r="Y116" i="25"/>
  <c r="W147" i="25"/>
  <c r="X116" i="25"/>
  <c r="AD147" i="25"/>
  <c r="AC147" i="25"/>
  <c r="U147" i="25"/>
  <c r="AD116" i="25"/>
  <c r="V116" i="25"/>
  <c r="Z17" i="25"/>
  <c r="Z147" i="25"/>
  <c r="W17" i="25"/>
  <c r="Y147" i="25"/>
  <c r="Z116" i="25"/>
  <c r="V17" i="25"/>
  <c r="AC17" i="25"/>
  <c r="AD17" i="25"/>
  <c r="V147" i="25"/>
  <c r="W116" i="25"/>
  <c r="AA17" i="25"/>
  <c r="X17" i="25"/>
  <c r="AB17" i="25"/>
  <c r="T17" i="25"/>
  <c r="S17" i="25"/>
  <c r="K256" i="76"/>
  <c r="K246" i="76"/>
  <c r="K247" i="76"/>
  <c r="K248" i="76"/>
  <c r="K249" i="76"/>
  <c r="K250" i="76"/>
  <c r="K251" i="76"/>
  <c r="K252" i="76"/>
  <c r="K253" i="76"/>
  <c r="K17" i="76"/>
  <c r="K18" i="76"/>
  <c r="K19" i="76"/>
  <c r="K20" i="76"/>
  <c r="K21" i="76"/>
  <c r="K22" i="76"/>
  <c r="K23" i="76"/>
  <c r="K24" i="76"/>
  <c r="K25" i="76"/>
  <c r="K26" i="76"/>
  <c r="K27" i="76"/>
  <c r="K28" i="76"/>
  <c r="K29" i="76"/>
  <c r="K30" i="76"/>
  <c r="K31" i="76"/>
  <c r="K32" i="76"/>
  <c r="K33" i="76"/>
  <c r="K34" i="76"/>
  <c r="K35" i="76"/>
  <c r="K36" i="76"/>
  <c r="K37" i="76"/>
  <c r="K38" i="76"/>
  <c r="K39" i="76"/>
  <c r="K40" i="76"/>
  <c r="K41" i="76"/>
  <c r="K42" i="76"/>
  <c r="K43" i="76"/>
  <c r="K44" i="76"/>
  <c r="K45" i="76"/>
  <c r="K46" i="76"/>
  <c r="K47" i="76"/>
  <c r="K48" i="76"/>
  <c r="K49" i="76"/>
  <c r="K50" i="76"/>
  <c r="K51" i="76"/>
  <c r="K52" i="76"/>
  <c r="K53" i="76"/>
  <c r="K54" i="76"/>
  <c r="K55" i="76"/>
  <c r="K56" i="76"/>
  <c r="K57" i="76"/>
  <c r="K58" i="76"/>
  <c r="K59" i="76"/>
  <c r="K60" i="76"/>
  <c r="K61" i="76"/>
  <c r="K62" i="76"/>
  <c r="K63" i="76"/>
  <c r="K64" i="76"/>
  <c r="K65" i="76"/>
  <c r="K66" i="76"/>
  <c r="K67" i="76"/>
  <c r="K68" i="76"/>
  <c r="K69" i="76"/>
  <c r="K70" i="76"/>
  <c r="K71" i="76"/>
  <c r="K72" i="76"/>
  <c r="K73" i="76"/>
  <c r="K74" i="76"/>
  <c r="K75" i="76"/>
  <c r="K76" i="76"/>
  <c r="K77" i="76"/>
  <c r="K78" i="76"/>
  <c r="K79" i="76"/>
  <c r="K80" i="76"/>
  <c r="K81" i="76"/>
  <c r="K82" i="76"/>
  <c r="K83" i="76"/>
  <c r="K84" i="76"/>
  <c r="K85" i="76"/>
  <c r="K86" i="76"/>
  <c r="K87" i="76"/>
  <c r="K88" i="76"/>
  <c r="K89" i="76"/>
  <c r="K90" i="76"/>
  <c r="K91" i="76"/>
  <c r="K92" i="76"/>
  <c r="K93" i="76"/>
  <c r="K94" i="76"/>
  <c r="K95" i="76"/>
  <c r="K96" i="76"/>
  <c r="K97" i="76"/>
  <c r="K98" i="76"/>
  <c r="K99" i="76"/>
  <c r="K100" i="76"/>
  <c r="K101" i="76"/>
  <c r="K102" i="76"/>
  <c r="K103" i="76"/>
  <c r="K104" i="76"/>
  <c r="K105" i="76"/>
  <c r="K106" i="76"/>
  <c r="K107" i="76"/>
  <c r="K108" i="76"/>
  <c r="K109" i="76"/>
  <c r="K110" i="76"/>
  <c r="K111" i="76"/>
  <c r="K112" i="76"/>
  <c r="K113" i="76"/>
  <c r="K114" i="76"/>
  <c r="K115" i="76"/>
  <c r="K116" i="76"/>
  <c r="K117" i="76"/>
  <c r="K118" i="76"/>
  <c r="K119" i="76"/>
  <c r="K120" i="76"/>
  <c r="K121" i="76"/>
  <c r="K122" i="76"/>
  <c r="K123" i="76"/>
  <c r="K124" i="76"/>
  <c r="K125" i="76"/>
  <c r="K126" i="76"/>
  <c r="K127" i="76"/>
  <c r="K128" i="76"/>
  <c r="K129" i="76"/>
  <c r="K130" i="76"/>
  <c r="K131" i="76"/>
  <c r="K132" i="76"/>
  <c r="K133" i="76"/>
  <c r="K134" i="76"/>
  <c r="K135" i="76"/>
  <c r="K136" i="76"/>
  <c r="K137" i="76"/>
  <c r="K138" i="76"/>
  <c r="K139" i="76"/>
  <c r="K140" i="76"/>
  <c r="K141" i="76"/>
  <c r="K142" i="76"/>
  <c r="K143" i="76"/>
  <c r="K144" i="76"/>
  <c r="K145" i="76"/>
  <c r="K146" i="76"/>
  <c r="K147" i="76"/>
  <c r="K148" i="76"/>
  <c r="K149" i="76"/>
  <c r="K150" i="76"/>
  <c r="K151" i="76"/>
  <c r="K152" i="76"/>
  <c r="K153" i="76"/>
  <c r="K154" i="76"/>
  <c r="K155" i="76"/>
  <c r="K156" i="76"/>
  <c r="K157" i="76"/>
  <c r="K158" i="76"/>
  <c r="K159" i="76"/>
  <c r="K160" i="76"/>
  <c r="K161" i="76"/>
  <c r="K162" i="76"/>
  <c r="K163" i="76"/>
  <c r="K164" i="76"/>
  <c r="K165" i="76"/>
  <c r="K166" i="76"/>
  <c r="K167" i="76"/>
  <c r="K168" i="76"/>
  <c r="K169" i="76"/>
  <c r="K170" i="76"/>
  <c r="K171" i="76"/>
  <c r="K172" i="76"/>
  <c r="K173" i="76"/>
  <c r="K174" i="76"/>
  <c r="K175" i="76"/>
  <c r="K176" i="76"/>
  <c r="K177" i="76"/>
  <c r="K178" i="76"/>
  <c r="K179" i="76"/>
  <c r="K180" i="76"/>
  <c r="K181" i="76"/>
  <c r="K182" i="76"/>
  <c r="K183" i="76"/>
  <c r="K184" i="76"/>
  <c r="K185" i="76"/>
  <c r="K186" i="76"/>
  <c r="K187" i="76"/>
  <c r="K188" i="76"/>
  <c r="K189" i="76"/>
  <c r="K190" i="76"/>
  <c r="K191" i="76"/>
  <c r="K192" i="76"/>
  <c r="K193" i="76"/>
  <c r="K194" i="76"/>
  <c r="K195" i="76"/>
  <c r="K196" i="76"/>
  <c r="K197" i="76"/>
  <c r="K198" i="76"/>
  <c r="K199" i="76"/>
  <c r="K200" i="76"/>
  <c r="K201" i="76"/>
  <c r="K202" i="76"/>
  <c r="K203" i="76"/>
  <c r="K204" i="76"/>
  <c r="K205" i="76"/>
  <c r="K206" i="76"/>
  <c r="K207" i="76"/>
  <c r="K208" i="76"/>
  <c r="K263" i="76"/>
  <c r="E14" i="23"/>
  <c r="F14" i="23" s="1"/>
  <c r="E15" i="23"/>
  <c r="F15" i="23" s="1"/>
  <c r="E16" i="23"/>
  <c r="F16" i="23" s="1"/>
  <c r="E17" i="23"/>
  <c r="F17" i="23"/>
  <c r="E18" i="23"/>
  <c r="F18" i="23" s="1"/>
  <c r="E19" i="23"/>
  <c r="F19" i="23" s="1"/>
  <c r="E20" i="23"/>
  <c r="F20" i="23" s="1"/>
  <c r="E21" i="23"/>
  <c r="F21" i="23" s="1"/>
  <c r="E22" i="23"/>
  <c r="F22" i="23" s="1"/>
  <c r="E23" i="23"/>
  <c r="F23" i="23" s="1"/>
  <c r="E24" i="23"/>
  <c r="F24" i="23" s="1"/>
  <c r="E25" i="23"/>
  <c r="F25" i="23" s="1"/>
  <c r="E26" i="23"/>
  <c r="F26" i="23" s="1"/>
  <c r="E27" i="23"/>
  <c r="F27" i="23" s="1"/>
  <c r="E28" i="23"/>
  <c r="F28" i="23" s="1"/>
  <c r="E29" i="23"/>
  <c r="F29" i="23" s="1"/>
  <c r="E30" i="23"/>
  <c r="F30" i="23" s="1"/>
  <c r="E31" i="23"/>
  <c r="F31" i="23" s="1"/>
  <c r="E32" i="23"/>
  <c r="F32" i="23" s="1"/>
  <c r="E33" i="23"/>
  <c r="F33" i="23" s="1"/>
  <c r="E34" i="23"/>
  <c r="F34" i="23" s="1"/>
  <c r="E35" i="23"/>
  <c r="F35" i="23" s="1"/>
  <c r="E36" i="23"/>
  <c r="F36" i="23" s="1"/>
  <c r="E37" i="23"/>
  <c r="F37" i="23" s="1"/>
  <c r="E38" i="23"/>
  <c r="F38" i="23" s="1"/>
  <c r="E39" i="23"/>
  <c r="F39" i="23" s="1"/>
  <c r="E40" i="23"/>
  <c r="F40" i="23" s="1"/>
  <c r="E41" i="23"/>
  <c r="F41" i="23" s="1"/>
  <c r="E42" i="23"/>
  <c r="F42" i="23" s="1"/>
  <c r="E43" i="23"/>
  <c r="F43" i="23" s="1"/>
  <c r="E44" i="23"/>
  <c r="F44" i="23" s="1"/>
  <c r="E45" i="23"/>
  <c r="F45" i="23"/>
  <c r="E46" i="23"/>
  <c r="F46" i="23" s="1"/>
  <c r="H180" i="64"/>
  <c r="H181" i="64"/>
  <c r="H182" i="64"/>
  <c r="H183" i="64"/>
  <c r="H184" i="64"/>
  <c r="H185" i="64"/>
  <c r="H186" i="64"/>
  <c r="H187" i="64"/>
  <c r="H188" i="64"/>
  <c r="H189" i="64"/>
  <c r="H190" i="64"/>
  <c r="H191" i="64"/>
  <c r="H192" i="64"/>
  <c r="H193" i="64"/>
  <c r="H194" i="64"/>
  <c r="H195" i="64"/>
  <c r="H196" i="64"/>
  <c r="H197" i="64"/>
  <c r="H198" i="64"/>
  <c r="H199" i="64"/>
  <c r="H200" i="64"/>
  <c r="H201" i="64"/>
  <c r="H202" i="64"/>
  <c r="H203" i="64"/>
  <c r="H204" i="64"/>
  <c r="H205" i="64"/>
  <c r="H206" i="64"/>
  <c r="H207" i="64"/>
  <c r="H208" i="64"/>
  <c r="H209" i="64"/>
  <c r="H210" i="64"/>
  <c r="H211" i="64"/>
  <c r="H212" i="64"/>
  <c r="H213" i="64"/>
  <c r="H214" i="64"/>
  <c r="H215" i="64"/>
  <c r="H216" i="64"/>
  <c r="H217" i="64"/>
  <c r="H218" i="64"/>
  <c r="H219" i="64"/>
  <c r="I177" i="64"/>
  <c r="H123" i="64"/>
  <c r="H124" i="64"/>
  <c r="H125" i="64"/>
  <c r="H126" i="64"/>
  <c r="H127" i="64"/>
  <c r="H128" i="64"/>
  <c r="H129" i="64"/>
  <c r="H130" i="64"/>
  <c r="H131" i="64"/>
  <c r="H132" i="64"/>
  <c r="H133" i="64"/>
  <c r="H134" i="64"/>
  <c r="H135" i="64"/>
  <c r="H136" i="64"/>
  <c r="H137" i="64"/>
  <c r="H138" i="64"/>
  <c r="H139" i="64"/>
  <c r="H140" i="64"/>
  <c r="H141" i="64"/>
  <c r="H142" i="64"/>
  <c r="H143" i="64"/>
  <c r="H144" i="64"/>
  <c r="H145" i="64"/>
  <c r="H146" i="64"/>
  <c r="H147" i="64"/>
  <c r="H148" i="64"/>
  <c r="H149" i="64"/>
  <c r="H150" i="64"/>
  <c r="H152" i="64"/>
  <c r="H153" i="64"/>
  <c r="H154" i="64"/>
  <c r="H155" i="64"/>
  <c r="H156" i="64"/>
  <c r="H157" i="64"/>
  <c r="H158" i="64"/>
  <c r="H159" i="64"/>
  <c r="H160" i="64"/>
  <c r="H161" i="64"/>
  <c r="H162" i="64"/>
  <c r="H163" i="64"/>
  <c r="H164" i="64"/>
  <c r="H46" i="64"/>
  <c r="H47" i="64"/>
  <c r="H48" i="64"/>
  <c r="H49" i="64"/>
  <c r="H50" i="64"/>
  <c r="H51" i="64"/>
  <c r="H52" i="64"/>
  <c r="H53" i="64"/>
  <c r="H54" i="64"/>
  <c r="H55" i="64"/>
  <c r="H56" i="64"/>
  <c r="H57" i="64"/>
  <c r="H58" i="64"/>
  <c r="H59" i="64"/>
  <c r="H60" i="64"/>
  <c r="H61" i="64"/>
  <c r="H62" i="64"/>
  <c r="H63" i="64"/>
  <c r="H64" i="64"/>
  <c r="H65" i="64"/>
  <c r="H66" i="64"/>
  <c r="H67" i="64"/>
  <c r="H68" i="64"/>
  <c r="H69" i="64"/>
  <c r="H70" i="64"/>
  <c r="H71" i="64"/>
  <c r="H72" i="64"/>
  <c r="H73" i="64"/>
  <c r="H74" i="64"/>
  <c r="H75" i="64"/>
  <c r="H76" i="64"/>
  <c r="H77" i="64"/>
  <c r="H78" i="64"/>
  <c r="H79" i="64"/>
  <c r="H80" i="64"/>
  <c r="H81" i="64"/>
  <c r="H82" i="64"/>
  <c r="H83" i="64"/>
  <c r="H84" i="64"/>
  <c r="H85" i="64"/>
  <c r="H86" i="64"/>
  <c r="H87" i="64"/>
  <c r="H88" i="64"/>
  <c r="H89" i="64"/>
  <c r="H90" i="64"/>
  <c r="H91" i="64"/>
  <c r="H92" i="64"/>
  <c r="H93" i="64"/>
  <c r="H94" i="64"/>
  <c r="H95" i="64"/>
  <c r="H96" i="64"/>
  <c r="H97" i="64"/>
  <c r="H98" i="64"/>
  <c r="H99" i="64"/>
  <c r="H100" i="64"/>
  <c r="H101" i="64"/>
  <c r="H102" i="64"/>
  <c r="H103" i="64"/>
  <c r="H104" i="64"/>
  <c r="H105" i="64"/>
  <c r="H20" i="64"/>
  <c r="H21" i="64"/>
  <c r="H22" i="64"/>
  <c r="H23" i="64"/>
  <c r="H24" i="64"/>
  <c r="H25" i="64"/>
  <c r="H26" i="64"/>
  <c r="H27" i="64"/>
  <c r="H28" i="64"/>
  <c r="H29" i="64"/>
  <c r="H30" i="64"/>
  <c r="H31" i="64"/>
  <c r="H32" i="64"/>
  <c r="H35" i="64"/>
  <c r="E23" i="9" l="1"/>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87" i="9"/>
  <c r="E88" i="9"/>
  <c r="E89" i="9"/>
  <c r="E90" i="9"/>
  <c r="E91" i="9"/>
  <c r="E92" i="9"/>
  <c r="E93" i="9"/>
  <c r="E94" i="9"/>
  <c r="E95" i="9"/>
  <c r="E96" i="9"/>
  <c r="E97" i="9"/>
  <c r="E98" i="9"/>
  <c r="E99" i="9"/>
  <c r="E100" i="9"/>
  <c r="E101" i="9"/>
  <c r="E102" i="9"/>
  <c r="E103" i="9"/>
  <c r="E104" i="9"/>
  <c r="E105" i="9"/>
  <c r="E106" i="9"/>
  <c r="E107" i="9"/>
  <c r="E108" i="9"/>
  <c r="E109" i="9"/>
  <c r="E110" i="9"/>
  <c r="E111" i="9"/>
  <c r="E112" i="9"/>
  <c r="E113" i="9"/>
  <c r="E114" i="9"/>
  <c r="E115" i="9"/>
  <c r="E116" i="9"/>
  <c r="E117" i="9"/>
  <c r="E118" i="9"/>
  <c r="E119" i="9"/>
  <c r="E120" i="9"/>
  <c r="E121" i="9"/>
  <c r="E122" i="9"/>
  <c r="E123" i="9"/>
  <c r="E124" i="9"/>
  <c r="E125" i="9"/>
  <c r="E126" i="9"/>
  <c r="E127" i="9"/>
  <c r="E128" i="9"/>
  <c r="E129" i="9"/>
  <c r="E130" i="9"/>
  <c r="E131" i="9"/>
  <c r="E132" i="9"/>
  <c r="E133" i="9"/>
  <c r="E134" i="9"/>
  <c r="E135" i="9"/>
  <c r="E136" i="9"/>
  <c r="E137" i="9"/>
  <c r="E138" i="9"/>
  <c r="E139" i="9"/>
  <c r="E140" i="9"/>
  <c r="E141" i="9"/>
  <c r="E142" i="9"/>
  <c r="E143" i="9"/>
  <c r="E144" i="9"/>
  <c r="E145" i="9"/>
  <c r="E146" i="9"/>
  <c r="E147" i="9"/>
  <c r="E148" i="9"/>
  <c r="E149" i="9"/>
  <c r="E150" i="9"/>
  <c r="E151" i="9"/>
  <c r="E152" i="9"/>
  <c r="E153" i="9"/>
  <c r="E154" i="9"/>
  <c r="E155" i="9"/>
  <c r="E156" i="9"/>
  <c r="E157" i="9"/>
  <c r="E158" i="9"/>
  <c r="E159" i="9"/>
  <c r="E160" i="9"/>
  <c r="E161" i="9"/>
  <c r="E162" i="9"/>
  <c r="E163" i="9"/>
  <c r="E164" i="9"/>
  <c r="E165" i="9"/>
  <c r="E166" i="9"/>
  <c r="E167" i="9"/>
  <c r="E168" i="9"/>
  <c r="E169" i="9"/>
  <c r="E170" i="9"/>
  <c r="E171" i="9"/>
  <c r="E172" i="9"/>
  <c r="E173" i="9"/>
  <c r="E174" i="9"/>
  <c r="E175" i="9"/>
  <c r="E176" i="9"/>
  <c r="E177" i="9"/>
  <c r="E178" i="9"/>
  <c r="E179" i="9"/>
  <c r="E180" i="9"/>
  <c r="E181" i="9"/>
  <c r="E182" i="9"/>
  <c r="E183" i="9"/>
  <c r="D176" i="53"/>
  <c r="D177" i="53"/>
  <c r="D178" i="53"/>
  <c r="D179" i="53"/>
  <c r="D180" i="53"/>
  <c r="D181" i="53"/>
  <c r="D182" i="53"/>
  <c r="D183" i="53"/>
  <c r="D184" i="53"/>
  <c r="D185" i="53"/>
  <c r="H115" i="53"/>
  <c r="N115" i="53" s="1"/>
  <c r="H116" i="53"/>
  <c r="N116" i="53" s="1"/>
  <c r="H117" i="53"/>
  <c r="N117" i="53" s="1"/>
  <c r="H118" i="53"/>
  <c r="N118" i="53" s="1"/>
  <c r="H119" i="53"/>
  <c r="N119" i="53" s="1"/>
  <c r="H120" i="53"/>
  <c r="N120" i="53" s="1"/>
  <c r="H121" i="53"/>
  <c r="N121" i="53" s="1"/>
  <c r="H122" i="53"/>
  <c r="N122" i="53" s="1"/>
  <c r="H123" i="53"/>
  <c r="N123" i="53" s="1"/>
  <c r="H124" i="53"/>
  <c r="N124" i="53" s="1"/>
  <c r="H125" i="53"/>
  <c r="N125" i="53" s="1"/>
  <c r="H126" i="53"/>
  <c r="N126" i="53" s="1"/>
  <c r="H127" i="53"/>
  <c r="N127" i="53" s="1"/>
  <c r="H128" i="53"/>
  <c r="N128" i="53" s="1"/>
  <c r="H129" i="53"/>
  <c r="N129" i="53" s="1"/>
  <c r="H130" i="53"/>
  <c r="N130" i="53" s="1"/>
  <c r="H131" i="53"/>
  <c r="N131" i="53" s="1"/>
  <c r="H132" i="53"/>
  <c r="N132" i="53" s="1"/>
  <c r="H133" i="53"/>
  <c r="N133" i="53" s="1"/>
  <c r="H134" i="53"/>
  <c r="N134" i="53" s="1"/>
  <c r="H135" i="53"/>
  <c r="N135" i="53" s="1"/>
  <c r="H136" i="53"/>
  <c r="N136" i="53" s="1"/>
  <c r="H137" i="53"/>
  <c r="N137" i="53" s="1"/>
  <c r="H138" i="53"/>
  <c r="N138" i="53" s="1"/>
  <c r="H66" i="53"/>
  <c r="N66" i="53" s="1"/>
  <c r="H67" i="53"/>
  <c r="N67" i="53" s="1"/>
  <c r="H68" i="53"/>
  <c r="N68" i="53" s="1"/>
  <c r="H69" i="53"/>
  <c r="N69" i="53" s="1"/>
  <c r="H70" i="53"/>
  <c r="N70" i="53" s="1"/>
  <c r="H71" i="53"/>
  <c r="N71" i="53" s="1"/>
  <c r="H72" i="53"/>
  <c r="N72" i="53" s="1"/>
  <c r="H73" i="53"/>
  <c r="N73" i="53" s="1"/>
  <c r="H74" i="53"/>
  <c r="N74" i="53" s="1"/>
  <c r="H75" i="53"/>
  <c r="N75" i="53" s="1"/>
  <c r="H76" i="53"/>
  <c r="N76" i="53" s="1"/>
  <c r="H77" i="53"/>
  <c r="N77" i="53" s="1"/>
  <c r="H78" i="53"/>
  <c r="N78" i="53" s="1"/>
  <c r="H79" i="53"/>
  <c r="N79" i="53" s="1"/>
  <c r="H80" i="53"/>
  <c r="N80" i="53" s="1"/>
  <c r="H81" i="53"/>
  <c r="N81" i="53" s="1"/>
  <c r="H82" i="53"/>
  <c r="N82" i="53" s="1"/>
  <c r="H83" i="53"/>
  <c r="N83" i="53" s="1"/>
  <c r="H84" i="53"/>
  <c r="N84" i="53" s="1"/>
  <c r="H85" i="53"/>
  <c r="N85" i="53" s="1"/>
  <c r="H86" i="53"/>
  <c r="N86" i="53" s="1"/>
  <c r="H87" i="53"/>
  <c r="N87" i="53" s="1"/>
  <c r="H88" i="53"/>
  <c r="N88" i="53" s="1"/>
  <c r="H89" i="53"/>
  <c r="N89" i="53" s="1"/>
  <c r="F44" i="53"/>
  <c r="G44" i="53"/>
  <c r="F45" i="53"/>
  <c r="G45" i="53"/>
  <c r="F46" i="53"/>
  <c r="G46" i="53"/>
  <c r="F47" i="53"/>
  <c r="G47" i="53"/>
  <c r="F48" i="53"/>
  <c r="G48" i="53"/>
  <c r="F49" i="53"/>
  <c r="G49" i="53"/>
  <c r="F50" i="53"/>
  <c r="G50" i="53"/>
  <c r="F51" i="53"/>
  <c r="G51" i="53"/>
  <c r="F52" i="53"/>
  <c r="G52" i="53"/>
  <c r="F53" i="53"/>
  <c r="G53" i="53"/>
  <c r="F54" i="53"/>
  <c r="G54" i="53"/>
  <c r="F55" i="53"/>
  <c r="G55" i="53"/>
  <c r="F56" i="53"/>
  <c r="G56" i="53"/>
  <c r="F57" i="53"/>
  <c r="G57" i="53"/>
  <c r="F58" i="53"/>
  <c r="G58" i="53"/>
  <c r="F59" i="53"/>
  <c r="G59" i="53"/>
  <c r="F14" i="53"/>
  <c r="G14" i="53"/>
  <c r="F15" i="53"/>
  <c r="G15" i="53"/>
  <c r="F16" i="53"/>
  <c r="G16" i="53"/>
  <c r="F17" i="53"/>
  <c r="G17" i="53"/>
  <c r="F18" i="53"/>
  <c r="G18" i="53"/>
  <c r="F19" i="53"/>
  <c r="G19" i="53"/>
  <c r="F20" i="53"/>
  <c r="G20" i="53"/>
  <c r="F21" i="53"/>
  <c r="G21" i="53"/>
  <c r="F22" i="53"/>
  <c r="G22" i="53"/>
  <c r="F23" i="53"/>
  <c r="G23" i="53"/>
  <c r="F24" i="53"/>
  <c r="G24" i="53"/>
  <c r="F25" i="53"/>
  <c r="G25" i="53"/>
  <c r="F26" i="53"/>
  <c r="G26" i="53"/>
  <c r="F27" i="53"/>
  <c r="G27" i="53"/>
  <c r="F28" i="53"/>
  <c r="G28" i="53"/>
  <c r="F29" i="53"/>
  <c r="G29" i="53"/>
  <c r="F30" i="53"/>
  <c r="G30" i="53"/>
  <c r="F31" i="53"/>
  <c r="G31" i="53"/>
  <c r="F32" i="53"/>
  <c r="G32" i="53"/>
  <c r="F33" i="53"/>
  <c r="G33" i="53"/>
  <c r="F34" i="53"/>
  <c r="G34" i="53"/>
  <c r="H92" i="26"/>
  <c r="H94" i="26"/>
  <c r="H95" i="26"/>
  <c r="H96" i="26"/>
  <c r="H97" i="26"/>
  <c r="H98" i="26"/>
  <c r="H99" i="26"/>
  <c r="H100" i="26"/>
  <c r="H101" i="26"/>
  <c r="H102" i="26"/>
  <c r="H103" i="26"/>
  <c r="H104" i="26"/>
  <c r="H105" i="26"/>
  <c r="H106" i="26"/>
  <c r="H107" i="26"/>
  <c r="H108" i="26"/>
  <c r="H109" i="26"/>
  <c r="H110" i="26"/>
  <c r="H57" i="26"/>
  <c r="H58" i="26"/>
  <c r="H59" i="26"/>
  <c r="H60" i="26"/>
  <c r="H61" i="26"/>
  <c r="H62" i="26"/>
  <c r="H63" i="26"/>
  <c r="H64" i="26"/>
  <c r="H65" i="26"/>
  <c r="H66" i="26"/>
  <c r="H67" i="26"/>
  <c r="H68" i="26"/>
  <c r="H69" i="26"/>
  <c r="H70" i="26"/>
  <c r="H71" i="26"/>
  <c r="H72" i="26"/>
  <c r="G50" i="26"/>
  <c r="F47" i="26"/>
  <c r="F36" i="26"/>
  <c r="G36" i="26"/>
  <c r="F37" i="26"/>
  <c r="G37" i="26"/>
  <c r="F38" i="26"/>
  <c r="G38" i="26"/>
  <c r="F39" i="26"/>
  <c r="G39" i="26"/>
  <c r="F40" i="26"/>
  <c r="G40" i="26"/>
  <c r="F41" i="26"/>
  <c r="G41" i="26"/>
  <c r="F42" i="26"/>
  <c r="G42" i="26"/>
  <c r="F43" i="26"/>
  <c r="G43" i="26"/>
  <c r="F44" i="26"/>
  <c r="G44" i="26"/>
  <c r="F45" i="26"/>
  <c r="G45" i="26"/>
  <c r="F46" i="26"/>
  <c r="G46" i="26"/>
  <c r="G47" i="26"/>
  <c r="F48" i="26"/>
  <c r="G48" i="26"/>
  <c r="F49" i="26"/>
  <c r="G49" i="26"/>
  <c r="F50" i="26"/>
  <c r="F34" i="26"/>
  <c r="G34" i="26"/>
  <c r="F20" i="26"/>
  <c r="F13" i="26"/>
  <c r="G13" i="26"/>
  <c r="F14" i="26"/>
  <c r="G14" i="26"/>
  <c r="F15" i="26"/>
  <c r="G15" i="26"/>
  <c r="F16" i="26"/>
  <c r="G16" i="26"/>
  <c r="F17" i="26"/>
  <c r="G17" i="26"/>
  <c r="F18" i="26"/>
  <c r="G18" i="26"/>
  <c r="F19" i="26"/>
  <c r="G19" i="26"/>
  <c r="G20" i="26"/>
  <c r="F21" i="26"/>
  <c r="G21" i="26"/>
  <c r="F22" i="26"/>
  <c r="G22" i="26"/>
  <c r="F23" i="26"/>
  <c r="G23" i="26"/>
  <c r="F24" i="26"/>
  <c r="G24" i="26"/>
  <c r="F25" i="26"/>
  <c r="G25" i="26"/>
  <c r="F26" i="26"/>
  <c r="G26" i="26"/>
  <c r="F27" i="26"/>
  <c r="G27" i="26"/>
  <c r="J92" i="26" l="1"/>
  <c r="K92" i="26"/>
  <c r="K93" i="26"/>
  <c r="H36" i="26"/>
  <c r="H31" i="53"/>
  <c r="N31" i="53" s="1"/>
  <c r="H27" i="53"/>
  <c r="N27" i="53" s="1"/>
  <c r="H23" i="53"/>
  <c r="N23" i="53" s="1"/>
  <c r="H57" i="53"/>
  <c r="N57" i="53" s="1"/>
  <c r="H53" i="53"/>
  <c r="N53" i="53" s="1"/>
  <c r="H59" i="53"/>
  <c r="N59" i="53" s="1"/>
  <c r="H55" i="53"/>
  <c r="N55" i="53" s="1"/>
  <c r="H51" i="53"/>
  <c r="N51" i="53" s="1"/>
  <c r="H47" i="53"/>
  <c r="N47" i="53" s="1"/>
  <c r="H56" i="53"/>
  <c r="N56" i="53" s="1"/>
  <c r="H49" i="53"/>
  <c r="N49" i="53" s="1"/>
  <c r="H45" i="53"/>
  <c r="N45" i="53" s="1"/>
  <c r="H52" i="53"/>
  <c r="N52" i="53" s="1"/>
  <c r="H48" i="53"/>
  <c r="N48" i="53" s="1"/>
  <c r="H44" i="53"/>
  <c r="N44" i="53" s="1"/>
  <c r="H58" i="53"/>
  <c r="N58" i="53" s="1"/>
  <c r="H54" i="53"/>
  <c r="N54" i="53" s="1"/>
  <c r="H50" i="53"/>
  <c r="N50" i="53" s="1"/>
  <c r="H46" i="53"/>
  <c r="N46" i="53" s="1"/>
  <c r="H19" i="53"/>
  <c r="N19" i="53" s="1"/>
  <c r="H15" i="53"/>
  <c r="N15" i="53" s="1"/>
  <c r="H26" i="53"/>
  <c r="N26" i="53" s="1"/>
  <c r="H32" i="53"/>
  <c r="N32" i="53" s="1"/>
  <c r="H24" i="53"/>
  <c r="N24" i="53" s="1"/>
  <c r="H20" i="53"/>
  <c r="N20" i="53" s="1"/>
  <c r="H16" i="53"/>
  <c r="N16" i="53" s="1"/>
  <c r="H28" i="53"/>
  <c r="N28" i="53" s="1"/>
  <c r="H34" i="53"/>
  <c r="N34" i="53" s="1"/>
  <c r="H30" i="53"/>
  <c r="N30" i="53" s="1"/>
  <c r="H22" i="53"/>
  <c r="N22" i="53" s="1"/>
  <c r="H18" i="53"/>
  <c r="N18" i="53" s="1"/>
  <c r="H14" i="53"/>
  <c r="N14" i="53" s="1"/>
  <c r="H29" i="53"/>
  <c r="N29" i="53" s="1"/>
  <c r="H25" i="53"/>
  <c r="N25" i="53" s="1"/>
  <c r="H21" i="53"/>
  <c r="N21" i="53" s="1"/>
  <c r="H17" i="53"/>
  <c r="N17" i="53" s="1"/>
  <c r="H33" i="53"/>
  <c r="N33" i="53" s="1"/>
  <c r="H41" i="26"/>
  <c r="H47" i="26"/>
  <c r="H37" i="26"/>
  <c r="H39" i="26"/>
  <c r="H27" i="26"/>
  <c r="H45" i="26"/>
  <c r="H43" i="26"/>
  <c r="H49" i="26"/>
  <c r="H16" i="26"/>
  <c r="H48" i="26"/>
  <c r="H44" i="26"/>
  <c r="H34" i="26"/>
  <c r="H40" i="26"/>
  <c r="H46" i="26"/>
  <c r="H42" i="26"/>
  <c r="H38" i="26"/>
  <c r="H50" i="26"/>
  <c r="H24" i="26"/>
  <c r="H25" i="26"/>
  <c r="H22" i="26"/>
  <c r="H26" i="26"/>
  <c r="H14" i="26"/>
  <c r="H15" i="26"/>
  <c r="H18" i="26"/>
  <c r="H17" i="26"/>
  <c r="H21" i="26"/>
  <c r="H13" i="26"/>
  <c r="H20" i="26"/>
  <c r="H23" i="26"/>
  <c r="H19" i="26"/>
  <c r="H226" i="25" l="1"/>
  <c r="I226" i="25"/>
  <c r="J226" i="25"/>
  <c r="K226" i="25"/>
  <c r="L226" i="25"/>
  <c r="M226" i="25"/>
  <c r="N226" i="25"/>
  <c r="O226" i="25"/>
  <c r="P226" i="25"/>
  <c r="Q226" i="25"/>
  <c r="AE226" i="25" l="1"/>
  <c r="AE233" i="25" s="1"/>
  <c r="A261" i="62" l="1"/>
  <c r="A260" i="62"/>
  <c r="A259" i="62"/>
  <c r="A258" i="62"/>
  <c r="L255" i="62"/>
  <c r="K255" i="62"/>
  <c r="J255" i="62"/>
  <c r="I255" i="62"/>
  <c r="H254" i="62"/>
  <c r="H253" i="62"/>
  <c r="H252" i="62"/>
  <c r="H251" i="62"/>
  <c r="H250" i="62"/>
  <c r="H249" i="62"/>
  <c r="H248" i="62"/>
  <c r="H247" i="62"/>
  <c r="H246" i="62"/>
  <c r="H245" i="62"/>
  <c r="H244" i="62"/>
  <c r="H243" i="62"/>
  <c r="H242" i="62"/>
  <c r="H241" i="62"/>
  <c r="L238" i="62"/>
  <c r="L256" i="62" s="1"/>
  <c r="L261" i="62" s="1"/>
  <c r="K238" i="62"/>
  <c r="J238" i="62"/>
  <c r="I238" i="62"/>
  <c r="I256" i="62" s="1"/>
  <c r="H237" i="62"/>
  <c r="H236" i="62"/>
  <c r="H235" i="62"/>
  <c r="H234" i="62"/>
  <c r="H233" i="62"/>
  <c r="H232" i="62"/>
  <c r="H231" i="62"/>
  <c r="H230" i="62"/>
  <c r="H229" i="62"/>
  <c r="H228" i="62"/>
  <c r="H227" i="62"/>
  <c r="A219" i="62"/>
  <c r="A218" i="62"/>
  <c r="A217" i="62"/>
  <c r="A216" i="62"/>
  <c r="L213" i="62"/>
  <c r="K213" i="62"/>
  <c r="J213" i="62"/>
  <c r="I213" i="62"/>
  <c r="H212" i="62"/>
  <c r="H211" i="62"/>
  <c r="H210" i="62"/>
  <c r="H209" i="62"/>
  <c r="H208" i="62"/>
  <c r="H207" i="62"/>
  <c r="H206" i="62"/>
  <c r="H205" i="62"/>
  <c r="H204" i="62"/>
  <c r="H203" i="62"/>
  <c r="H202" i="62"/>
  <c r="H201" i="62"/>
  <c r="H200" i="62"/>
  <c r="H199" i="62"/>
  <c r="L196" i="62"/>
  <c r="K196" i="62"/>
  <c r="J196" i="62"/>
  <c r="I196" i="62"/>
  <c r="I214" i="62" s="1"/>
  <c r="H195" i="62"/>
  <c r="H194" i="62"/>
  <c r="H193" i="62"/>
  <c r="H192" i="62"/>
  <c r="H191" i="62"/>
  <c r="H190" i="62"/>
  <c r="H189" i="62"/>
  <c r="H188" i="62"/>
  <c r="H187" i="62"/>
  <c r="H186" i="62"/>
  <c r="H185" i="62"/>
  <c r="A177" i="62"/>
  <c r="A176" i="62"/>
  <c r="A175" i="62"/>
  <c r="A174" i="62"/>
  <c r="L171" i="62"/>
  <c r="K171" i="62"/>
  <c r="J171" i="62"/>
  <c r="I171" i="62"/>
  <c r="H170" i="62"/>
  <c r="H169" i="62"/>
  <c r="H168" i="62"/>
  <c r="H167" i="62"/>
  <c r="H166" i="62"/>
  <c r="H165" i="62"/>
  <c r="H164" i="62"/>
  <c r="H163" i="62"/>
  <c r="H162" i="62"/>
  <c r="H161" i="62"/>
  <c r="H160" i="62"/>
  <c r="H159" i="62"/>
  <c r="H158" i="62"/>
  <c r="H157" i="62"/>
  <c r="L154" i="62"/>
  <c r="K154" i="62"/>
  <c r="K172" i="62" s="1"/>
  <c r="K177" i="62" s="1"/>
  <c r="J154" i="62"/>
  <c r="J172" i="62" s="1"/>
  <c r="J177" i="62" s="1"/>
  <c r="I154" i="62"/>
  <c r="I172" i="62" s="1"/>
  <c r="H153" i="62"/>
  <c r="H152" i="62"/>
  <c r="H151" i="62"/>
  <c r="H150" i="62"/>
  <c r="H149" i="62"/>
  <c r="H148" i="62"/>
  <c r="H147" i="62"/>
  <c r="H146" i="62"/>
  <c r="H145" i="62"/>
  <c r="H144" i="62"/>
  <c r="H143" i="62"/>
  <c r="A135" i="62"/>
  <c r="A134" i="62"/>
  <c r="A133" i="62"/>
  <c r="A132" i="62"/>
  <c r="L129" i="62"/>
  <c r="K129" i="62"/>
  <c r="J129" i="62"/>
  <c r="I129" i="62"/>
  <c r="H128" i="62"/>
  <c r="H127" i="62"/>
  <c r="H126" i="62"/>
  <c r="H125" i="62"/>
  <c r="H124" i="62"/>
  <c r="H123" i="62"/>
  <c r="H122" i="62"/>
  <c r="H121" i="62"/>
  <c r="H120" i="62"/>
  <c r="H119" i="62"/>
  <c r="H118" i="62"/>
  <c r="H117" i="62"/>
  <c r="H116" i="62"/>
  <c r="H115" i="62"/>
  <c r="L112" i="62"/>
  <c r="L130" i="62" s="1"/>
  <c r="L135" i="62" s="1"/>
  <c r="K112" i="62"/>
  <c r="K130" i="62" s="1"/>
  <c r="K135" i="62" s="1"/>
  <c r="J112" i="62"/>
  <c r="I112" i="62"/>
  <c r="H111" i="62"/>
  <c r="H110" i="62"/>
  <c r="H109" i="62"/>
  <c r="H108" i="62"/>
  <c r="H107" i="62"/>
  <c r="H106" i="62"/>
  <c r="H105" i="62"/>
  <c r="H104" i="62"/>
  <c r="H103" i="62"/>
  <c r="H102" i="62"/>
  <c r="H101" i="62"/>
  <c r="A93" i="62"/>
  <c r="A92" i="62"/>
  <c r="A91" i="62"/>
  <c r="A90" i="62"/>
  <c r="L87" i="62"/>
  <c r="K87" i="62"/>
  <c r="J87" i="62"/>
  <c r="I87" i="62"/>
  <c r="H86" i="62"/>
  <c r="H85" i="62"/>
  <c r="H84" i="62"/>
  <c r="H83" i="62"/>
  <c r="H82" i="62"/>
  <c r="H81" i="62"/>
  <c r="H80" i="62"/>
  <c r="H79" i="62"/>
  <c r="H78" i="62"/>
  <c r="H77" i="62"/>
  <c r="H76" i="62"/>
  <c r="H75" i="62"/>
  <c r="H74" i="62"/>
  <c r="H73" i="62"/>
  <c r="L70" i="62"/>
  <c r="L88" i="62" s="1"/>
  <c r="L93" i="62" s="1"/>
  <c r="K70" i="62"/>
  <c r="J70" i="62"/>
  <c r="I70" i="62"/>
  <c r="H69" i="62"/>
  <c r="H68" i="62"/>
  <c r="H67" i="62"/>
  <c r="H66" i="62"/>
  <c r="H65" i="62"/>
  <c r="H64" i="62"/>
  <c r="H63" i="62"/>
  <c r="H62" i="62"/>
  <c r="H61" i="62"/>
  <c r="H60" i="62"/>
  <c r="H59" i="62"/>
  <c r="E245" i="64"/>
  <c r="J256" i="62" l="1"/>
  <c r="J261" i="62" s="1"/>
  <c r="K256" i="62"/>
  <c r="K261" i="62" s="1"/>
  <c r="K88" i="62"/>
  <c r="K93" i="62" s="1"/>
  <c r="L214" i="62"/>
  <c r="L219" i="62" s="1"/>
  <c r="H255" i="62"/>
  <c r="H238" i="62"/>
  <c r="I258" i="62"/>
  <c r="I261" i="62" s="1"/>
  <c r="J214" i="62"/>
  <c r="J219" i="62" s="1"/>
  <c r="K214" i="62"/>
  <c r="K219" i="62" s="1"/>
  <c r="H213" i="62"/>
  <c r="H196" i="62"/>
  <c r="I216" i="62"/>
  <c r="I219" i="62" s="1"/>
  <c r="L172" i="62"/>
  <c r="L177" i="62" s="1"/>
  <c r="H171" i="62"/>
  <c r="H154" i="62"/>
  <c r="H172" i="62" s="1"/>
  <c r="H177" i="62" s="1"/>
  <c r="I174" i="62"/>
  <c r="I177" i="62" s="1"/>
  <c r="H129" i="62"/>
  <c r="I130" i="62"/>
  <c r="J130" i="62"/>
  <c r="J135" i="62" s="1"/>
  <c r="H112" i="62"/>
  <c r="I132" i="62"/>
  <c r="I135" i="62" s="1"/>
  <c r="I88" i="62"/>
  <c r="H87" i="62"/>
  <c r="J88" i="62"/>
  <c r="J93" i="62" s="1"/>
  <c r="H70" i="62"/>
  <c r="I90" i="62"/>
  <c r="E244" i="64"/>
  <c r="E184" i="9"/>
  <c r="H64" i="53"/>
  <c r="H65" i="53"/>
  <c r="H90" i="53"/>
  <c r="H91" i="53"/>
  <c r="H92" i="53"/>
  <c r="H93" i="53"/>
  <c r="H94" i="53"/>
  <c r="H95" i="53"/>
  <c r="H96" i="53"/>
  <c r="H97" i="53"/>
  <c r="H98" i="53"/>
  <c r="H63" i="53"/>
  <c r="G160" i="25"/>
  <c r="Q160" i="25"/>
  <c r="P160" i="25"/>
  <c r="O160" i="25"/>
  <c r="N160" i="25"/>
  <c r="M160" i="25"/>
  <c r="L160" i="25"/>
  <c r="K160" i="25"/>
  <c r="I160" i="25"/>
  <c r="H160" i="25"/>
  <c r="Q154" i="25"/>
  <c r="P154" i="25"/>
  <c r="O154" i="25"/>
  <c r="N154" i="25"/>
  <c r="M154" i="25"/>
  <c r="L154" i="25"/>
  <c r="K154" i="25"/>
  <c r="I154" i="25"/>
  <c r="H154" i="25"/>
  <c r="G154" i="25"/>
  <c r="Q148" i="25"/>
  <c r="P148" i="25"/>
  <c r="O148" i="25"/>
  <c r="N148" i="25"/>
  <c r="M148" i="25"/>
  <c r="L148" i="25"/>
  <c r="K148" i="25"/>
  <c r="J148" i="25"/>
  <c r="J147" i="25" s="1"/>
  <c r="H148" i="25"/>
  <c r="G148" i="25"/>
  <c r="Q129" i="25"/>
  <c r="P129" i="25"/>
  <c r="O129" i="25"/>
  <c r="N129" i="25"/>
  <c r="M129" i="25"/>
  <c r="L129" i="25"/>
  <c r="K129" i="25"/>
  <c r="J129" i="25"/>
  <c r="H129" i="25"/>
  <c r="H116" i="25" s="1"/>
  <c r="G129" i="25"/>
  <c r="Q123" i="25"/>
  <c r="P123" i="25"/>
  <c r="O123" i="25"/>
  <c r="N123" i="25"/>
  <c r="M123" i="25"/>
  <c r="L123" i="25"/>
  <c r="K123" i="25"/>
  <c r="J123" i="25"/>
  <c r="I123" i="25"/>
  <c r="G123" i="25"/>
  <c r="Q117" i="25"/>
  <c r="P117" i="25"/>
  <c r="O117" i="25"/>
  <c r="O116" i="25" s="1"/>
  <c r="N117" i="25"/>
  <c r="M117" i="25"/>
  <c r="L117" i="25"/>
  <c r="I117" i="25"/>
  <c r="Q98" i="25"/>
  <c r="P98" i="25"/>
  <c r="O98" i="25"/>
  <c r="N98" i="25"/>
  <c r="M98" i="25"/>
  <c r="L98" i="25"/>
  <c r="K98" i="25"/>
  <c r="G98" i="25"/>
  <c r="Q92" i="25"/>
  <c r="P92" i="25"/>
  <c r="O92" i="25"/>
  <c r="N92" i="25"/>
  <c r="M92" i="25"/>
  <c r="L92" i="25"/>
  <c r="K92" i="25"/>
  <c r="J92" i="25"/>
  <c r="J85" i="25" s="1"/>
  <c r="H92" i="25"/>
  <c r="G92" i="25"/>
  <c r="Q86" i="25"/>
  <c r="P86" i="25"/>
  <c r="O86" i="25"/>
  <c r="N86" i="25"/>
  <c r="M86" i="25"/>
  <c r="L86" i="25"/>
  <c r="K86" i="25"/>
  <c r="I86" i="25"/>
  <c r="I85" i="25" s="1"/>
  <c r="H86" i="25"/>
  <c r="Q67" i="25"/>
  <c r="P67" i="25"/>
  <c r="O67" i="25"/>
  <c r="N67" i="25"/>
  <c r="M67" i="25"/>
  <c r="L67" i="25"/>
  <c r="J67" i="25"/>
  <c r="I67" i="25"/>
  <c r="G67" i="25"/>
  <c r="Q61" i="25"/>
  <c r="P61" i="25"/>
  <c r="O61" i="25"/>
  <c r="N61" i="25"/>
  <c r="M61" i="25"/>
  <c r="L61" i="25"/>
  <c r="K61" i="25"/>
  <c r="I61" i="25"/>
  <c r="H61" i="25"/>
  <c r="Q55" i="25"/>
  <c r="P55" i="25"/>
  <c r="O55" i="25"/>
  <c r="N55" i="25"/>
  <c r="M55" i="25"/>
  <c r="L55" i="25"/>
  <c r="K55" i="25"/>
  <c r="J55" i="25"/>
  <c r="H55" i="25"/>
  <c r="Q30" i="25"/>
  <c r="P30" i="25"/>
  <c r="O30" i="25"/>
  <c r="N30" i="25"/>
  <c r="M30" i="25"/>
  <c r="L30" i="25"/>
  <c r="K30" i="25"/>
  <c r="J30" i="25"/>
  <c r="I30" i="25"/>
  <c r="H30" i="25"/>
  <c r="Q24" i="25"/>
  <c r="Q17" i="25" s="1"/>
  <c r="P24" i="25"/>
  <c r="P17" i="25" s="1"/>
  <c r="O24" i="25"/>
  <c r="O17" i="25" s="1"/>
  <c r="N24" i="25"/>
  <c r="M24" i="25"/>
  <c r="L24" i="25"/>
  <c r="K24" i="25"/>
  <c r="J24" i="25"/>
  <c r="I24" i="25"/>
  <c r="H24" i="25"/>
  <c r="I116" i="25" l="1"/>
  <c r="N116" i="25"/>
  <c r="P147" i="25"/>
  <c r="G85" i="25"/>
  <c r="I147" i="25"/>
  <c r="K147" i="25"/>
  <c r="G116" i="25"/>
  <c r="H147" i="25"/>
  <c r="Q147" i="25"/>
  <c r="P116" i="25"/>
  <c r="Q116" i="25"/>
  <c r="L147" i="25"/>
  <c r="AE148" i="25"/>
  <c r="G147" i="25"/>
  <c r="M147" i="25"/>
  <c r="L116" i="25"/>
  <c r="J116" i="25"/>
  <c r="N147" i="25"/>
  <c r="M116" i="25"/>
  <c r="K116" i="25"/>
  <c r="O147" i="25"/>
  <c r="Q85" i="25"/>
  <c r="AE61" i="25"/>
  <c r="AE55" i="25"/>
  <c r="L54" i="25"/>
  <c r="H85" i="25"/>
  <c r="AE86" i="25"/>
  <c r="AE154" i="25"/>
  <c r="AE92" i="25"/>
  <c r="G54" i="25"/>
  <c r="AE67" i="25"/>
  <c r="AE123" i="25"/>
  <c r="AE24" i="25"/>
  <c r="AE30" i="25"/>
  <c r="AE98" i="25"/>
  <c r="AE117" i="25"/>
  <c r="AE160" i="25"/>
  <c r="AE129" i="25"/>
  <c r="M85" i="25"/>
  <c r="H54" i="25"/>
  <c r="Q54" i="25"/>
  <c r="N85" i="25"/>
  <c r="M54" i="25"/>
  <c r="J54" i="25"/>
  <c r="O85" i="25"/>
  <c r="K54" i="25"/>
  <c r="I54" i="25"/>
  <c r="P85" i="25"/>
  <c r="N54" i="25"/>
  <c r="K85" i="25"/>
  <c r="O54" i="25"/>
  <c r="L85" i="25"/>
  <c r="P54" i="25"/>
  <c r="H214" i="62"/>
  <c r="I93" i="62"/>
  <c r="H99" i="53"/>
  <c r="H130" i="62"/>
  <c r="H256" i="62"/>
  <c r="H261" i="62" s="1"/>
  <c r="F220" i="62"/>
  <c r="H88" i="62"/>
  <c r="F180" i="62"/>
  <c r="F178" i="62"/>
  <c r="C6" i="26"/>
  <c r="C5" i="26"/>
  <c r="AE6" i="25"/>
  <c r="AE5" i="25"/>
  <c r="D8" i="68" s="1"/>
  <c r="B6" i="75"/>
  <c r="B5" i="75"/>
  <c r="AE147" i="25" l="1"/>
  <c r="AE116" i="25"/>
  <c r="AE54" i="25"/>
  <c r="AE17" i="25"/>
  <c r="AE85" i="25"/>
  <c r="F96" i="62"/>
  <c r="H93" i="62"/>
  <c r="F138" i="62"/>
  <c r="H135" i="62"/>
  <c r="F136" i="62"/>
  <c r="F222" i="62"/>
  <c r="H219" i="62"/>
  <c r="C7" i="50"/>
  <c r="B6" i="23"/>
  <c r="F6" i="64"/>
  <c r="C6" i="53"/>
  <c r="E6" i="76"/>
  <c r="D9" i="68"/>
  <c r="F264" i="62"/>
  <c r="F262" i="62"/>
  <c r="F94" i="62"/>
  <c r="B6" i="9"/>
  <c r="B8" i="9" s="1"/>
  <c r="E7" i="63"/>
  <c r="E7" i="41"/>
  <c r="F6" i="62"/>
  <c r="C11" i="67"/>
  <c r="F5" i="64"/>
  <c r="F5" i="62"/>
  <c r="B5" i="23"/>
  <c r="E6" i="63"/>
  <c r="E5" i="76"/>
  <c r="C10" i="67"/>
  <c r="C5" i="53"/>
  <c r="C6" i="50"/>
  <c r="B5" i="9"/>
  <c r="E6" i="41"/>
  <c r="G13" i="53" l="1"/>
  <c r="G35" i="53"/>
  <c r="G36" i="53"/>
  <c r="G37" i="53"/>
  <c r="G38" i="53"/>
  <c r="G39" i="53"/>
  <c r="G40" i="53"/>
  <c r="G41" i="53"/>
  <c r="G42" i="53"/>
  <c r="G43" i="53"/>
  <c r="G60" i="53"/>
  <c r="G12" i="53"/>
  <c r="F13" i="53"/>
  <c r="F35" i="53"/>
  <c r="F36" i="53"/>
  <c r="H36" i="53" s="1"/>
  <c r="N36" i="53" s="1"/>
  <c r="F37" i="53"/>
  <c r="F38" i="53"/>
  <c r="F39" i="53"/>
  <c r="F40" i="53"/>
  <c r="F41" i="53"/>
  <c r="F42" i="53"/>
  <c r="F43" i="53"/>
  <c r="F60" i="53"/>
  <c r="H60" i="53" s="1"/>
  <c r="N60" i="53" s="1"/>
  <c r="F12" i="53"/>
  <c r="H12" i="53" s="1"/>
  <c r="E9" i="75"/>
  <c r="D9" i="75"/>
  <c r="G12" i="26"/>
  <c r="G28" i="26"/>
  <c r="G29" i="26"/>
  <c r="G30" i="26"/>
  <c r="G31" i="26"/>
  <c r="G32" i="26"/>
  <c r="G33" i="26"/>
  <c r="G35" i="26"/>
  <c r="G51" i="26"/>
  <c r="G11" i="26"/>
  <c r="F12" i="26"/>
  <c r="F28" i="26"/>
  <c r="F29" i="26"/>
  <c r="F30" i="26"/>
  <c r="F31" i="26"/>
  <c r="F32" i="26"/>
  <c r="F33" i="26"/>
  <c r="F35" i="26"/>
  <c r="F51" i="26"/>
  <c r="F11" i="26"/>
  <c r="H51" i="26" l="1"/>
  <c r="H12" i="26"/>
  <c r="F9" i="75"/>
  <c r="F11" i="75" s="1"/>
  <c r="F13" i="75" s="1"/>
  <c r="H37" i="53"/>
  <c r="N37" i="53" s="1"/>
  <c r="H13" i="53"/>
  <c r="H42" i="53"/>
  <c r="N42" i="53" s="1"/>
  <c r="H40" i="53"/>
  <c r="N40" i="53" s="1"/>
  <c r="H39" i="53"/>
  <c r="N39" i="53" s="1"/>
  <c r="H11" i="26"/>
  <c r="H28" i="26"/>
  <c r="H33" i="26"/>
  <c r="H32" i="26"/>
  <c r="H43" i="53"/>
  <c r="N43" i="53" s="1"/>
  <c r="H35" i="53"/>
  <c r="N35" i="53" s="1"/>
  <c r="H35" i="26"/>
  <c r="H31" i="26"/>
  <c r="H41" i="53"/>
  <c r="N41" i="53" s="1"/>
  <c r="H38" i="53"/>
  <c r="N38" i="53" s="1"/>
  <c r="H30" i="26"/>
  <c r="H29" i="26"/>
  <c r="I15" i="41"/>
  <c r="K15" i="76"/>
  <c r="K221" i="76"/>
  <c r="K211" i="76"/>
  <c r="K210" i="76"/>
  <c r="K209" i="76"/>
  <c r="K16" i="76"/>
  <c r="K212" i="76"/>
  <c r="K213" i="76"/>
  <c r="K214" i="76"/>
  <c r="K215" i="76"/>
  <c r="K216" i="76"/>
  <c r="K217" i="76"/>
  <c r="K218" i="76"/>
  <c r="K219" i="76"/>
  <c r="K220" i="76"/>
  <c r="K222" i="76"/>
  <c r="K223" i="76"/>
  <c r="K224" i="76"/>
  <c r="K225" i="76"/>
  <c r="K226" i="76"/>
  <c r="K227" i="76"/>
  <c r="K228" i="76"/>
  <c r="K229" i="76"/>
  <c r="K230" i="76"/>
  <c r="K231" i="76"/>
  <c r="K232" i="76"/>
  <c r="K233" i="76"/>
  <c r="K234" i="76"/>
  <c r="K235" i="76"/>
  <c r="K236" i="76"/>
  <c r="K237" i="76"/>
  <c r="K238" i="76"/>
  <c r="K239" i="76"/>
  <c r="K240" i="76"/>
  <c r="K241" i="76"/>
  <c r="K242" i="76"/>
  <c r="K243" i="76"/>
  <c r="K244" i="76"/>
  <c r="K245" i="76"/>
  <c r="K254" i="76"/>
  <c r="K255" i="76"/>
  <c r="K257" i="76"/>
  <c r="K258" i="76"/>
  <c r="K259" i="76"/>
  <c r="K260" i="76"/>
  <c r="K261" i="76"/>
  <c r="K262" i="76"/>
  <c r="K264" i="76"/>
  <c r="H119" i="64"/>
  <c r="H118" i="64"/>
  <c r="H117" i="64"/>
  <c r="H45" i="64"/>
  <c r="H106" i="64"/>
  <c r="H107" i="64"/>
  <c r="H108" i="64"/>
  <c r="H109" i="64"/>
  <c r="H110" i="64"/>
  <c r="H111" i="64"/>
  <c r="H112" i="64"/>
  <c r="H113" i="64"/>
  <c r="H114" i="64"/>
  <c r="H115" i="64"/>
  <c r="H116" i="64"/>
  <c r="H44" i="64"/>
  <c r="D188" i="53"/>
  <c r="D187" i="53"/>
  <c r="D186" i="53"/>
  <c r="D192" i="53"/>
  <c r="D191" i="53"/>
  <c r="D190" i="53"/>
  <c r="D189" i="53"/>
  <c r="A51" i="62"/>
  <c r="A50" i="62"/>
  <c r="A49" i="62"/>
  <c r="A48" i="62"/>
  <c r="C13" i="59"/>
  <c r="D13" i="59" s="1"/>
  <c r="E13" i="59" s="1"/>
  <c r="F13" i="59" s="1"/>
  <c r="C14" i="59"/>
  <c r="D14" i="59" s="1"/>
  <c r="E14" i="59" s="1"/>
  <c r="F14" i="59" s="1"/>
  <c r="C15" i="59"/>
  <c r="D15" i="59" s="1"/>
  <c r="C16" i="59"/>
  <c r="D16" i="59" s="1"/>
  <c r="E16" i="59" s="1"/>
  <c r="F16" i="59" s="1"/>
  <c r="C17" i="59"/>
  <c r="D17" i="59" s="1"/>
  <c r="E17" i="59" s="1"/>
  <c r="F17" i="59" s="1"/>
  <c r="C18" i="59"/>
  <c r="D18" i="59" s="1"/>
  <c r="E18" i="59" s="1"/>
  <c r="F18" i="59" s="1"/>
  <c r="C19" i="59"/>
  <c r="D19" i="59" s="1"/>
  <c r="E19" i="59" s="1"/>
  <c r="F19" i="59" s="1"/>
  <c r="C20" i="59"/>
  <c r="D20" i="59" s="1"/>
  <c r="E20" i="59" s="1"/>
  <c r="F20" i="59" s="1"/>
  <c r="C21" i="59"/>
  <c r="D21" i="59" s="1"/>
  <c r="E21" i="59" s="1"/>
  <c r="F21" i="59" s="1"/>
  <c r="C22" i="59"/>
  <c r="D22" i="59" s="1"/>
  <c r="E22" i="59" s="1"/>
  <c r="F22" i="59" s="1"/>
  <c r="C23" i="59"/>
  <c r="D23" i="59" s="1"/>
  <c r="C24" i="59"/>
  <c r="D24" i="59" s="1"/>
  <c r="C25" i="59"/>
  <c r="D25" i="59" s="1"/>
  <c r="E25" i="59" s="1"/>
  <c r="F25" i="59" s="1"/>
  <c r="C26" i="59"/>
  <c r="D26" i="59" s="1"/>
  <c r="E26" i="59" s="1"/>
  <c r="F26" i="59" s="1"/>
  <c r="C27" i="59"/>
  <c r="D27" i="59" s="1"/>
  <c r="E27" i="59" s="1"/>
  <c r="F27" i="59" s="1"/>
  <c r="C28" i="59"/>
  <c r="D28" i="59" s="1"/>
  <c r="E28" i="59" s="1"/>
  <c r="F28" i="59" s="1"/>
  <c r="C29" i="59"/>
  <c r="D29" i="59" s="1"/>
  <c r="E29" i="59" s="1"/>
  <c r="F29" i="59" s="1"/>
  <c r="C30" i="59"/>
  <c r="D30" i="59" s="1"/>
  <c r="E30" i="59" s="1"/>
  <c r="F30" i="59" s="1"/>
  <c r="C31" i="59"/>
  <c r="D31" i="59" s="1"/>
  <c r="C32" i="59"/>
  <c r="D32" i="59" s="1"/>
  <c r="C33" i="59"/>
  <c r="D33" i="59" s="1"/>
  <c r="E33" i="59" s="1"/>
  <c r="F33" i="59" s="1"/>
  <c r="C34" i="59"/>
  <c r="D34" i="59" s="1"/>
  <c r="E34" i="59" s="1"/>
  <c r="F34" i="59" s="1"/>
  <c r="C35" i="59"/>
  <c r="D35" i="59" s="1"/>
  <c r="E35" i="59" s="1"/>
  <c r="F35" i="59" s="1"/>
  <c r="C36" i="59"/>
  <c r="D36" i="59" s="1"/>
  <c r="E36" i="59" s="1"/>
  <c r="F36" i="59" s="1"/>
  <c r="C37" i="59"/>
  <c r="D37" i="59" s="1"/>
  <c r="E37" i="59" s="1"/>
  <c r="F37" i="59" s="1"/>
  <c r="C38" i="59"/>
  <c r="D38" i="59" s="1"/>
  <c r="E38" i="59" s="1"/>
  <c r="F38" i="59" s="1"/>
  <c r="C39" i="59"/>
  <c r="D39" i="59" s="1"/>
  <c r="C40" i="59"/>
  <c r="D40" i="59" s="1"/>
  <c r="C41" i="59"/>
  <c r="D41" i="59" s="1"/>
  <c r="E41" i="59" s="1"/>
  <c r="F41" i="59" s="1"/>
  <c r="C42" i="59"/>
  <c r="D42" i="59" s="1"/>
  <c r="E42" i="59" s="1"/>
  <c r="F42" i="59" s="1"/>
  <c r="C43" i="59"/>
  <c r="D43" i="59" s="1"/>
  <c r="E43" i="59" s="1"/>
  <c r="F43" i="59" s="1"/>
  <c r="C44" i="59"/>
  <c r="D44" i="59" s="1"/>
  <c r="E44" i="59" s="1"/>
  <c r="F44" i="59" s="1"/>
  <c r="C45" i="59"/>
  <c r="D45" i="59" s="1"/>
  <c r="E45" i="59" s="1"/>
  <c r="F45" i="59" s="1"/>
  <c r="C46" i="59"/>
  <c r="D46" i="59" s="1"/>
  <c r="E46" i="59" s="1"/>
  <c r="F46" i="59" s="1"/>
  <c r="C47" i="59"/>
  <c r="D47" i="59" s="1"/>
  <c r="C48" i="59"/>
  <c r="D48" i="59" s="1"/>
  <c r="E48" i="59" s="1"/>
  <c r="F48" i="59" s="1"/>
  <c r="C49" i="59"/>
  <c r="D49" i="59" s="1"/>
  <c r="E49" i="59" s="1"/>
  <c r="F49" i="59" s="1"/>
  <c r="C50" i="59"/>
  <c r="D50" i="59" s="1"/>
  <c r="E50" i="59" s="1"/>
  <c r="F50" i="59" s="1"/>
  <c r="C51" i="59"/>
  <c r="D51" i="59" s="1"/>
  <c r="E51" i="59" s="1"/>
  <c r="F51" i="59" s="1"/>
  <c r="C52" i="59"/>
  <c r="D52" i="59" s="1"/>
  <c r="E52" i="59" s="1"/>
  <c r="F52" i="59" s="1"/>
  <c r="C53" i="59"/>
  <c r="D53" i="59" s="1"/>
  <c r="E53" i="59" s="1"/>
  <c r="F53" i="59" s="1"/>
  <c r="C54" i="59"/>
  <c r="D54" i="59" s="1"/>
  <c r="E54" i="59" s="1"/>
  <c r="F54" i="59" s="1"/>
  <c r="C55" i="59"/>
  <c r="D55" i="59" s="1"/>
  <c r="C56" i="59"/>
  <c r="D56" i="59" s="1"/>
  <c r="C57" i="59"/>
  <c r="D57" i="59" s="1"/>
  <c r="E57" i="59" s="1"/>
  <c r="F57" i="59" s="1"/>
  <c r="C58" i="59"/>
  <c r="D58" i="59" s="1"/>
  <c r="E58" i="59" s="1"/>
  <c r="F58" i="59" s="1"/>
  <c r="C59" i="59"/>
  <c r="D59" i="59" s="1"/>
  <c r="E59" i="59" s="1"/>
  <c r="F59" i="59" s="1"/>
  <c r="C60" i="59"/>
  <c r="D60" i="59" s="1"/>
  <c r="E60" i="59" s="1"/>
  <c r="F60" i="59" s="1"/>
  <c r="C61" i="59"/>
  <c r="D61" i="59" s="1"/>
  <c r="E61" i="59" s="1"/>
  <c r="F61" i="59" s="1"/>
  <c r="C62" i="59"/>
  <c r="D62" i="59" s="1"/>
  <c r="E62" i="59" s="1"/>
  <c r="F62" i="59" s="1"/>
  <c r="C63" i="59"/>
  <c r="D63" i="59" s="1"/>
  <c r="C64" i="59"/>
  <c r="D64" i="59" s="1"/>
  <c r="C65" i="59"/>
  <c r="D65" i="59" s="1"/>
  <c r="E65" i="59" s="1"/>
  <c r="F65" i="59" s="1"/>
  <c r="C66" i="59"/>
  <c r="D66" i="59" s="1"/>
  <c r="E66" i="59" s="1"/>
  <c r="F66" i="59" s="1"/>
  <c r="C67" i="59"/>
  <c r="D67" i="59" s="1"/>
  <c r="E67" i="59" s="1"/>
  <c r="F67" i="59" s="1"/>
  <c r="C68" i="59"/>
  <c r="D68" i="59" s="1"/>
  <c r="E68" i="59" s="1"/>
  <c r="F68" i="59" s="1"/>
  <c r="C69" i="59"/>
  <c r="D69" i="59" s="1"/>
  <c r="E69" i="59" s="1"/>
  <c r="F69" i="59" s="1"/>
  <c r="C70" i="59"/>
  <c r="D70" i="59" s="1"/>
  <c r="E70" i="59" s="1"/>
  <c r="F70" i="59" s="1"/>
  <c r="C71" i="59"/>
  <c r="D71" i="59" s="1"/>
  <c r="C72" i="59"/>
  <c r="D72" i="59" s="1"/>
  <c r="E72" i="59" s="1"/>
  <c r="F72" i="59" s="1"/>
  <c r="C73" i="59"/>
  <c r="D73" i="59" s="1"/>
  <c r="E73" i="59" s="1"/>
  <c r="F73" i="59" s="1"/>
  <c r="C74" i="59"/>
  <c r="D74" i="59" s="1"/>
  <c r="E74" i="59" s="1"/>
  <c r="F74" i="59" s="1"/>
  <c r="C75" i="59"/>
  <c r="D75" i="59" s="1"/>
  <c r="E75" i="59" s="1"/>
  <c r="F75" i="59" s="1"/>
  <c r="C76" i="59"/>
  <c r="D76" i="59" s="1"/>
  <c r="E76" i="59" s="1"/>
  <c r="F76" i="59" s="1"/>
  <c r="C77" i="59"/>
  <c r="D77" i="59" s="1"/>
  <c r="E77" i="59" s="1"/>
  <c r="F77" i="59" s="1"/>
  <c r="C78" i="59"/>
  <c r="D78" i="59" s="1"/>
  <c r="E78" i="59" s="1"/>
  <c r="F78" i="59" s="1"/>
  <c r="C79" i="59"/>
  <c r="D79" i="59" s="1"/>
  <c r="C80" i="59"/>
  <c r="D80" i="59" s="1"/>
  <c r="E80" i="59" s="1"/>
  <c r="F80" i="59" s="1"/>
  <c r="C81" i="59"/>
  <c r="D81" i="59" s="1"/>
  <c r="E81" i="59" s="1"/>
  <c r="F81" i="59" s="1"/>
  <c r="C82" i="59"/>
  <c r="D82" i="59" s="1"/>
  <c r="E82" i="59" s="1"/>
  <c r="F82" i="59" s="1"/>
  <c r="C83" i="59"/>
  <c r="D83" i="59" s="1"/>
  <c r="E83" i="59" s="1"/>
  <c r="F83" i="59" s="1"/>
  <c r="C84" i="59"/>
  <c r="D84" i="59" s="1"/>
  <c r="E84" i="59" s="1"/>
  <c r="F84" i="59" s="1"/>
  <c r="C85" i="59"/>
  <c r="D85" i="59" s="1"/>
  <c r="E85" i="59" s="1"/>
  <c r="F85" i="59" s="1"/>
  <c r="C86" i="59"/>
  <c r="D86" i="59" s="1"/>
  <c r="E86" i="59" s="1"/>
  <c r="F86" i="59" s="1"/>
  <c r="C87" i="59"/>
  <c r="D87" i="59" s="1"/>
  <c r="C88" i="59"/>
  <c r="D88" i="59" s="1"/>
  <c r="C89" i="59"/>
  <c r="D89" i="59" s="1"/>
  <c r="E89" i="59" s="1"/>
  <c r="F89" i="59" s="1"/>
  <c r="C90" i="59"/>
  <c r="D90" i="59" s="1"/>
  <c r="E90" i="59" s="1"/>
  <c r="F90" i="59" s="1"/>
  <c r="C91" i="59"/>
  <c r="D91" i="59" s="1"/>
  <c r="E91" i="59" s="1"/>
  <c r="F91" i="59" s="1"/>
  <c r="C92" i="59"/>
  <c r="D92" i="59" s="1"/>
  <c r="E92" i="59" s="1"/>
  <c r="F92" i="59" s="1"/>
  <c r="C93" i="59"/>
  <c r="D93" i="59" s="1"/>
  <c r="E93" i="59" s="1"/>
  <c r="F93" i="59" s="1"/>
  <c r="C94" i="59"/>
  <c r="D94" i="59" s="1"/>
  <c r="E94" i="59" s="1"/>
  <c r="F94" i="59" s="1"/>
  <c r="C95" i="59"/>
  <c r="D95" i="59" s="1"/>
  <c r="C96" i="59"/>
  <c r="D96" i="59" s="1"/>
  <c r="E96" i="59" s="1"/>
  <c r="F96" i="59" s="1"/>
  <c r="C97" i="59"/>
  <c r="D97" i="59" s="1"/>
  <c r="E97" i="59" s="1"/>
  <c r="F97" i="59" s="1"/>
  <c r="C98" i="59"/>
  <c r="D98" i="59" s="1"/>
  <c r="E98" i="59" s="1"/>
  <c r="F98" i="59" s="1"/>
  <c r="C99" i="59"/>
  <c r="D99" i="59" s="1"/>
  <c r="E99" i="59" s="1"/>
  <c r="F99" i="59" s="1"/>
  <c r="C100" i="59"/>
  <c r="D100" i="59" s="1"/>
  <c r="E100" i="59" s="1"/>
  <c r="F100" i="59" s="1"/>
  <c r="C101" i="59"/>
  <c r="D101" i="59" s="1"/>
  <c r="E101" i="59" s="1"/>
  <c r="F101" i="59" s="1"/>
  <c r="C102" i="59"/>
  <c r="D102" i="59" s="1"/>
  <c r="E102" i="59" s="1"/>
  <c r="F102" i="59" s="1"/>
  <c r="C103" i="59"/>
  <c r="D103" i="59" s="1"/>
  <c r="C104" i="59"/>
  <c r="D104" i="59" s="1"/>
  <c r="E104" i="59" s="1"/>
  <c r="F104" i="59" s="1"/>
  <c r="C105" i="59"/>
  <c r="D105" i="59" s="1"/>
  <c r="E105" i="59" s="1"/>
  <c r="F105" i="59" s="1"/>
  <c r="C106" i="59"/>
  <c r="D106" i="59" s="1"/>
  <c r="E106" i="59" s="1"/>
  <c r="F106" i="59" s="1"/>
  <c r="C107" i="59"/>
  <c r="D107" i="59" s="1"/>
  <c r="E107" i="59" s="1"/>
  <c r="F107" i="59" s="1"/>
  <c r="C108" i="59"/>
  <c r="D108" i="59" s="1"/>
  <c r="E108" i="59" s="1"/>
  <c r="F108" i="59" s="1"/>
  <c r="C109" i="59"/>
  <c r="D109" i="59" s="1"/>
  <c r="E109" i="59" s="1"/>
  <c r="F109" i="59" s="1"/>
  <c r="C110" i="59"/>
  <c r="D110" i="59" s="1"/>
  <c r="E110" i="59" s="1"/>
  <c r="F110" i="59" s="1"/>
  <c r="C111" i="59"/>
  <c r="D111" i="59" s="1"/>
  <c r="C112" i="59"/>
  <c r="D112" i="59" s="1"/>
  <c r="E112" i="59" s="1"/>
  <c r="F112" i="59" s="1"/>
  <c r="C113" i="59"/>
  <c r="D113" i="59" s="1"/>
  <c r="E113" i="59" s="1"/>
  <c r="F113" i="59" s="1"/>
  <c r="C114" i="59"/>
  <c r="D114" i="59" s="1"/>
  <c r="E114" i="59" s="1"/>
  <c r="F114" i="59" s="1"/>
  <c r="C115" i="59"/>
  <c r="D115" i="59" s="1"/>
  <c r="E115" i="59" s="1"/>
  <c r="F115" i="59" s="1"/>
  <c r="C116" i="59"/>
  <c r="D116" i="59" s="1"/>
  <c r="E116" i="59" s="1"/>
  <c r="F116" i="59" s="1"/>
  <c r="C117" i="59"/>
  <c r="D117" i="59" s="1"/>
  <c r="E117" i="59" s="1"/>
  <c r="F117" i="59" s="1"/>
  <c r="C118" i="59"/>
  <c r="D118" i="59" s="1"/>
  <c r="E118" i="59" s="1"/>
  <c r="F118" i="59" s="1"/>
  <c r="C119" i="59"/>
  <c r="D119" i="59" s="1"/>
  <c r="C120" i="59"/>
  <c r="D120" i="59" s="1"/>
  <c r="E120" i="59" s="1"/>
  <c r="F120" i="59" s="1"/>
  <c r="C121" i="59"/>
  <c r="D121" i="59" s="1"/>
  <c r="E121" i="59" s="1"/>
  <c r="F121" i="59" s="1"/>
  <c r="C12" i="59"/>
  <c r="D12" i="59" s="1"/>
  <c r="E12" i="59" s="1"/>
  <c r="F12" i="59" s="1"/>
  <c r="A163" i="53"/>
  <c r="B43" i="39"/>
  <c r="M59" i="68"/>
  <c r="M58" i="68"/>
  <c r="L67" i="68"/>
  <c r="L66" i="68"/>
  <c r="L65" i="68"/>
  <c r="L64" i="68"/>
  <c r="L63" i="68"/>
  <c r="L62" i="68"/>
  <c r="L61" i="68"/>
  <c r="L60" i="68"/>
  <c r="L59" i="68"/>
  <c r="L58" i="68"/>
  <c r="M80" i="68"/>
  <c r="L80" i="68"/>
  <c r="M79" i="68"/>
  <c r="L79" i="68"/>
  <c r="N79" i="68" s="1"/>
  <c r="M78" i="68"/>
  <c r="L78" i="68"/>
  <c r="M77" i="68"/>
  <c r="L77" i="68"/>
  <c r="M76" i="68"/>
  <c r="L76" i="68"/>
  <c r="M75" i="68"/>
  <c r="L75" i="68"/>
  <c r="M74" i="68"/>
  <c r="L74" i="68"/>
  <c r="M73" i="68"/>
  <c r="L73" i="68"/>
  <c r="M72" i="68"/>
  <c r="L72" i="68"/>
  <c r="M71" i="68"/>
  <c r="L71" i="68"/>
  <c r="M67" i="68"/>
  <c r="M66" i="68"/>
  <c r="M65" i="68"/>
  <c r="M64" i="68"/>
  <c r="M63" i="68"/>
  <c r="M62" i="68"/>
  <c r="M61" i="68"/>
  <c r="N61" i="68" s="1"/>
  <c r="M60" i="68"/>
  <c r="N60" i="68" s="1"/>
  <c r="D58" i="67"/>
  <c r="E58" i="67" s="1"/>
  <c r="D59" i="67"/>
  <c r="E59" i="67" s="1"/>
  <c r="D60" i="67"/>
  <c r="E60" i="67" s="1"/>
  <c r="D61" i="67"/>
  <c r="E61" i="67" s="1"/>
  <c r="D62" i="67"/>
  <c r="E62" i="67" s="1"/>
  <c r="D63" i="67"/>
  <c r="E63" i="67" s="1"/>
  <c r="D64" i="67"/>
  <c r="E64" i="67" s="1"/>
  <c r="D65" i="67"/>
  <c r="E65" i="67" s="1"/>
  <c r="D57" i="67"/>
  <c r="E57" i="67" s="1"/>
  <c r="D46" i="67"/>
  <c r="E46" i="67"/>
  <c r="D47" i="67"/>
  <c r="E47" i="67" s="1"/>
  <c r="D48" i="67"/>
  <c r="E48" i="67" s="1"/>
  <c r="D49" i="67"/>
  <c r="E49" i="67" s="1"/>
  <c r="D50" i="67"/>
  <c r="E50" i="67"/>
  <c r="D51" i="67"/>
  <c r="E51" i="67" s="1"/>
  <c r="D52" i="67"/>
  <c r="E52" i="67" s="1"/>
  <c r="D30" i="67"/>
  <c r="E30" i="67" s="1"/>
  <c r="D31" i="67"/>
  <c r="E31" i="67" s="1"/>
  <c r="D32" i="67"/>
  <c r="E32" i="67" s="1"/>
  <c r="D33" i="67"/>
  <c r="E33" i="67" s="1"/>
  <c r="D34" i="67"/>
  <c r="E34" i="67"/>
  <c r="D35" i="67"/>
  <c r="E35" i="67" s="1"/>
  <c r="D36" i="67"/>
  <c r="E36" i="67" s="1"/>
  <c r="D37" i="67"/>
  <c r="E37" i="67" s="1"/>
  <c r="D38" i="67"/>
  <c r="E38" i="67"/>
  <c r="D23" i="67"/>
  <c r="E23" i="67" s="1"/>
  <c r="D22" i="67"/>
  <c r="E22" i="67" s="1"/>
  <c r="D56" i="67"/>
  <c r="E56" i="67" s="1"/>
  <c r="D45" i="67"/>
  <c r="E45" i="67" s="1"/>
  <c r="D44" i="67"/>
  <c r="E44" i="67" s="1"/>
  <c r="D43" i="67"/>
  <c r="E43" i="67" s="1"/>
  <c r="M44" i="68"/>
  <c r="L44" i="68"/>
  <c r="C38" i="68"/>
  <c r="C23" i="68"/>
  <c r="C22" i="68"/>
  <c r="D19" i="67"/>
  <c r="E19" i="67" s="1"/>
  <c r="M46" i="68"/>
  <c r="M45" i="68"/>
  <c r="M47" i="68"/>
  <c r="M48" i="68"/>
  <c r="M49" i="68"/>
  <c r="M50" i="68"/>
  <c r="M51" i="68"/>
  <c r="M52" i="68"/>
  <c r="M53" i="68"/>
  <c r="L45" i="68"/>
  <c r="N45" i="68" s="1"/>
  <c r="L46" i="68"/>
  <c r="N46" i="68" s="1"/>
  <c r="L47" i="68"/>
  <c r="L48" i="68"/>
  <c r="L49" i="68"/>
  <c r="L50" i="68"/>
  <c r="L51" i="68"/>
  <c r="L52" i="68"/>
  <c r="L53" i="68"/>
  <c r="F39" i="68"/>
  <c r="F38" i="68"/>
  <c r="C39" i="68"/>
  <c r="C40" i="68" s="1"/>
  <c r="D21" i="67"/>
  <c r="E21" i="67" s="1"/>
  <c r="D20" i="67"/>
  <c r="E20" i="67" s="1"/>
  <c r="D28" i="67"/>
  <c r="E28" i="67"/>
  <c r="D29" i="67"/>
  <c r="E29" i="67" s="1"/>
  <c r="D27" i="67"/>
  <c r="E27" i="67" s="1"/>
  <c r="C15" i="67"/>
  <c r="D15" i="67" s="1"/>
  <c r="N51" i="68"/>
  <c r="E13" i="65"/>
  <c r="E12" i="65"/>
  <c r="E11" i="65"/>
  <c r="E10" i="65"/>
  <c r="E14" i="65"/>
  <c r="E50" i="23"/>
  <c r="F50" i="23" s="1"/>
  <c r="E51" i="23"/>
  <c r="F51" i="23" s="1"/>
  <c r="E52" i="23"/>
  <c r="F52" i="23" s="1"/>
  <c r="E53" i="23"/>
  <c r="F53" i="23" s="1"/>
  <c r="E54" i="23"/>
  <c r="F54" i="23" s="1"/>
  <c r="E55" i="23"/>
  <c r="F55" i="23" s="1"/>
  <c r="E56" i="23"/>
  <c r="F56" i="23" s="1"/>
  <c r="E57" i="23"/>
  <c r="F57" i="23" s="1"/>
  <c r="E58" i="23"/>
  <c r="F58" i="23" s="1"/>
  <c r="E59" i="23"/>
  <c r="F59" i="23" s="1"/>
  <c r="E49" i="23"/>
  <c r="F49" i="23" s="1"/>
  <c r="E45" i="65"/>
  <c r="E44" i="65"/>
  <c r="E43" i="65"/>
  <c r="E42" i="65"/>
  <c r="E41" i="65"/>
  <c r="E40" i="65"/>
  <c r="E39" i="65"/>
  <c r="E38" i="65"/>
  <c r="E37" i="65"/>
  <c r="E31" i="65"/>
  <c r="E29" i="65"/>
  <c r="E27" i="65"/>
  <c r="E25" i="65"/>
  <c r="E22" i="65"/>
  <c r="E21" i="65"/>
  <c r="E20" i="65"/>
  <c r="E19" i="65"/>
  <c r="E18" i="65"/>
  <c r="E17" i="65"/>
  <c r="H35" i="62"/>
  <c r="H36" i="62"/>
  <c r="H37" i="62"/>
  <c r="H38" i="62"/>
  <c r="H39" i="62"/>
  <c r="H40" i="62"/>
  <c r="H41" i="62"/>
  <c r="H42" i="62"/>
  <c r="H43" i="62"/>
  <c r="H44" i="62"/>
  <c r="K28" i="62"/>
  <c r="H19" i="62"/>
  <c r="H20" i="62"/>
  <c r="H21" i="62"/>
  <c r="H22" i="62"/>
  <c r="H23" i="62"/>
  <c r="H24" i="62"/>
  <c r="H25" i="62"/>
  <c r="H26" i="62"/>
  <c r="H27" i="62"/>
  <c r="K233" i="64"/>
  <c r="H221" i="64"/>
  <c r="H222" i="64"/>
  <c r="H223" i="64"/>
  <c r="H224" i="64"/>
  <c r="H225" i="64"/>
  <c r="H226" i="64"/>
  <c r="H227" i="64"/>
  <c r="H228" i="64"/>
  <c r="H229" i="64"/>
  <c r="H230" i="64"/>
  <c r="H231" i="64"/>
  <c r="J177" i="64"/>
  <c r="H165" i="64"/>
  <c r="H166" i="64"/>
  <c r="H167" i="64"/>
  <c r="H168" i="64"/>
  <c r="H169" i="64"/>
  <c r="H170" i="64"/>
  <c r="H171" i="64"/>
  <c r="H172" i="64"/>
  <c r="H173" i="64"/>
  <c r="H174" i="64"/>
  <c r="L120" i="64"/>
  <c r="K41" i="64"/>
  <c r="I41" i="64"/>
  <c r="J41" i="64"/>
  <c r="L41" i="64"/>
  <c r="H19" i="64"/>
  <c r="H33" i="64"/>
  <c r="H34" i="64"/>
  <c r="H36" i="64"/>
  <c r="H37" i="64"/>
  <c r="H38" i="64"/>
  <c r="H39" i="64"/>
  <c r="H40" i="64"/>
  <c r="H148" i="53"/>
  <c r="N148" i="53" s="1"/>
  <c r="H147" i="53"/>
  <c r="N147" i="53" s="1"/>
  <c r="H146" i="53"/>
  <c r="N146" i="53" s="1"/>
  <c r="L149" i="53"/>
  <c r="H109" i="53"/>
  <c r="H110" i="53"/>
  <c r="N110" i="53" s="1"/>
  <c r="H111" i="53"/>
  <c r="N111" i="53" s="1"/>
  <c r="H112" i="53"/>
  <c r="H113" i="53"/>
  <c r="N113" i="53" s="1"/>
  <c r="H114" i="53"/>
  <c r="N114" i="53" s="1"/>
  <c r="H139" i="53"/>
  <c r="N139" i="53" s="1"/>
  <c r="H140" i="53"/>
  <c r="N140" i="53" s="1"/>
  <c r="H141" i="53"/>
  <c r="N141" i="53" s="1"/>
  <c r="H142" i="53"/>
  <c r="N142" i="53" s="1"/>
  <c r="H143" i="53"/>
  <c r="N143" i="53" s="1"/>
  <c r="H144" i="53"/>
  <c r="N144" i="53" s="1"/>
  <c r="H145" i="53"/>
  <c r="N145" i="53" s="1"/>
  <c r="N93" i="53"/>
  <c r="N92" i="53"/>
  <c r="N91" i="53"/>
  <c r="N90" i="53"/>
  <c r="N65" i="53"/>
  <c r="N94" i="53"/>
  <c r="N96" i="53"/>
  <c r="N97" i="53"/>
  <c r="N98" i="53"/>
  <c r="L61" i="53"/>
  <c r="H112" i="26"/>
  <c r="H113" i="26"/>
  <c r="H114" i="26"/>
  <c r="H115" i="26"/>
  <c r="H116" i="26"/>
  <c r="H117" i="26"/>
  <c r="H118" i="26"/>
  <c r="H119" i="26"/>
  <c r="H120" i="26"/>
  <c r="H121" i="26"/>
  <c r="H122" i="26"/>
  <c r="H123" i="26"/>
  <c r="H124" i="26"/>
  <c r="H125" i="26"/>
  <c r="H73" i="26"/>
  <c r="H74" i="26"/>
  <c r="H75" i="26"/>
  <c r="H76" i="26"/>
  <c r="H77" i="26"/>
  <c r="H78" i="26"/>
  <c r="D103" i="25"/>
  <c r="D99" i="25"/>
  <c r="D93" i="25"/>
  <c r="D91" i="25"/>
  <c r="D87" i="25"/>
  <c r="D68" i="25"/>
  <c r="D35" i="25"/>
  <c r="D31" i="25"/>
  <c r="E26" i="65"/>
  <c r="N95" i="53"/>
  <c r="D26" i="25"/>
  <c r="D25" i="25"/>
  <c r="E34" i="65"/>
  <c r="E30" i="65"/>
  <c r="E33" i="65"/>
  <c r="E32" i="65"/>
  <c r="E28" i="65"/>
  <c r="D53" i="38"/>
  <c r="E53" i="38" s="1"/>
  <c r="E15" i="59"/>
  <c r="F15" i="59" s="1"/>
  <c r="E23" i="59"/>
  <c r="F23" i="59" s="1"/>
  <c r="E24" i="59"/>
  <c r="F24" i="59" s="1"/>
  <c r="E31" i="59"/>
  <c r="F31" i="59" s="1"/>
  <c r="E32" i="59"/>
  <c r="F32" i="59" s="1"/>
  <c r="E39" i="59"/>
  <c r="F39" i="59" s="1"/>
  <c r="E40" i="59"/>
  <c r="F40" i="59" s="1"/>
  <c r="E47" i="59"/>
  <c r="F47" i="59" s="1"/>
  <c r="E55" i="59"/>
  <c r="F55" i="59" s="1"/>
  <c r="E56" i="59"/>
  <c r="F56" i="59" s="1"/>
  <c r="E63" i="59"/>
  <c r="F63" i="59" s="1"/>
  <c r="E64" i="59"/>
  <c r="F64" i="59" s="1"/>
  <c r="E71" i="59"/>
  <c r="F71" i="59" s="1"/>
  <c r="E79" i="59"/>
  <c r="F79" i="59" s="1"/>
  <c r="E87" i="59"/>
  <c r="F87" i="59" s="1"/>
  <c r="E88" i="59"/>
  <c r="F88" i="59" s="1"/>
  <c r="E95" i="59"/>
  <c r="F95" i="59" s="1"/>
  <c r="E103" i="59"/>
  <c r="F103" i="59" s="1"/>
  <c r="E111" i="59"/>
  <c r="F111" i="59"/>
  <c r="E119" i="59"/>
  <c r="F119" i="59"/>
  <c r="J22" i="39"/>
  <c r="I20" i="39"/>
  <c r="H17" i="39"/>
  <c r="E16" i="39"/>
  <c r="G16" i="39"/>
  <c r="F24" i="39"/>
  <c r="F25" i="39" s="1"/>
  <c r="C21" i="39"/>
  <c r="G44" i="57"/>
  <c r="E44" i="57"/>
  <c r="C44" i="57"/>
  <c r="G43" i="57"/>
  <c r="E43" i="57"/>
  <c r="C43" i="57"/>
  <c r="G42" i="57"/>
  <c r="E42" i="57"/>
  <c r="C42" i="57"/>
  <c r="G41" i="57"/>
  <c r="E41" i="57"/>
  <c r="C41" i="57"/>
  <c r="G40" i="57"/>
  <c r="E40" i="57"/>
  <c r="C40" i="57"/>
  <c r="G39" i="57"/>
  <c r="E39" i="57"/>
  <c r="C39" i="57"/>
  <c r="G38" i="57"/>
  <c r="E38" i="57"/>
  <c r="C38" i="57"/>
  <c r="G33" i="57"/>
  <c r="E33" i="57"/>
  <c r="C33" i="57"/>
  <c r="G32" i="57"/>
  <c r="E32" i="57"/>
  <c r="C32" i="57"/>
  <c r="G31" i="57"/>
  <c r="E31" i="57"/>
  <c r="C31" i="57"/>
  <c r="G30" i="57"/>
  <c r="E30" i="57"/>
  <c r="C30" i="57"/>
  <c r="G29" i="57"/>
  <c r="E29" i="57"/>
  <c r="C29" i="57"/>
  <c r="G28" i="57"/>
  <c r="E28" i="57"/>
  <c r="C28" i="57"/>
  <c r="G27" i="57"/>
  <c r="E27" i="57"/>
  <c r="C27" i="57"/>
  <c r="G22" i="57"/>
  <c r="G21" i="57"/>
  <c r="G20" i="57"/>
  <c r="G19" i="57"/>
  <c r="G18" i="57"/>
  <c r="G17" i="57"/>
  <c r="G16" i="57"/>
  <c r="E22" i="57"/>
  <c r="E21" i="57"/>
  <c r="E20" i="57"/>
  <c r="E19" i="57"/>
  <c r="E18" i="57"/>
  <c r="E17" i="57"/>
  <c r="E16" i="57"/>
  <c r="C17" i="57"/>
  <c r="C18" i="57"/>
  <c r="C19" i="57"/>
  <c r="C20" i="57"/>
  <c r="C21" i="57"/>
  <c r="C22" i="57"/>
  <c r="C16" i="57"/>
  <c r="D94" i="56"/>
  <c r="D95" i="56"/>
  <c r="D90" i="56"/>
  <c r="D91" i="56" s="1"/>
  <c r="D86" i="56"/>
  <c r="D87" i="56" s="1"/>
  <c r="D82" i="56"/>
  <c r="D83" i="56" s="1"/>
  <c r="D78" i="56"/>
  <c r="D79" i="56" s="1"/>
  <c r="D74" i="56"/>
  <c r="D75" i="56" s="1"/>
  <c r="D70" i="56"/>
  <c r="D71" i="56" s="1"/>
  <c r="D66" i="56"/>
  <c r="D67" i="56" s="1"/>
  <c r="D62" i="56"/>
  <c r="D63" i="56" s="1"/>
  <c r="D58" i="56"/>
  <c r="D59" i="56"/>
  <c r="D54" i="56"/>
  <c r="D55" i="56" s="1"/>
  <c r="D50" i="56"/>
  <c r="D51" i="56" s="1"/>
  <c r="D46" i="56"/>
  <c r="D47" i="56" s="1"/>
  <c r="D42" i="56"/>
  <c r="D43" i="56"/>
  <c r="D38" i="56"/>
  <c r="D39" i="56" s="1"/>
  <c r="D34" i="56"/>
  <c r="D35" i="56" s="1"/>
  <c r="D30" i="56"/>
  <c r="D31" i="56" s="1"/>
  <c r="D26" i="56"/>
  <c r="D27" i="56" s="1"/>
  <c r="D22" i="56"/>
  <c r="D23" i="56" s="1"/>
  <c r="D18" i="56"/>
  <c r="D19" i="56" s="1"/>
  <c r="D14" i="56"/>
  <c r="D15" i="56" s="1"/>
  <c r="C22" i="39"/>
  <c r="H20" i="39"/>
  <c r="J16" i="39"/>
  <c r="J26" i="39"/>
  <c r="J21" i="39"/>
  <c r="E17" i="39"/>
  <c r="I18" i="39"/>
  <c r="J20" i="39"/>
  <c r="E18" i="39"/>
  <c r="J18" i="39"/>
  <c r="F22" i="39"/>
  <c r="C18" i="39"/>
  <c r="E20" i="39"/>
  <c r="J17" i="39"/>
  <c r="H24" i="39"/>
  <c r="H25" i="39" s="1"/>
  <c r="H16" i="39"/>
  <c r="H18" i="39"/>
  <c r="E24" i="39"/>
  <c r="E25" i="39" s="1"/>
  <c r="E22" i="39"/>
  <c r="F17" i="39"/>
  <c r="D24" i="39"/>
  <c r="D25" i="39" s="1"/>
  <c r="D16" i="39"/>
  <c r="D20" i="39"/>
  <c r="D21" i="39"/>
  <c r="D22" i="39"/>
  <c r="F16" i="39"/>
  <c r="D17" i="39"/>
  <c r="D26" i="39"/>
  <c r="F21" i="39"/>
  <c r="F18" i="39"/>
  <c r="D18" i="39"/>
  <c r="J233" i="64"/>
  <c r="L233" i="64"/>
  <c r="I233" i="64"/>
  <c r="H220" i="64"/>
  <c r="H232" i="64"/>
  <c r="H179" i="64"/>
  <c r="K177" i="64"/>
  <c r="L177" i="64"/>
  <c r="H151" i="64"/>
  <c r="H175" i="64"/>
  <c r="H176" i="64"/>
  <c r="H122" i="64"/>
  <c r="J120" i="64"/>
  <c r="K120" i="64"/>
  <c r="I120" i="64"/>
  <c r="E242" i="64"/>
  <c r="E241" i="64"/>
  <c r="A240" i="64"/>
  <c r="A239" i="64"/>
  <c r="A238" i="64"/>
  <c r="A237" i="64"/>
  <c r="A236" i="64"/>
  <c r="D64" i="38"/>
  <c r="E64" i="38" s="1"/>
  <c r="D63" i="38"/>
  <c r="E63" i="38" s="1"/>
  <c r="D62" i="38"/>
  <c r="E62" i="38" s="1"/>
  <c r="D61" i="38"/>
  <c r="E61" i="38" s="1"/>
  <c r="D60" i="38"/>
  <c r="E60" i="38" s="1"/>
  <c r="D59" i="38"/>
  <c r="E59" i="38" s="1"/>
  <c r="D57" i="38"/>
  <c r="E57" i="38" s="1"/>
  <c r="D58" i="38"/>
  <c r="E58" i="38" s="1"/>
  <c r="D56" i="38"/>
  <c r="E56" i="38" s="1"/>
  <c r="D55" i="38"/>
  <c r="E55" i="38" s="1"/>
  <c r="D54" i="38"/>
  <c r="E54" i="38" s="1"/>
  <c r="I62" i="63"/>
  <c r="I63" i="63"/>
  <c r="I64" i="63"/>
  <c r="I65" i="63"/>
  <c r="I66" i="63"/>
  <c r="I61" i="63"/>
  <c r="I54" i="63"/>
  <c r="I55" i="63"/>
  <c r="I56" i="63"/>
  <c r="I57" i="63"/>
  <c r="I53" i="63"/>
  <c r="I42" i="63"/>
  <c r="I43" i="63"/>
  <c r="I44" i="63"/>
  <c r="I45" i="63"/>
  <c r="I46" i="63"/>
  <c r="I41" i="63"/>
  <c r="I34" i="63"/>
  <c r="I35" i="63"/>
  <c r="I36" i="63"/>
  <c r="I37" i="63"/>
  <c r="I22" i="63"/>
  <c r="I23" i="63"/>
  <c r="I24" i="63"/>
  <c r="I25" i="63"/>
  <c r="I26" i="63"/>
  <c r="I21" i="63"/>
  <c r="I14" i="63"/>
  <c r="I15" i="63"/>
  <c r="I16" i="63"/>
  <c r="I17" i="63"/>
  <c r="H16" i="64"/>
  <c r="I37" i="41"/>
  <c r="I38" i="41"/>
  <c r="I39" i="41"/>
  <c r="I36" i="41"/>
  <c r="I30" i="41"/>
  <c r="I33" i="41"/>
  <c r="I32" i="41"/>
  <c r="I31" i="41"/>
  <c r="I21" i="41"/>
  <c r="I22" i="41"/>
  <c r="I23" i="41"/>
  <c r="I24" i="41"/>
  <c r="I25" i="41"/>
  <c r="I26" i="41"/>
  <c r="I27" i="41"/>
  <c r="I20" i="41"/>
  <c r="I16" i="41"/>
  <c r="H32" i="62"/>
  <c r="L45" i="62" s="1"/>
  <c r="K45" i="62"/>
  <c r="K46" i="62" s="1"/>
  <c r="K51" i="62" s="1"/>
  <c r="J45" i="62"/>
  <c r="L28" i="62"/>
  <c r="J28" i="62"/>
  <c r="H18" i="62"/>
  <c r="H33" i="62"/>
  <c r="H34" i="62"/>
  <c r="H31" i="62"/>
  <c r="I45" i="62" s="1"/>
  <c r="E185" i="9"/>
  <c r="E186" i="9" s="1"/>
  <c r="L156" i="53"/>
  <c r="L157" i="53"/>
  <c r="A165" i="53"/>
  <c r="A164" i="53"/>
  <c r="K149" i="53"/>
  <c r="M149" i="53"/>
  <c r="K99" i="53"/>
  <c r="L99" i="53"/>
  <c r="K61" i="53"/>
  <c r="H108" i="53"/>
  <c r="N108" i="53" s="1"/>
  <c r="H107" i="53"/>
  <c r="N107" i="53" s="1"/>
  <c r="H106" i="53"/>
  <c r="N106" i="53" s="1"/>
  <c r="H105" i="53"/>
  <c r="H111" i="26"/>
  <c r="H56" i="26"/>
  <c r="J149" i="53"/>
  <c r="I12" i="41"/>
  <c r="I33" i="63"/>
  <c r="I13" i="63"/>
  <c r="H17" i="62"/>
  <c r="N105" i="53"/>
  <c r="M61" i="53"/>
  <c r="B27" i="39"/>
  <c r="F27" i="39" s="1"/>
  <c r="I14" i="41"/>
  <c r="M99" i="53"/>
  <c r="H55" i="26"/>
  <c r="I13" i="41"/>
  <c r="H18" i="64"/>
  <c r="H17" i="64"/>
  <c r="E47" i="23"/>
  <c r="F47" i="23" s="1"/>
  <c r="E48" i="23"/>
  <c r="F48" i="23" s="1"/>
  <c r="E12" i="23"/>
  <c r="F12" i="23" s="1"/>
  <c r="H91" i="26"/>
  <c r="H90" i="26"/>
  <c r="E13" i="23"/>
  <c r="J91" i="26" l="1"/>
  <c r="K91" i="26"/>
  <c r="J90" i="26"/>
  <c r="K90" i="26"/>
  <c r="O217" i="25"/>
  <c r="L217" i="25"/>
  <c r="P217" i="25"/>
  <c r="M217" i="25"/>
  <c r="N217" i="25"/>
  <c r="Q217" i="25"/>
  <c r="G209" i="25"/>
  <c r="G210" i="25" s="1"/>
  <c r="J217" i="25"/>
  <c r="H26" i="39"/>
  <c r="J24" i="39"/>
  <c r="J25" i="39" s="1"/>
  <c r="G26" i="39"/>
  <c r="G24" i="39"/>
  <c r="G25" i="39" s="1"/>
  <c r="G18" i="39"/>
  <c r="G20" i="39"/>
  <c r="Z209" i="25"/>
  <c r="Z217" i="25" s="1"/>
  <c r="U209" i="25"/>
  <c r="U217" i="25" s="1"/>
  <c r="AC209" i="25"/>
  <c r="AC217" i="25" s="1"/>
  <c r="X209" i="25"/>
  <c r="X217" i="25" s="1"/>
  <c r="S209" i="25"/>
  <c r="AA209" i="25"/>
  <c r="AA217" i="25" s="1"/>
  <c r="V209" i="25"/>
  <c r="Y209" i="25"/>
  <c r="Y217" i="25" s="1"/>
  <c r="T209" i="25"/>
  <c r="T217" i="25" s="1"/>
  <c r="AD209" i="25"/>
  <c r="AD217" i="25" s="1"/>
  <c r="AB209" i="25"/>
  <c r="W209" i="25"/>
  <c r="W217" i="25" s="1"/>
  <c r="N50" i="68"/>
  <c r="F20" i="39"/>
  <c r="E21" i="39"/>
  <c r="E26" i="39"/>
  <c r="I40" i="41"/>
  <c r="F26" i="39"/>
  <c r="F40" i="68"/>
  <c r="N44" i="68"/>
  <c r="N80" i="68"/>
  <c r="N53" i="68"/>
  <c r="L100" i="53"/>
  <c r="N48" i="68"/>
  <c r="N75" i="68"/>
  <c r="C24" i="39"/>
  <c r="C25" i="39" s="1"/>
  <c r="N76" i="68"/>
  <c r="F28" i="39"/>
  <c r="F29" i="39" s="1"/>
  <c r="F32" i="39" s="1"/>
  <c r="C17" i="39"/>
  <c r="C16" i="39"/>
  <c r="N73" i="68"/>
  <c r="N77" i="68"/>
  <c r="I236" i="64"/>
  <c r="I240" i="64" s="1"/>
  <c r="I58" i="63"/>
  <c r="C26" i="39"/>
  <c r="H21" i="39"/>
  <c r="C20" i="39"/>
  <c r="K265" i="76"/>
  <c r="B256" i="76" s="1"/>
  <c r="F13" i="23"/>
  <c r="F60" i="23" s="1"/>
  <c r="E60" i="23"/>
  <c r="H233" i="64"/>
  <c r="H41" i="64"/>
  <c r="N109" i="53"/>
  <c r="H149" i="53"/>
  <c r="L155" i="53"/>
  <c r="L158" i="53" s="1"/>
  <c r="J46" i="62"/>
  <c r="J51" i="62" s="1"/>
  <c r="I34" i="41"/>
  <c r="I67" i="63"/>
  <c r="N52" i="68"/>
  <c r="N49" i="68"/>
  <c r="N47" i="68"/>
  <c r="N71" i="68"/>
  <c r="N74" i="68"/>
  <c r="N78" i="68"/>
  <c r="N62" i="68"/>
  <c r="N63" i="68"/>
  <c r="N64" i="68"/>
  <c r="N65" i="68"/>
  <c r="N66" i="68"/>
  <c r="N67" i="68"/>
  <c r="H27" i="39"/>
  <c r="I38" i="63"/>
  <c r="I47" i="63"/>
  <c r="G22" i="39"/>
  <c r="I17" i="39"/>
  <c r="H22" i="39"/>
  <c r="H28" i="39" s="1"/>
  <c r="H29" i="39" s="1"/>
  <c r="G27" i="39"/>
  <c r="I17" i="41"/>
  <c r="G21" i="39"/>
  <c r="G17" i="39"/>
  <c r="D27" i="39"/>
  <c r="D28" i="39" s="1"/>
  <c r="D29" i="39" s="1"/>
  <c r="C24" i="68"/>
  <c r="E27" i="39"/>
  <c r="E28" i="39" s="1"/>
  <c r="E29" i="39" s="1"/>
  <c r="J27" i="39"/>
  <c r="J28" i="39" s="1"/>
  <c r="J29" i="39" s="1"/>
  <c r="C27" i="39"/>
  <c r="I28" i="41"/>
  <c r="I24" i="39"/>
  <c r="I25" i="39" s="1"/>
  <c r="I26" i="39"/>
  <c r="N58" i="68"/>
  <c r="N59" i="68"/>
  <c r="H120" i="64"/>
  <c r="I27" i="39"/>
  <c r="I27" i="63"/>
  <c r="I21" i="39"/>
  <c r="I16" i="39"/>
  <c r="N72" i="68"/>
  <c r="I18" i="63"/>
  <c r="K100" i="53"/>
  <c r="K155" i="53" s="1"/>
  <c r="K158" i="53" s="1"/>
  <c r="I22" i="39"/>
  <c r="E46" i="65"/>
  <c r="E35" i="65"/>
  <c r="E23" i="65"/>
  <c r="E15" i="65"/>
  <c r="H45" i="62"/>
  <c r="L46" i="62"/>
  <c r="L51" i="62" s="1"/>
  <c r="H28" i="62"/>
  <c r="I28" i="62"/>
  <c r="I46" i="62" s="1"/>
  <c r="H177" i="64"/>
  <c r="J236" i="64"/>
  <c r="J240" i="64" s="1"/>
  <c r="L236" i="64"/>
  <c r="L240" i="64" s="1"/>
  <c r="K236" i="64"/>
  <c r="K240" i="64" s="1"/>
  <c r="N112" i="53"/>
  <c r="J99" i="53"/>
  <c r="N63" i="53"/>
  <c r="N64" i="53"/>
  <c r="M100" i="53"/>
  <c r="M155" i="53" s="1"/>
  <c r="M158" i="53" s="1"/>
  <c r="N13" i="53"/>
  <c r="N12" i="53"/>
  <c r="H54" i="26"/>
  <c r="H61" i="53"/>
  <c r="H100" i="53" s="1"/>
  <c r="H52" i="26"/>
  <c r="E188" i="9" l="1"/>
  <c r="I108" i="26"/>
  <c r="H210" i="25"/>
  <c r="I210" i="25" s="1"/>
  <c r="J210" i="25" s="1"/>
  <c r="G28" i="39"/>
  <c r="G29" i="39" s="1"/>
  <c r="R217" i="25"/>
  <c r="I42" i="41"/>
  <c r="F13" i="39"/>
  <c r="F34" i="39" s="1"/>
  <c r="F33" i="39" s="1"/>
  <c r="F42" i="39" s="1"/>
  <c r="I68" i="63"/>
  <c r="AB217" i="25"/>
  <c r="S217" i="25"/>
  <c r="V217" i="25"/>
  <c r="H217" i="25"/>
  <c r="G217" i="25"/>
  <c r="I217" i="25"/>
  <c r="I28" i="63"/>
  <c r="I48" i="63"/>
  <c r="I43" i="41"/>
  <c r="I44" i="41"/>
  <c r="I45" i="41" s="1"/>
  <c r="C28" i="39"/>
  <c r="C29" i="39" s="1"/>
  <c r="C32" i="39" s="1"/>
  <c r="B15" i="76"/>
  <c r="B252" i="76"/>
  <c r="B251" i="76"/>
  <c r="B250" i="76"/>
  <c r="B249" i="76"/>
  <c r="B248" i="76"/>
  <c r="B246" i="76"/>
  <c r="B247" i="76"/>
  <c r="B253" i="76"/>
  <c r="B28" i="76"/>
  <c r="B196" i="76"/>
  <c r="B259" i="76"/>
  <c r="B16" i="76"/>
  <c r="B192" i="76"/>
  <c r="B188" i="76"/>
  <c r="B208" i="76"/>
  <c r="B200" i="76"/>
  <c r="B19" i="76"/>
  <c r="B23" i="76"/>
  <c r="B27" i="76"/>
  <c r="B31" i="76"/>
  <c r="B35" i="76"/>
  <c r="B39" i="76"/>
  <c r="B43" i="76"/>
  <c r="B47" i="76"/>
  <c r="B51" i="76"/>
  <c r="B55" i="76"/>
  <c r="B59" i="76"/>
  <c r="B63" i="76"/>
  <c r="B67" i="76"/>
  <c r="B71" i="76"/>
  <c r="B75" i="76"/>
  <c r="B79" i="76"/>
  <c r="B83" i="76"/>
  <c r="B87" i="76"/>
  <c r="B91" i="76"/>
  <c r="B95" i="76"/>
  <c r="B99" i="76"/>
  <c r="B103" i="76"/>
  <c r="B107" i="76"/>
  <c r="B111" i="76"/>
  <c r="B115" i="76"/>
  <c r="B119" i="76"/>
  <c r="B123" i="76"/>
  <c r="B127" i="76"/>
  <c r="B131" i="76"/>
  <c r="B135" i="76"/>
  <c r="B139" i="76"/>
  <c r="B143" i="76"/>
  <c r="B147" i="76"/>
  <c r="B151" i="76"/>
  <c r="B155" i="76"/>
  <c r="B159" i="76"/>
  <c r="B163" i="76"/>
  <c r="B167" i="76"/>
  <c r="B171" i="76"/>
  <c r="B175" i="76"/>
  <c r="B179" i="76"/>
  <c r="B183" i="76"/>
  <c r="B187" i="76"/>
  <c r="B191" i="76"/>
  <c r="B195" i="76"/>
  <c r="B199" i="76"/>
  <c r="B203" i="76"/>
  <c r="B207" i="76"/>
  <c r="B24" i="76"/>
  <c r="B32" i="76"/>
  <c r="B40" i="76"/>
  <c r="B48" i="76"/>
  <c r="B56" i="76"/>
  <c r="B64" i="76"/>
  <c r="B72" i="76"/>
  <c r="B80" i="76"/>
  <c r="B88" i="76"/>
  <c r="B96" i="76"/>
  <c r="B104" i="76"/>
  <c r="B112" i="76"/>
  <c r="B120" i="76"/>
  <c r="B128" i="76"/>
  <c r="B136" i="76"/>
  <c r="B144" i="76"/>
  <c r="B152" i="76"/>
  <c r="B160" i="76"/>
  <c r="B168" i="76"/>
  <c r="B176" i="76"/>
  <c r="B184" i="76"/>
  <c r="B20" i="76"/>
  <c r="B36" i="76"/>
  <c r="B44" i="76"/>
  <c r="B52" i="76"/>
  <c r="B60" i="76"/>
  <c r="B68" i="76"/>
  <c r="B76" i="76"/>
  <c r="B84" i="76"/>
  <c r="B92" i="76"/>
  <c r="B100" i="76"/>
  <c r="B108" i="76"/>
  <c r="B116" i="76"/>
  <c r="B124" i="76"/>
  <c r="B132" i="76"/>
  <c r="B140" i="76"/>
  <c r="B148" i="76"/>
  <c r="B156" i="76"/>
  <c r="B164" i="76"/>
  <c r="B172" i="76"/>
  <c r="B180" i="76"/>
  <c r="B204" i="76"/>
  <c r="B169" i="76"/>
  <c r="B102" i="76"/>
  <c r="B38" i="76"/>
  <c r="B165" i="76"/>
  <c r="B101" i="76"/>
  <c r="B37" i="76"/>
  <c r="B74" i="76"/>
  <c r="B129" i="76"/>
  <c r="B154" i="76"/>
  <c r="B158" i="76"/>
  <c r="B94" i="76"/>
  <c r="B30" i="76"/>
  <c r="B157" i="76"/>
  <c r="B93" i="76"/>
  <c r="B29" i="76"/>
  <c r="B130" i="76"/>
  <c r="B66" i="76"/>
  <c r="B201" i="76"/>
  <c r="B121" i="76"/>
  <c r="B57" i="76"/>
  <c r="B193" i="76"/>
  <c r="B150" i="76"/>
  <c r="B86" i="76"/>
  <c r="B22" i="76"/>
  <c r="B149" i="76"/>
  <c r="B85" i="76"/>
  <c r="B21" i="76"/>
  <c r="B122" i="76"/>
  <c r="B58" i="76"/>
  <c r="B185" i="76"/>
  <c r="B113" i="76"/>
  <c r="B49" i="76"/>
  <c r="B62" i="76"/>
  <c r="B25" i="76"/>
  <c r="B206" i="76"/>
  <c r="B142" i="76"/>
  <c r="B78" i="76"/>
  <c r="B186" i="76"/>
  <c r="B141" i="76"/>
  <c r="B77" i="76"/>
  <c r="B189" i="76"/>
  <c r="B114" i="76"/>
  <c r="B50" i="76"/>
  <c r="B177" i="76"/>
  <c r="B105" i="76"/>
  <c r="B41" i="76"/>
  <c r="B198" i="76"/>
  <c r="B134" i="76"/>
  <c r="B70" i="76"/>
  <c r="B205" i="76"/>
  <c r="B133" i="76"/>
  <c r="B69" i="76"/>
  <c r="B202" i="76"/>
  <c r="B106" i="76"/>
  <c r="B42" i="76"/>
  <c r="B161" i="76"/>
  <c r="B97" i="76"/>
  <c r="B33" i="76"/>
  <c r="B190" i="76"/>
  <c r="B126" i="76"/>
  <c r="B197" i="76"/>
  <c r="B125" i="76"/>
  <c r="B61" i="76"/>
  <c r="B194" i="76"/>
  <c r="B98" i="76"/>
  <c r="B34" i="76"/>
  <c r="B89" i="76"/>
  <c r="B153" i="76"/>
  <c r="B182" i="76"/>
  <c r="B118" i="76"/>
  <c r="B54" i="76"/>
  <c r="B181" i="76"/>
  <c r="B117" i="76"/>
  <c r="B53" i="76"/>
  <c r="B178" i="76"/>
  <c r="B90" i="76"/>
  <c r="B26" i="76"/>
  <c r="B145" i="76"/>
  <c r="B81" i="76"/>
  <c r="B17" i="76"/>
  <c r="B146" i="76"/>
  <c r="B174" i="76"/>
  <c r="B110" i="76"/>
  <c r="B46" i="76"/>
  <c r="B173" i="76"/>
  <c r="B109" i="76"/>
  <c r="B45" i="76"/>
  <c r="B162" i="76"/>
  <c r="B82" i="76"/>
  <c r="B18" i="76"/>
  <c r="B137" i="76"/>
  <c r="B73" i="76"/>
  <c r="B166" i="76"/>
  <c r="B138" i="76"/>
  <c r="B170" i="76"/>
  <c r="B65" i="76"/>
  <c r="H236" i="64"/>
  <c r="H155" i="53"/>
  <c r="L159" i="53"/>
  <c r="N149" i="53"/>
  <c r="I138" i="53"/>
  <c r="I120" i="53"/>
  <c r="I117" i="53"/>
  <c r="I129" i="53"/>
  <c r="I130" i="53"/>
  <c r="I123" i="53"/>
  <c r="I135" i="53"/>
  <c r="I118" i="53"/>
  <c r="I122" i="53"/>
  <c r="I134" i="53"/>
  <c r="I127" i="53"/>
  <c r="I137" i="53"/>
  <c r="I126" i="53"/>
  <c r="I119" i="53"/>
  <c r="I132" i="53"/>
  <c r="I121" i="53"/>
  <c r="I131" i="53"/>
  <c r="I124" i="53"/>
  <c r="I136" i="53"/>
  <c r="I133" i="53"/>
  <c r="I116" i="53"/>
  <c r="I128" i="53"/>
  <c r="I125" i="53"/>
  <c r="I115" i="53"/>
  <c r="D164" i="53"/>
  <c r="I148" i="53"/>
  <c r="I110" i="53"/>
  <c r="I118" i="26"/>
  <c r="I103" i="26"/>
  <c r="I101" i="26"/>
  <c r="I97" i="26"/>
  <c r="I105" i="26"/>
  <c r="I109" i="26"/>
  <c r="I95" i="26"/>
  <c r="I99" i="26"/>
  <c r="I107" i="26"/>
  <c r="I110" i="26"/>
  <c r="I106" i="26"/>
  <c r="I100" i="26"/>
  <c r="I102" i="26"/>
  <c r="I98" i="26"/>
  <c r="I94" i="26"/>
  <c r="I96" i="26"/>
  <c r="I104" i="26"/>
  <c r="I144" i="53"/>
  <c r="I146" i="53"/>
  <c r="I108" i="53"/>
  <c r="G32" i="39"/>
  <c r="G13" i="39"/>
  <c r="G34" i="39" s="1"/>
  <c r="E32" i="39"/>
  <c r="E13" i="39"/>
  <c r="E34" i="39" s="1"/>
  <c r="J32" i="39"/>
  <c r="J13" i="39"/>
  <c r="J34" i="39" s="1"/>
  <c r="D32" i="39"/>
  <c r="D13" i="39"/>
  <c r="D34" i="39" s="1"/>
  <c r="H32" i="39"/>
  <c r="H13" i="39"/>
  <c r="H34" i="39" s="1"/>
  <c r="I28" i="39"/>
  <c r="I29" i="39" s="1"/>
  <c r="I114" i="53"/>
  <c r="I143" i="53"/>
  <c r="B216" i="76"/>
  <c r="B224" i="76"/>
  <c r="B232" i="76"/>
  <c r="B240" i="76"/>
  <c r="B264" i="76"/>
  <c r="B217" i="76"/>
  <c r="B225" i="76"/>
  <c r="B241" i="76"/>
  <c r="B257" i="76"/>
  <c r="B230" i="76"/>
  <c r="B254" i="76"/>
  <c r="B209" i="76"/>
  <c r="B210" i="76"/>
  <c r="B218" i="76"/>
  <c r="B226" i="76"/>
  <c r="B234" i="76"/>
  <c r="B242" i="76"/>
  <c r="B258" i="76"/>
  <c r="B219" i="76"/>
  <c r="B227" i="76"/>
  <c r="B235" i="76"/>
  <c r="B243" i="76"/>
  <c r="B229" i="76"/>
  <c r="B261" i="76"/>
  <c r="B238" i="76"/>
  <c r="B211" i="76"/>
  <c r="B212" i="76"/>
  <c r="B220" i="76"/>
  <c r="B228" i="76"/>
  <c r="B236" i="76"/>
  <c r="B244" i="76"/>
  <c r="B260" i="76"/>
  <c r="B221" i="76"/>
  <c r="B237" i="76"/>
  <c r="B245" i="76"/>
  <c r="B222" i="76"/>
  <c r="B262" i="76"/>
  <c r="B213" i="76"/>
  <c r="B215" i="76"/>
  <c r="B223" i="76"/>
  <c r="B231" i="76"/>
  <c r="B239" i="76"/>
  <c r="B255" i="76"/>
  <c r="B263" i="76"/>
  <c r="B233" i="76"/>
  <c r="B214" i="76"/>
  <c r="H46" i="62"/>
  <c r="I48" i="62"/>
  <c r="I51" i="62" s="1"/>
  <c r="I142" i="53"/>
  <c r="I105" i="53"/>
  <c r="I107" i="53"/>
  <c r="I106" i="53"/>
  <c r="I140" i="53"/>
  <c r="I109" i="53"/>
  <c r="I113" i="53"/>
  <c r="I111" i="53"/>
  <c r="I145" i="53"/>
  <c r="I147" i="53"/>
  <c r="I141" i="53"/>
  <c r="I139" i="53"/>
  <c r="I112" i="53"/>
  <c r="I116" i="26"/>
  <c r="I114" i="26"/>
  <c r="I111" i="26"/>
  <c r="I125" i="26"/>
  <c r="I123" i="26"/>
  <c r="I117" i="26"/>
  <c r="I115" i="26"/>
  <c r="I112" i="26"/>
  <c r="I124" i="26"/>
  <c r="I120" i="26"/>
  <c r="I119" i="26"/>
  <c r="I113" i="26"/>
  <c r="I122" i="26"/>
  <c r="I121" i="26"/>
  <c r="N99" i="53"/>
  <c r="J61" i="53"/>
  <c r="H79" i="26"/>
  <c r="H80" i="26" s="1"/>
  <c r="I126" i="26" l="1"/>
  <c r="G218" i="25"/>
  <c r="H218" i="25" s="1"/>
  <c r="I218" i="25" s="1"/>
  <c r="J218" i="25" s="1"/>
  <c r="F43" i="39"/>
  <c r="F41" i="39"/>
  <c r="C34" i="39"/>
  <c r="I46" i="41"/>
  <c r="E33" i="39"/>
  <c r="D33" i="39"/>
  <c r="G33" i="39"/>
  <c r="G42" i="39" s="1"/>
  <c r="J33" i="39"/>
  <c r="J100" i="53"/>
  <c r="I70" i="63"/>
  <c r="I74" i="63" s="1"/>
  <c r="F44" i="39"/>
  <c r="F54" i="62"/>
  <c r="H51" i="62"/>
  <c r="C33" i="39"/>
  <c r="B520" i="76"/>
  <c r="C520" i="76" s="1"/>
  <c r="B512" i="76"/>
  <c r="C512" i="76" s="1"/>
  <c r="B504" i="76"/>
  <c r="B496" i="76"/>
  <c r="B488" i="76"/>
  <c r="B480" i="76"/>
  <c r="C480" i="76" s="1"/>
  <c r="B472" i="76"/>
  <c r="B464" i="76"/>
  <c r="B456" i="76"/>
  <c r="B448" i="76"/>
  <c r="B440" i="76"/>
  <c r="B432" i="76"/>
  <c r="B424" i="76"/>
  <c r="B416" i="76"/>
  <c r="B408" i="76"/>
  <c r="B400" i="76"/>
  <c r="B392" i="76"/>
  <c r="B384" i="76"/>
  <c r="B376" i="76"/>
  <c r="B368" i="76"/>
  <c r="B360" i="76"/>
  <c r="B352" i="76"/>
  <c r="B344" i="76"/>
  <c r="B336" i="76"/>
  <c r="B328" i="76"/>
  <c r="B320" i="76"/>
  <c r="B312" i="76"/>
  <c r="B304" i="76"/>
  <c r="B296" i="76"/>
  <c r="B288" i="76"/>
  <c r="B280" i="76"/>
  <c r="B272" i="76"/>
  <c r="B507" i="76"/>
  <c r="C507" i="76" s="1"/>
  <c r="B451" i="76"/>
  <c r="B403" i="76"/>
  <c r="B363" i="76"/>
  <c r="B323" i="76"/>
  <c r="B283" i="76"/>
  <c r="B490" i="76"/>
  <c r="B442" i="76"/>
  <c r="B394" i="76"/>
  <c r="B354" i="76"/>
  <c r="B314" i="76"/>
  <c r="B519" i="76"/>
  <c r="B511" i="76"/>
  <c r="B503" i="76"/>
  <c r="C503" i="76" s="1"/>
  <c r="B495" i="76"/>
  <c r="B487" i="76"/>
  <c r="B479" i="76"/>
  <c r="C479" i="76" s="1"/>
  <c r="B471" i="76"/>
  <c r="B463" i="76"/>
  <c r="B455" i="76"/>
  <c r="B447" i="76"/>
  <c r="B439" i="76"/>
  <c r="B431" i="76"/>
  <c r="B423" i="76"/>
  <c r="B415" i="76"/>
  <c r="B407" i="76"/>
  <c r="B399" i="76"/>
  <c r="B391" i="76"/>
  <c r="B383" i="76"/>
  <c r="B375" i="76"/>
  <c r="B367" i="76"/>
  <c r="B359" i="76"/>
  <c r="B351" i="76"/>
  <c r="B343" i="76"/>
  <c r="B335" i="76"/>
  <c r="B327" i="76"/>
  <c r="B319" i="76"/>
  <c r="B311" i="76"/>
  <c r="B303" i="76"/>
  <c r="B295" i="76"/>
  <c r="B287" i="76"/>
  <c r="B279" i="76"/>
  <c r="B271" i="76"/>
  <c r="B499" i="76"/>
  <c r="B459" i="76"/>
  <c r="B419" i="76"/>
  <c r="B379" i="76"/>
  <c r="B339" i="76"/>
  <c r="B291" i="76"/>
  <c r="B498" i="76"/>
  <c r="C498" i="76" s="1"/>
  <c r="B434" i="76"/>
  <c r="B386" i="76"/>
  <c r="B346" i="76"/>
  <c r="B298" i="76"/>
  <c r="B518" i="76"/>
  <c r="B510" i="76"/>
  <c r="B502" i="76"/>
  <c r="B494" i="76"/>
  <c r="C494" i="76" s="1"/>
  <c r="B486" i="76"/>
  <c r="B478" i="76"/>
  <c r="B470" i="76"/>
  <c r="B462" i="76"/>
  <c r="B454" i="76"/>
  <c r="B446" i="76"/>
  <c r="B438" i="76"/>
  <c r="B430" i="76"/>
  <c r="B422" i="76"/>
  <c r="B414" i="76"/>
  <c r="B406" i="76"/>
  <c r="B398" i="76"/>
  <c r="B390" i="76"/>
  <c r="B382" i="76"/>
  <c r="B374" i="76"/>
  <c r="B366" i="76"/>
  <c r="B358" i="76"/>
  <c r="B350" i="76"/>
  <c r="B342" i="76"/>
  <c r="B334" i="76"/>
  <c r="B326" i="76"/>
  <c r="B318" i="76"/>
  <c r="B310" i="76"/>
  <c r="B302" i="76"/>
  <c r="B294" i="76"/>
  <c r="B286" i="76"/>
  <c r="B278" i="76"/>
  <c r="B483" i="76"/>
  <c r="C483" i="76" s="1"/>
  <c r="B435" i="76"/>
  <c r="B395" i="76"/>
  <c r="B315" i="76"/>
  <c r="B506" i="76"/>
  <c r="B450" i="76"/>
  <c r="B402" i="76"/>
  <c r="B362" i="76"/>
  <c r="B306" i="76"/>
  <c r="B517" i="76"/>
  <c r="B509" i="76"/>
  <c r="B501" i="76"/>
  <c r="B493" i="76"/>
  <c r="C493" i="76" s="1"/>
  <c r="B485" i="76"/>
  <c r="C485" i="76" s="1"/>
  <c r="B477" i="76"/>
  <c r="B469" i="76"/>
  <c r="B461" i="76"/>
  <c r="B453" i="76"/>
  <c r="B445" i="76"/>
  <c r="B437" i="76"/>
  <c r="B429" i="76"/>
  <c r="B421" i="76"/>
  <c r="B413" i="76"/>
  <c r="B405" i="76"/>
  <c r="B397" i="76"/>
  <c r="B389" i="76"/>
  <c r="B381" i="76"/>
  <c r="B373" i="76"/>
  <c r="B365" i="76"/>
  <c r="B357" i="76"/>
  <c r="B349" i="76"/>
  <c r="B341" i="76"/>
  <c r="B333" i="76"/>
  <c r="B325" i="76"/>
  <c r="B317" i="76"/>
  <c r="B309" i="76"/>
  <c r="B301" i="76"/>
  <c r="B293" i="76"/>
  <c r="B285" i="76"/>
  <c r="B277" i="76"/>
  <c r="B475" i="76"/>
  <c r="B411" i="76"/>
  <c r="B371" i="76"/>
  <c r="B331" i="76"/>
  <c r="B275" i="76"/>
  <c r="B474" i="76"/>
  <c r="B426" i="76"/>
  <c r="B378" i="76"/>
  <c r="B330" i="76"/>
  <c r="B282" i="76"/>
  <c r="B516" i="76"/>
  <c r="B508" i="76"/>
  <c r="B500" i="76"/>
  <c r="B492" i="76"/>
  <c r="B484" i="76"/>
  <c r="B476" i="76"/>
  <c r="C476" i="76" s="1"/>
  <c r="B468" i="76"/>
  <c r="B460" i="76"/>
  <c r="B452" i="76"/>
  <c r="B444" i="76"/>
  <c r="B436" i="76"/>
  <c r="B428" i="76"/>
  <c r="B420" i="76"/>
  <c r="B412" i="76"/>
  <c r="B404" i="76"/>
  <c r="B396" i="76"/>
  <c r="B388" i="76"/>
  <c r="B380" i="76"/>
  <c r="B372" i="76"/>
  <c r="B364" i="76"/>
  <c r="B356" i="76"/>
  <c r="B348" i="76"/>
  <c r="B340" i="76"/>
  <c r="B332" i="76"/>
  <c r="B324" i="76"/>
  <c r="B316" i="76"/>
  <c r="B308" i="76"/>
  <c r="B300" i="76"/>
  <c r="B292" i="76"/>
  <c r="B284" i="76"/>
  <c r="B276" i="76"/>
  <c r="B491" i="76"/>
  <c r="B467" i="76"/>
  <c r="B427" i="76"/>
  <c r="B387" i="76"/>
  <c r="B347" i="76"/>
  <c r="B299" i="76"/>
  <c r="B514" i="76"/>
  <c r="B466" i="76"/>
  <c r="B410" i="76"/>
  <c r="B370" i="76"/>
  <c r="B322" i="76"/>
  <c r="B274" i="76"/>
  <c r="B513" i="76"/>
  <c r="B505" i="76"/>
  <c r="B497" i="76"/>
  <c r="B489" i="76"/>
  <c r="B481" i="76"/>
  <c r="B473" i="76"/>
  <c r="B465" i="76"/>
  <c r="B457" i="76"/>
  <c r="B449" i="76"/>
  <c r="B441" i="76"/>
  <c r="B433" i="76"/>
  <c r="B425" i="76"/>
  <c r="B417" i="76"/>
  <c r="B409" i="76"/>
  <c r="B401" i="76"/>
  <c r="B393" i="76"/>
  <c r="B385" i="76"/>
  <c r="B377" i="76"/>
  <c r="B369" i="76"/>
  <c r="B361" i="76"/>
  <c r="B353" i="76"/>
  <c r="B345" i="76"/>
  <c r="B337" i="76"/>
  <c r="B329" i="76"/>
  <c r="B321" i="76"/>
  <c r="B313" i="76"/>
  <c r="B305" i="76"/>
  <c r="B297" i="76"/>
  <c r="B289" i="76"/>
  <c r="B281" i="76"/>
  <c r="B273" i="76"/>
  <c r="B515" i="76"/>
  <c r="B443" i="76"/>
  <c r="B355" i="76"/>
  <c r="B307" i="76"/>
  <c r="B482" i="76"/>
  <c r="B458" i="76"/>
  <c r="B418" i="76"/>
  <c r="B338" i="76"/>
  <c r="B290" i="76"/>
  <c r="I80" i="53"/>
  <c r="I84" i="53"/>
  <c r="I72" i="53"/>
  <c r="I68" i="53"/>
  <c r="I76" i="53"/>
  <c r="I88" i="53"/>
  <c r="I86" i="53"/>
  <c r="I69" i="53"/>
  <c r="I78" i="53"/>
  <c r="I71" i="53"/>
  <c r="I75" i="53"/>
  <c r="I67" i="53"/>
  <c r="I82" i="53"/>
  <c r="I85" i="53"/>
  <c r="I79" i="53"/>
  <c r="I70" i="53"/>
  <c r="I83" i="53"/>
  <c r="I89" i="53"/>
  <c r="I81" i="53"/>
  <c r="I87" i="53"/>
  <c r="I73" i="53"/>
  <c r="I74" i="53"/>
  <c r="I77" i="53"/>
  <c r="I66" i="53"/>
  <c r="I44" i="53"/>
  <c r="I46" i="53"/>
  <c r="I55" i="53"/>
  <c r="I57" i="53"/>
  <c r="I47" i="53"/>
  <c r="I53" i="53"/>
  <c r="I59" i="53"/>
  <c r="I49" i="53"/>
  <c r="I48" i="53"/>
  <c r="I54" i="53"/>
  <c r="I52" i="53"/>
  <c r="I51" i="53"/>
  <c r="I45" i="53"/>
  <c r="I58" i="53"/>
  <c r="I56" i="53"/>
  <c r="I50" i="53"/>
  <c r="I21" i="53"/>
  <c r="I22" i="53"/>
  <c r="I28" i="53"/>
  <c r="I19" i="53"/>
  <c r="I33" i="53"/>
  <c r="I24" i="53"/>
  <c r="I15" i="53"/>
  <c r="I20" i="53"/>
  <c r="I31" i="53"/>
  <c r="I25" i="53"/>
  <c r="I26" i="53"/>
  <c r="I17" i="53"/>
  <c r="I16" i="53"/>
  <c r="I14" i="53"/>
  <c r="I34" i="53"/>
  <c r="I18" i="53"/>
  <c r="I32" i="53"/>
  <c r="I29" i="53"/>
  <c r="I27" i="53"/>
  <c r="I30" i="53"/>
  <c r="I23" i="53"/>
  <c r="I78" i="26"/>
  <c r="I77" i="26"/>
  <c r="I61" i="26"/>
  <c r="I65" i="26"/>
  <c r="I57" i="26"/>
  <c r="I69" i="26"/>
  <c r="I71" i="26"/>
  <c r="I60" i="26"/>
  <c r="I72" i="26"/>
  <c r="I59" i="26"/>
  <c r="I63" i="26"/>
  <c r="I66" i="26"/>
  <c r="I68" i="26"/>
  <c r="I70" i="26"/>
  <c r="I67" i="26"/>
  <c r="I62" i="26"/>
  <c r="I58" i="26"/>
  <c r="I64" i="26"/>
  <c r="I39" i="26"/>
  <c r="I37" i="26"/>
  <c r="I36" i="26"/>
  <c r="I44" i="26"/>
  <c r="I48" i="26"/>
  <c r="I50" i="26"/>
  <c r="I41" i="26"/>
  <c r="I43" i="26"/>
  <c r="I46" i="26"/>
  <c r="I49" i="26"/>
  <c r="I40" i="26"/>
  <c r="I47" i="26"/>
  <c r="I42" i="26"/>
  <c r="I45" i="26"/>
  <c r="I38" i="26"/>
  <c r="I20" i="26"/>
  <c r="I34" i="26"/>
  <c r="I25" i="26"/>
  <c r="I26" i="26"/>
  <c r="I18" i="26"/>
  <c r="I17" i="26"/>
  <c r="I15" i="26"/>
  <c r="I27" i="26"/>
  <c r="I19" i="26"/>
  <c r="I23" i="26"/>
  <c r="I24" i="26"/>
  <c r="I16" i="26"/>
  <c r="I22" i="26"/>
  <c r="I13" i="26"/>
  <c r="I21" i="26"/>
  <c r="I14" i="26"/>
  <c r="I13" i="39"/>
  <c r="I34" i="39" s="1"/>
  <c r="I32" i="39"/>
  <c r="C42" i="39"/>
  <c r="C43" i="39"/>
  <c r="C41" i="39"/>
  <c r="H33" i="39"/>
  <c r="E42" i="39"/>
  <c r="E41" i="39"/>
  <c r="E43" i="39"/>
  <c r="J41" i="39"/>
  <c r="J43" i="39"/>
  <c r="J42" i="39"/>
  <c r="D42" i="39"/>
  <c r="D41" i="39"/>
  <c r="D43" i="39"/>
  <c r="G41" i="39"/>
  <c r="H237" i="64"/>
  <c r="F244" i="64"/>
  <c r="F241" i="64"/>
  <c r="C488" i="76"/>
  <c r="C511" i="76"/>
  <c r="C513" i="76"/>
  <c r="C496" i="76"/>
  <c r="C486" i="76"/>
  <c r="C478" i="76"/>
  <c r="C519" i="76"/>
  <c r="C492" i="76"/>
  <c r="C499" i="76"/>
  <c r="C500" i="76"/>
  <c r="C502" i="76"/>
  <c r="C504" i="76"/>
  <c r="C474" i="76"/>
  <c r="C475" i="76"/>
  <c r="C501" i="76"/>
  <c r="F52" i="62"/>
  <c r="H238" i="64"/>
  <c r="I13" i="53"/>
  <c r="I42" i="53"/>
  <c r="I92" i="53"/>
  <c r="I35" i="53"/>
  <c r="I43" i="53"/>
  <c r="I93" i="53"/>
  <c r="I36" i="53"/>
  <c r="I60" i="53"/>
  <c r="I37" i="53"/>
  <c r="I12" i="53"/>
  <c r="I95" i="53"/>
  <c r="I38" i="53"/>
  <c r="I64" i="53"/>
  <c r="I90" i="53"/>
  <c r="I98" i="53"/>
  <c r="I39" i="53"/>
  <c r="I40" i="53"/>
  <c r="I41" i="53"/>
  <c r="I63" i="53"/>
  <c r="I96" i="53"/>
  <c r="I97" i="53"/>
  <c r="I65" i="53"/>
  <c r="I94" i="53"/>
  <c r="I91" i="53"/>
  <c r="J155" i="53"/>
  <c r="J156" i="53" s="1"/>
  <c r="H156" i="53" s="1"/>
  <c r="H157" i="53" s="1"/>
  <c r="H158" i="53" s="1"/>
  <c r="I149" i="53"/>
  <c r="I11" i="26"/>
  <c r="I12" i="26"/>
  <c r="I51" i="26"/>
  <c r="I35" i="26"/>
  <c r="I33" i="26"/>
  <c r="I32" i="26"/>
  <c r="I28" i="26"/>
  <c r="I31" i="26"/>
  <c r="I29" i="26"/>
  <c r="I30" i="26"/>
  <c r="I55" i="26"/>
  <c r="I56" i="26"/>
  <c r="I54" i="26"/>
  <c r="I73" i="26"/>
  <c r="I74" i="26"/>
  <c r="I75" i="26"/>
  <c r="I76" i="26"/>
  <c r="N61" i="53"/>
  <c r="D173" i="53"/>
  <c r="B193" i="53"/>
  <c r="D174" i="53"/>
  <c r="D175" i="53"/>
  <c r="N100" i="53"/>
  <c r="D163" i="53"/>
  <c r="I89" i="26" l="1"/>
  <c r="I88" i="26"/>
  <c r="I87" i="26"/>
  <c r="I84" i="26"/>
  <c r="I86" i="26"/>
  <c r="I85" i="26"/>
  <c r="I93" i="26"/>
  <c r="I92" i="26"/>
  <c r="I91" i="26"/>
  <c r="I90" i="26"/>
  <c r="G43" i="39"/>
  <c r="I494" i="76"/>
  <c r="K494" i="76" s="1"/>
  <c r="G494" i="76"/>
  <c r="H494" i="76"/>
  <c r="C490" i="76"/>
  <c r="H489" i="76"/>
  <c r="C489" i="76"/>
  <c r="M481" i="76"/>
  <c r="H481" i="76"/>
  <c r="C477" i="76"/>
  <c r="C484" i="76"/>
  <c r="C514" i="76"/>
  <c r="C508" i="76"/>
  <c r="C497" i="76"/>
  <c r="C481" i="76"/>
  <c r="C491" i="76"/>
  <c r="C518" i="76"/>
  <c r="C495" i="76"/>
  <c r="I481" i="76"/>
  <c r="C506" i="76"/>
  <c r="G481" i="76"/>
  <c r="C517" i="76"/>
  <c r="C472" i="76"/>
  <c r="D481" i="76"/>
  <c r="C505" i="76"/>
  <c r="C509" i="76"/>
  <c r="H418" i="76"/>
  <c r="D418" i="76"/>
  <c r="G418" i="76"/>
  <c r="M418" i="76"/>
  <c r="C418" i="76"/>
  <c r="I418" i="76"/>
  <c r="D324" i="76"/>
  <c r="H324" i="76"/>
  <c r="C324" i="76"/>
  <c r="M324" i="76"/>
  <c r="G324" i="76"/>
  <c r="I324" i="76"/>
  <c r="H445" i="76"/>
  <c r="C445" i="76"/>
  <c r="G445" i="76"/>
  <c r="I445" i="76"/>
  <c r="M445" i="76"/>
  <c r="D445" i="76"/>
  <c r="G339" i="76"/>
  <c r="D339" i="76"/>
  <c r="I339" i="76"/>
  <c r="H339" i="76"/>
  <c r="M339" i="76"/>
  <c r="C339" i="76"/>
  <c r="C272" i="76"/>
  <c r="G272" i="76"/>
  <c r="D272" i="76"/>
  <c r="M272" i="76"/>
  <c r="H272" i="76"/>
  <c r="I272" i="76"/>
  <c r="I289" i="76"/>
  <c r="H289" i="76"/>
  <c r="M289" i="76"/>
  <c r="C289" i="76"/>
  <c r="D289" i="76"/>
  <c r="G289" i="76"/>
  <c r="H353" i="76"/>
  <c r="D353" i="76"/>
  <c r="I353" i="76"/>
  <c r="M353" i="76"/>
  <c r="C353" i="76"/>
  <c r="G353" i="76"/>
  <c r="C417" i="76"/>
  <c r="H417" i="76"/>
  <c r="I417" i="76"/>
  <c r="D417" i="76"/>
  <c r="G417" i="76"/>
  <c r="M417" i="76"/>
  <c r="I410" i="76"/>
  <c r="C410" i="76"/>
  <c r="D410" i="76"/>
  <c r="M410" i="76"/>
  <c r="G410" i="76"/>
  <c r="H410" i="76"/>
  <c r="H332" i="76"/>
  <c r="I332" i="76"/>
  <c r="C332" i="76"/>
  <c r="D332" i="76"/>
  <c r="M332" i="76"/>
  <c r="G332" i="76"/>
  <c r="I396" i="76"/>
  <c r="M396" i="76"/>
  <c r="C396" i="76"/>
  <c r="G396" i="76"/>
  <c r="H396" i="76"/>
  <c r="D396" i="76"/>
  <c r="M460" i="76"/>
  <c r="C460" i="76"/>
  <c r="D460" i="76"/>
  <c r="G460" i="76"/>
  <c r="I460" i="76"/>
  <c r="H460" i="76"/>
  <c r="G282" i="76"/>
  <c r="I282" i="76"/>
  <c r="H282" i="76"/>
  <c r="M282" i="76"/>
  <c r="C282" i="76"/>
  <c r="D282" i="76"/>
  <c r="I411" i="76"/>
  <c r="H411" i="76"/>
  <c r="M411" i="76"/>
  <c r="C411" i="76"/>
  <c r="D411" i="76"/>
  <c r="G411" i="76"/>
  <c r="H325" i="76"/>
  <c r="C325" i="76"/>
  <c r="I325" i="76"/>
  <c r="M325" i="76"/>
  <c r="D325" i="76"/>
  <c r="G325" i="76"/>
  <c r="M389" i="76"/>
  <c r="D389" i="76"/>
  <c r="G389" i="76"/>
  <c r="H389" i="76"/>
  <c r="I389" i="76"/>
  <c r="C389" i="76"/>
  <c r="M453" i="76"/>
  <c r="D453" i="76"/>
  <c r="G453" i="76"/>
  <c r="C453" i="76"/>
  <c r="H453" i="76"/>
  <c r="I453" i="76"/>
  <c r="G435" i="76"/>
  <c r="M435" i="76"/>
  <c r="D435" i="76"/>
  <c r="I435" i="76"/>
  <c r="H435" i="76"/>
  <c r="C435" i="76"/>
  <c r="G326" i="76"/>
  <c r="I326" i="76"/>
  <c r="H326" i="76"/>
  <c r="M326" i="76"/>
  <c r="C326" i="76"/>
  <c r="D326" i="76"/>
  <c r="D390" i="76"/>
  <c r="G390" i="76"/>
  <c r="H390" i="76"/>
  <c r="I390" i="76"/>
  <c r="M390" i="76"/>
  <c r="C390" i="76"/>
  <c r="C454" i="76"/>
  <c r="M454" i="76"/>
  <c r="D454" i="76"/>
  <c r="G454" i="76"/>
  <c r="H454" i="76"/>
  <c r="I454" i="76"/>
  <c r="M379" i="76"/>
  <c r="H379" i="76"/>
  <c r="C379" i="76"/>
  <c r="I379" i="76"/>
  <c r="G379" i="76"/>
  <c r="D379" i="76"/>
  <c r="M303" i="76"/>
  <c r="C303" i="76"/>
  <c r="D303" i="76"/>
  <c r="G303" i="76"/>
  <c r="H303" i="76"/>
  <c r="I303" i="76"/>
  <c r="C367" i="76"/>
  <c r="I367" i="76"/>
  <c r="D367" i="76"/>
  <c r="M367" i="76"/>
  <c r="G367" i="76"/>
  <c r="H367" i="76"/>
  <c r="G431" i="76"/>
  <c r="I431" i="76"/>
  <c r="M431" i="76"/>
  <c r="D431" i="76"/>
  <c r="H431" i="76"/>
  <c r="C431" i="76"/>
  <c r="C280" i="76"/>
  <c r="D280" i="76"/>
  <c r="G280" i="76"/>
  <c r="H280" i="76"/>
  <c r="M280" i="76"/>
  <c r="I280" i="76"/>
  <c r="M344" i="76"/>
  <c r="I344" i="76"/>
  <c r="C344" i="76"/>
  <c r="D344" i="76"/>
  <c r="H344" i="76"/>
  <c r="G344" i="76"/>
  <c r="D408" i="76"/>
  <c r="I408" i="76"/>
  <c r="M408" i="76"/>
  <c r="C408" i="76"/>
  <c r="G408" i="76"/>
  <c r="H408" i="76"/>
  <c r="K408" i="76" s="1"/>
  <c r="I370" i="76"/>
  <c r="M370" i="76"/>
  <c r="D370" i="76"/>
  <c r="H370" i="76"/>
  <c r="C370" i="76"/>
  <c r="G370" i="76"/>
  <c r="H317" i="76"/>
  <c r="M317" i="76"/>
  <c r="I317" i="76"/>
  <c r="C317" i="76"/>
  <c r="D317" i="76"/>
  <c r="G317" i="76"/>
  <c r="M446" i="76"/>
  <c r="C446" i="76"/>
  <c r="D446" i="76"/>
  <c r="I446" i="76"/>
  <c r="H446" i="76"/>
  <c r="G446" i="76"/>
  <c r="G464" i="76"/>
  <c r="H464" i="76"/>
  <c r="I464" i="76"/>
  <c r="M464" i="76"/>
  <c r="D464" i="76"/>
  <c r="C464" i="76"/>
  <c r="G297" i="76"/>
  <c r="H297" i="76"/>
  <c r="I297" i="76"/>
  <c r="M297" i="76"/>
  <c r="D297" i="76"/>
  <c r="C297" i="76"/>
  <c r="M361" i="76"/>
  <c r="H361" i="76"/>
  <c r="I361" i="76"/>
  <c r="C361" i="76"/>
  <c r="G361" i="76"/>
  <c r="D361" i="76"/>
  <c r="D425" i="76"/>
  <c r="G425" i="76"/>
  <c r="H425" i="76"/>
  <c r="C425" i="76"/>
  <c r="I425" i="76"/>
  <c r="M425" i="76"/>
  <c r="C466" i="76"/>
  <c r="G466" i="76"/>
  <c r="H466" i="76"/>
  <c r="I466" i="76"/>
  <c r="D466" i="76"/>
  <c r="M466" i="76"/>
  <c r="D276" i="76"/>
  <c r="G276" i="76"/>
  <c r="H276" i="76"/>
  <c r="I276" i="76"/>
  <c r="M276" i="76"/>
  <c r="C276" i="76"/>
  <c r="M340" i="76"/>
  <c r="C340" i="76"/>
  <c r="G340" i="76"/>
  <c r="H340" i="76"/>
  <c r="D340" i="76"/>
  <c r="I340" i="76"/>
  <c r="C404" i="76"/>
  <c r="G404" i="76"/>
  <c r="H404" i="76"/>
  <c r="I404" i="76"/>
  <c r="D404" i="76"/>
  <c r="M404" i="76"/>
  <c r="H468" i="76"/>
  <c r="G468" i="76"/>
  <c r="I468" i="76"/>
  <c r="D468" i="76"/>
  <c r="M468" i="76"/>
  <c r="C468" i="76"/>
  <c r="H330" i="76"/>
  <c r="M330" i="76"/>
  <c r="C330" i="76"/>
  <c r="G330" i="76"/>
  <c r="D330" i="76"/>
  <c r="I330" i="76"/>
  <c r="C333" i="76"/>
  <c r="H333" i="76"/>
  <c r="G333" i="76"/>
  <c r="D333" i="76"/>
  <c r="I333" i="76"/>
  <c r="M333" i="76"/>
  <c r="M397" i="76"/>
  <c r="C397" i="76"/>
  <c r="D397" i="76"/>
  <c r="G397" i="76"/>
  <c r="I397" i="76"/>
  <c r="H397" i="76"/>
  <c r="I461" i="76"/>
  <c r="C461" i="76"/>
  <c r="D461" i="76"/>
  <c r="G461" i="76"/>
  <c r="M461" i="76"/>
  <c r="H461" i="76"/>
  <c r="D306" i="76"/>
  <c r="I306" i="76"/>
  <c r="M306" i="76"/>
  <c r="H306" i="76"/>
  <c r="G306" i="76"/>
  <c r="C306" i="76"/>
  <c r="D334" i="76"/>
  <c r="M334" i="76"/>
  <c r="C334" i="76"/>
  <c r="H334" i="76"/>
  <c r="I334" i="76"/>
  <c r="G334" i="76"/>
  <c r="D398" i="76"/>
  <c r="H398" i="76"/>
  <c r="I398" i="76"/>
  <c r="G398" i="76"/>
  <c r="M398" i="76"/>
  <c r="C398" i="76"/>
  <c r="G462" i="76"/>
  <c r="D462" i="76"/>
  <c r="H462" i="76"/>
  <c r="I462" i="76"/>
  <c r="C462" i="76"/>
  <c r="M462" i="76"/>
  <c r="I298" i="76"/>
  <c r="M298" i="76"/>
  <c r="C298" i="76"/>
  <c r="D298" i="76"/>
  <c r="H298" i="76"/>
  <c r="G298" i="76"/>
  <c r="D419" i="76"/>
  <c r="G419" i="76"/>
  <c r="I419" i="76"/>
  <c r="H419" i="76"/>
  <c r="M419" i="76"/>
  <c r="C419" i="76"/>
  <c r="C311" i="76"/>
  <c r="G311" i="76"/>
  <c r="I311" i="76"/>
  <c r="D311" i="76"/>
  <c r="H311" i="76"/>
  <c r="M311" i="76"/>
  <c r="C375" i="76"/>
  <c r="M375" i="76"/>
  <c r="D375" i="76"/>
  <c r="G375" i="76"/>
  <c r="I375" i="76"/>
  <c r="H375" i="76"/>
  <c r="H439" i="76"/>
  <c r="C439" i="76"/>
  <c r="G439" i="76"/>
  <c r="I439" i="76"/>
  <c r="D439" i="76"/>
  <c r="M439" i="76"/>
  <c r="C283" i="76"/>
  <c r="G283" i="76"/>
  <c r="D283" i="76"/>
  <c r="M283" i="76"/>
  <c r="H283" i="76"/>
  <c r="I283" i="76"/>
  <c r="G288" i="76"/>
  <c r="H288" i="76"/>
  <c r="I288" i="76"/>
  <c r="M288" i="76"/>
  <c r="C288" i="76"/>
  <c r="D288" i="76"/>
  <c r="G352" i="76"/>
  <c r="I352" i="76"/>
  <c r="C352" i="76"/>
  <c r="H352" i="76"/>
  <c r="D352" i="76"/>
  <c r="M352" i="76"/>
  <c r="H416" i="76"/>
  <c r="G416" i="76"/>
  <c r="D416" i="76"/>
  <c r="I416" i="76"/>
  <c r="C416" i="76"/>
  <c r="M416" i="76"/>
  <c r="C467" i="76"/>
  <c r="M467" i="76"/>
  <c r="D467" i="76"/>
  <c r="G467" i="76"/>
  <c r="I467" i="76"/>
  <c r="H467" i="76"/>
  <c r="G381" i="76"/>
  <c r="H381" i="76"/>
  <c r="I381" i="76"/>
  <c r="M381" i="76"/>
  <c r="D381" i="76"/>
  <c r="C381" i="76"/>
  <c r="H423" i="76"/>
  <c r="M423" i="76"/>
  <c r="D423" i="76"/>
  <c r="I423" i="76"/>
  <c r="G423" i="76"/>
  <c r="C423" i="76"/>
  <c r="D400" i="76"/>
  <c r="M400" i="76"/>
  <c r="C400" i="76"/>
  <c r="G400" i="76"/>
  <c r="H400" i="76"/>
  <c r="I400" i="76"/>
  <c r="C510" i="76"/>
  <c r="H305" i="76"/>
  <c r="I305" i="76"/>
  <c r="D305" i="76"/>
  <c r="M305" i="76"/>
  <c r="G305" i="76"/>
  <c r="C305" i="76"/>
  <c r="I369" i="76"/>
  <c r="M369" i="76"/>
  <c r="C369" i="76"/>
  <c r="D369" i="76"/>
  <c r="H369" i="76"/>
  <c r="G369" i="76"/>
  <c r="G433" i="76"/>
  <c r="D433" i="76"/>
  <c r="H433" i="76"/>
  <c r="C433" i="76"/>
  <c r="I433" i="76"/>
  <c r="M433" i="76"/>
  <c r="C284" i="76"/>
  <c r="M284" i="76"/>
  <c r="D284" i="76"/>
  <c r="G284" i="76"/>
  <c r="H284" i="76"/>
  <c r="I284" i="76"/>
  <c r="C348" i="76"/>
  <c r="D348" i="76"/>
  <c r="I348" i="76"/>
  <c r="M348" i="76"/>
  <c r="G348" i="76"/>
  <c r="H348" i="76"/>
  <c r="H412" i="76"/>
  <c r="G412" i="76"/>
  <c r="C412" i="76"/>
  <c r="I412" i="76"/>
  <c r="M412" i="76"/>
  <c r="D412" i="76"/>
  <c r="G378" i="76"/>
  <c r="H378" i="76"/>
  <c r="I378" i="76"/>
  <c r="C378" i="76"/>
  <c r="M378" i="76"/>
  <c r="D378" i="76"/>
  <c r="C277" i="76"/>
  <c r="M277" i="76"/>
  <c r="D277" i="76"/>
  <c r="G277" i="76"/>
  <c r="I277" i="76"/>
  <c r="H277" i="76"/>
  <c r="D341" i="76"/>
  <c r="G341" i="76"/>
  <c r="H341" i="76"/>
  <c r="M341" i="76"/>
  <c r="I341" i="76"/>
  <c r="C341" i="76"/>
  <c r="M405" i="76"/>
  <c r="D405" i="76"/>
  <c r="H405" i="76"/>
  <c r="G405" i="76"/>
  <c r="I405" i="76"/>
  <c r="C405" i="76"/>
  <c r="C469" i="76"/>
  <c r="G469" i="76"/>
  <c r="I469" i="76"/>
  <c r="D469" i="76"/>
  <c r="H469" i="76"/>
  <c r="M469" i="76"/>
  <c r="M362" i="76"/>
  <c r="C362" i="76"/>
  <c r="D362" i="76"/>
  <c r="G362" i="76"/>
  <c r="H362" i="76"/>
  <c r="I362" i="76"/>
  <c r="I278" i="76"/>
  <c r="M278" i="76"/>
  <c r="C278" i="76"/>
  <c r="D278" i="76"/>
  <c r="G278" i="76"/>
  <c r="H278" i="76"/>
  <c r="C342" i="76"/>
  <c r="H342" i="76"/>
  <c r="M342" i="76"/>
  <c r="I342" i="76"/>
  <c r="G342" i="76"/>
  <c r="D342" i="76"/>
  <c r="C406" i="76"/>
  <c r="G406" i="76"/>
  <c r="D406" i="76"/>
  <c r="H406" i="76"/>
  <c r="I406" i="76"/>
  <c r="M406" i="76"/>
  <c r="I470" i="76"/>
  <c r="M470" i="76"/>
  <c r="D470" i="76"/>
  <c r="H470" i="76"/>
  <c r="C470" i="76"/>
  <c r="G470" i="76"/>
  <c r="H346" i="76"/>
  <c r="I346" i="76"/>
  <c r="C346" i="76"/>
  <c r="G346" i="76"/>
  <c r="D346" i="76"/>
  <c r="M346" i="76"/>
  <c r="G459" i="76"/>
  <c r="I459" i="76"/>
  <c r="M459" i="76"/>
  <c r="C459" i="76"/>
  <c r="H459" i="76"/>
  <c r="D459" i="76"/>
  <c r="G319" i="76"/>
  <c r="H319" i="76"/>
  <c r="C319" i="76"/>
  <c r="I319" i="76"/>
  <c r="M319" i="76"/>
  <c r="D319" i="76"/>
  <c r="G383" i="76"/>
  <c r="M383" i="76"/>
  <c r="C383" i="76"/>
  <c r="D383" i="76"/>
  <c r="I383" i="76"/>
  <c r="H383" i="76"/>
  <c r="G447" i="76"/>
  <c r="M447" i="76"/>
  <c r="I447" i="76"/>
  <c r="H447" i="76"/>
  <c r="C447" i="76"/>
  <c r="D447" i="76"/>
  <c r="M323" i="76"/>
  <c r="C323" i="76"/>
  <c r="D323" i="76"/>
  <c r="G323" i="76"/>
  <c r="I323" i="76"/>
  <c r="H323" i="76"/>
  <c r="C296" i="76"/>
  <c r="D296" i="76"/>
  <c r="H296" i="76"/>
  <c r="G296" i="76"/>
  <c r="M296" i="76"/>
  <c r="I296" i="76"/>
  <c r="D360" i="76"/>
  <c r="H360" i="76"/>
  <c r="I360" i="76"/>
  <c r="M360" i="76"/>
  <c r="G360" i="76"/>
  <c r="C360" i="76"/>
  <c r="C424" i="76"/>
  <c r="H424" i="76"/>
  <c r="I424" i="76"/>
  <c r="M424" i="76"/>
  <c r="G424" i="76"/>
  <c r="D424" i="76"/>
  <c r="I371" i="76"/>
  <c r="M371" i="76"/>
  <c r="D371" i="76"/>
  <c r="C371" i="76"/>
  <c r="G371" i="76"/>
  <c r="H371" i="76"/>
  <c r="C318" i="76"/>
  <c r="G318" i="76"/>
  <c r="D318" i="76"/>
  <c r="M318" i="76"/>
  <c r="H318" i="76"/>
  <c r="I318" i="76"/>
  <c r="C359" i="76"/>
  <c r="M359" i="76"/>
  <c r="D359" i="76"/>
  <c r="H359" i="76"/>
  <c r="I359" i="76"/>
  <c r="G359" i="76"/>
  <c r="I336" i="76"/>
  <c r="D336" i="76"/>
  <c r="H336" i="76"/>
  <c r="M336" i="76"/>
  <c r="G336" i="76"/>
  <c r="C336" i="76"/>
  <c r="C482" i="76"/>
  <c r="I355" i="76"/>
  <c r="M355" i="76"/>
  <c r="C355" i="76"/>
  <c r="D355" i="76"/>
  <c r="H355" i="76"/>
  <c r="G355" i="76"/>
  <c r="M313" i="76"/>
  <c r="C313" i="76"/>
  <c r="D313" i="76"/>
  <c r="H313" i="76"/>
  <c r="G313" i="76"/>
  <c r="I313" i="76"/>
  <c r="C377" i="76"/>
  <c r="G377" i="76"/>
  <c r="M377" i="76"/>
  <c r="I377" i="76"/>
  <c r="D377" i="76"/>
  <c r="H377" i="76"/>
  <c r="H441" i="76"/>
  <c r="I441" i="76"/>
  <c r="D441" i="76"/>
  <c r="M441" i="76"/>
  <c r="G441" i="76"/>
  <c r="C441" i="76"/>
  <c r="C299" i="76"/>
  <c r="D299" i="76"/>
  <c r="G299" i="76"/>
  <c r="M299" i="76"/>
  <c r="H299" i="76"/>
  <c r="I299" i="76"/>
  <c r="G292" i="76"/>
  <c r="I292" i="76"/>
  <c r="H292" i="76"/>
  <c r="M292" i="76"/>
  <c r="D292" i="76"/>
  <c r="C292" i="76"/>
  <c r="G356" i="76"/>
  <c r="H356" i="76"/>
  <c r="D356" i="76"/>
  <c r="I356" i="76"/>
  <c r="M356" i="76"/>
  <c r="C356" i="76"/>
  <c r="I420" i="76"/>
  <c r="D420" i="76"/>
  <c r="G420" i="76"/>
  <c r="M420" i="76"/>
  <c r="H420" i="76"/>
  <c r="C420" i="76"/>
  <c r="D426" i="76"/>
  <c r="I426" i="76"/>
  <c r="M426" i="76"/>
  <c r="H426" i="76"/>
  <c r="C426" i="76"/>
  <c r="G426" i="76"/>
  <c r="M285" i="76"/>
  <c r="D285" i="76"/>
  <c r="G285" i="76"/>
  <c r="H285" i="76"/>
  <c r="I285" i="76"/>
  <c r="C285" i="76"/>
  <c r="C349" i="76"/>
  <c r="M349" i="76"/>
  <c r="D349" i="76"/>
  <c r="G349" i="76"/>
  <c r="H349" i="76"/>
  <c r="I349" i="76"/>
  <c r="G413" i="76"/>
  <c r="M413" i="76"/>
  <c r="D413" i="76"/>
  <c r="C413" i="76"/>
  <c r="H413" i="76"/>
  <c r="I413" i="76"/>
  <c r="D402" i="76"/>
  <c r="G402" i="76"/>
  <c r="I402" i="76"/>
  <c r="M402" i="76"/>
  <c r="C402" i="76"/>
  <c r="H402" i="76"/>
  <c r="I286" i="76"/>
  <c r="M286" i="76"/>
  <c r="C286" i="76"/>
  <c r="H286" i="76"/>
  <c r="G286" i="76"/>
  <c r="D286" i="76"/>
  <c r="C350" i="76"/>
  <c r="G350" i="76"/>
  <c r="M350" i="76"/>
  <c r="H350" i="76"/>
  <c r="D350" i="76"/>
  <c r="I350" i="76"/>
  <c r="C414" i="76"/>
  <c r="M414" i="76"/>
  <c r="D414" i="76"/>
  <c r="I414" i="76"/>
  <c r="G414" i="76"/>
  <c r="H414" i="76"/>
  <c r="C386" i="76"/>
  <c r="D386" i="76"/>
  <c r="G386" i="76"/>
  <c r="I386" i="76"/>
  <c r="H386" i="76"/>
  <c r="M386" i="76"/>
  <c r="M327" i="76"/>
  <c r="C327" i="76"/>
  <c r="H327" i="76"/>
  <c r="G327" i="76"/>
  <c r="I327" i="76"/>
  <c r="D327" i="76"/>
  <c r="D391" i="76"/>
  <c r="G391" i="76"/>
  <c r="I391" i="76"/>
  <c r="H391" i="76"/>
  <c r="C391" i="76"/>
  <c r="M391" i="76"/>
  <c r="I455" i="76"/>
  <c r="M455" i="76"/>
  <c r="C455" i="76"/>
  <c r="D455" i="76"/>
  <c r="G455" i="76"/>
  <c r="H455" i="76"/>
  <c r="M519" i="76"/>
  <c r="C363" i="76"/>
  <c r="I363" i="76"/>
  <c r="M363" i="76"/>
  <c r="H363" i="76"/>
  <c r="D363" i="76"/>
  <c r="G363" i="76"/>
  <c r="I304" i="76"/>
  <c r="M304" i="76"/>
  <c r="H304" i="76"/>
  <c r="G304" i="76"/>
  <c r="D304" i="76"/>
  <c r="C304" i="76"/>
  <c r="G368" i="76"/>
  <c r="I368" i="76"/>
  <c r="H368" i="76"/>
  <c r="M368" i="76"/>
  <c r="D368" i="76"/>
  <c r="C368" i="76"/>
  <c r="D432" i="76"/>
  <c r="G432" i="76"/>
  <c r="I432" i="76"/>
  <c r="M432" i="76"/>
  <c r="H432" i="76"/>
  <c r="C432" i="76"/>
  <c r="M281" i="76"/>
  <c r="G281" i="76"/>
  <c r="H281" i="76"/>
  <c r="I281" i="76"/>
  <c r="C281" i="76"/>
  <c r="D281" i="76"/>
  <c r="I388" i="76"/>
  <c r="M388" i="76"/>
  <c r="C388" i="76"/>
  <c r="D388" i="76"/>
  <c r="H388" i="76"/>
  <c r="G388" i="76"/>
  <c r="D295" i="76"/>
  <c r="H295" i="76"/>
  <c r="G295" i="76"/>
  <c r="I295" i="76"/>
  <c r="C295" i="76"/>
  <c r="M295" i="76"/>
  <c r="H442" i="76"/>
  <c r="D442" i="76"/>
  <c r="M442" i="76"/>
  <c r="I442" i="76"/>
  <c r="C442" i="76"/>
  <c r="G442" i="76"/>
  <c r="M458" i="76"/>
  <c r="C458" i="76"/>
  <c r="D458" i="76"/>
  <c r="G458" i="76"/>
  <c r="H458" i="76"/>
  <c r="I458" i="76"/>
  <c r="I307" i="76"/>
  <c r="D307" i="76"/>
  <c r="C307" i="76"/>
  <c r="G307" i="76"/>
  <c r="H307" i="76"/>
  <c r="M307" i="76"/>
  <c r="C487" i="76"/>
  <c r="C516" i="76"/>
  <c r="C473" i="76"/>
  <c r="H443" i="76"/>
  <c r="C443" i="76"/>
  <c r="D443" i="76"/>
  <c r="G443" i="76"/>
  <c r="I443" i="76"/>
  <c r="M443" i="76"/>
  <c r="I321" i="76"/>
  <c r="D321" i="76"/>
  <c r="H321" i="76"/>
  <c r="M321" i="76"/>
  <c r="G321" i="76"/>
  <c r="C321" i="76"/>
  <c r="H385" i="76"/>
  <c r="I385" i="76"/>
  <c r="D385" i="76"/>
  <c r="M385" i="76"/>
  <c r="G385" i="76"/>
  <c r="C385" i="76"/>
  <c r="H449" i="76"/>
  <c r="I449" i="76"/>
  <c r="M449" i="76"/>
  <c r="C449" i="76"/>
  <c r="G449" i="76"/>
  <c r="D449" i="76"/>
  <c r="D347" i="76"/>
  <c r="G347" i="76"/>
  <c r="C347" i="76"/>
  <c r="I347" i="76"/>
  <c r="H347" i="76"/>
  <c r="M347" i="76"/>
  <c r="H300" i="76"/>
  <c r="M300" i="76"/>
  <c r="G300" i="76"/>
  <c r="I300" i="76"/>
  <c r="D300" i="76"/>
  <c r="C300" i="76"/>
  <c r="I364" i="76"/>
  <c r="C364" i="76"/>
  <c r="D364" i="76"/>
  <c r="G364" i="76"/>
  <c r="H364" i="76"/>
  <c r="M364" i="76"/>
  <c r="G428" i="76"/>
  <c r="H428" i="76"/>
  <c r="I428" i="76"/>
  <c r="M428" i="76"/>
  <c r="C428" i="76"/>
  <c r="D428" i="76"/>
  <c r="H293" i="76"/>
  <c r="I293" i="76"/>
  <c r="M293" i="76"/>
  <c r="C293" i="76"/>
  <c r="G293" i="76"/>
  <c r="D293" i="76"/>
  <c r="D357" i="76"/>
  <c r="C357" i="76"/>
  <c r="M357" i="76"/>
  <c r="G357" i="76"/>
  <c r="H357" i="76"/>
  <c r="I357" i="76"/>
  <c r="H421" i="76"/>
  <c r="D421" i="76"/>
  <c r="G421" i="76"/>
  <c r="C421" i="76"/>
  <c r="I421" i="76"/>
  <c r="M421" i="76"/>
  <c r="C450" i="76"/>
  <c r="M450" i="76"/>
  <c r="D450" i="76"/>
  <c r="G450" i="76"/>
  <c r="H450" i="76"/>
  <c r="I450" i="76"/>
  <c r="D294" i="76"/>
  <c r="G294" i="76"/>
  <c r="H294" i="76"/>
  <c r="C294" i="76"/>
  <c r="M294" i="76"/>
  <c r="I294" i="76"/>
  <c r="C358" i="76"/>
  <c r="D358" i="76"/>
  <c r="M358" i="76"/>
  <c r="G358" i="76"/>
  <c r="H358" i="76"/>
  <c r="I358" i="76"/>
  <c r="H422" i="76"/>
  <c r="M422" i="76"/>
  <c r="C422" i="76"/>
  <c r="D422" i="76"/>
  <c r="G422" i="76"/>
  <c r="I422" i="76"/>
  <c r="D434" i="76"/>
  <c r="C434" i="76"/>
  <c r="H434" i="76"/>
  <c r="G434" i="76"/>
  <c r="I434" i="76"/>
  <c r="M434" i="76"/>
  <c r="M271" i="76"/>
  <c r="C335" i="76"/>
  <c r="D335" i="76"/>
  <c r="M335" i="76"/>
  <c r="G335" i="76"/>
  <c r="H335" i="76"/>
  <c r="I335" i="76"/>
  <c r="I399" i="76"/>
  <c r="C399" i="76"/>
  <c r="M399" i="76"/>
  <c r="H399" i="76"/>
  <c r="D399" i="76"/>
  <c r="G399" i="76"/>
  <c r="C463" i="76"/>
  <c r="G463" i="76"/>
  <c r="H463" i="76"/>
  <c r="I463" i="76"/>
  <c r="D463" i="76"/>
  <c r="M463" i="76"/>
  <c r="M314" i="76"/>
  <c r="D314" i="76"/>
  <c r="C314" i="76"/>
  <c r="H314" i="76"/>
  <c r="I314" i="76"/>
  <c r="G314" i="76"/>
  <c r="D403" i="76"/>
  <c r="H403" i="76"/>
  <c r="I403" i="76"/>
  <c r="M403" i="76"/>
  <c r="C403" i="76"/>
  <c r="G403" i="76"/>
  <c r="I312" i="76"/>
  <c r="D312" i="76"/>
  <c r="C312" i="76"/>
  <c r="G312" i="76"/>
  <c r="H312" i="76"/>
  <c r="M312" i="76"/>
  <c r="D376" i="76"/>
  <c r="M376" i="76"/>
  <c r="G376" i="76"/>
  <c r="H376" i="76"/>
  <c r="C376" i="76"/>
  <c r="I376" i="76"/>
  <c r="D440" i="76"/>
  <c r="I440" i="76"/>
  <c r="M440" i="76"/>
  <c r="G440" i="76"/>
  <c r="H440" i="76"/>
  <c r="C440" i="76"/>
  <c r="H409" i="76"/>
  <c r="D409" i="76"/>
  <c r="G409" i="76"/>
  <c r="I409" i="76"/>
  <c r="C409" i="76"/>
  <c r="M409" i="76"/>
  <c r="G382" i="76"/>
  <c r="M382" i="76"/>
  <c r="H382" i="76"/>
  <c r="C382" i="76"/>
  <c r="D382" i="76"/>
  <c r="I382" i="76"/>
  <c r="H329" i="76"/>
  <c r="D329" i="76"/>
  <c r="M329" i="76"/>
  <c r="I329" i="76"/>
  <c r="C329" i="76"/>
  <c r="G329" i="76"/>
  <c r="M393" i="76"/>
  <c r="C393" i="76"/>
  <c r="G393" i="76"/>
  <c r="D393" i="76"/>
  <c r="I393" i="76"/>
  <c r="H393" i="76"/>
  <c r="C457" i="76"/>
  <c r="D457" i="76"/>
  <c r="G457" i="76"/>
  <c r="H457" i="76"/>
  <c r="I457" i="76"/>
  <c r="M457" i="76"/>
  <c r="G274" i="76"/>
  <c r="H274" i="76"/>
  <c r="I274" i="76"/>
  <c r="C274" i="76"/>
  <c r="M274" i="76"/>
  <c r="D274" i="76"/>
  <c r="H387" i="76"/>
  <c r="I387" i="76"/>
  <c r="D387" i="76"/>
  <c r="G387" i="76"/>
  <c r="M387" i="76"/>
  <c r="C387" i="76"/>
  <c r="G308" i="76"/>
  <c r="H308" i="76"/>
  <c r="I308" i="76"/>
  <c r="M308" i="76"/>
  <c r="C308" i="76"/>
  <c r="D308" i="76"/>
  <c r="H372" i="76"/>
  <c r="M372" i="76"/>
  <c r="C372" i="76"/>
  <c r="I372" i="76"/>
  <c r="G372" i="76"/>
  <c r="D372" i="76"/>
  <c r="M436" i="76"/>
  <c r="D436" i="76"/>
  <c r="H436" i="76"/>
  <c r="I436" i="76"/>
  <c r="G436" i="76"/>
  <c r="C436" i="76"/>
  <c r="H275" i="76"/>
  <c r="I275" i="76"/>
  <c r="M275" i="76"/>
  <c r="C275" i="76"/>
  <c r="D275" i="76"/>
  <c r="G275" i="76"/>
  <c r="I301" i="76"/>
  <c r="C301" i="76"/>
  <c r="G301" i="76"/>
  <c r="M301" i="76"/>
  <c r="D301" i="76"/>
  <c r="H301" i="76"/>
  <c r="I365" i="76"/>
  <c r="G365" i="76"/>
  <c r="M365" i="76"/>
  <c r="H365" i="76"/>
  <c r="C365" i="76"/>
  <c r="D365" i="76"/>
  <c r="G429" i="76"/>
  <c r="H429" i="76"/>
  <c r="D429" i="76"/>
  <c r="I429" i="76"/>
  <c r="C429" i="76"/>
  <c r="M429" i="76"/>
  <c r="C302" i="76"/>
  <c r="D302" i="76"/>
  <c r="G302" i="76"/>
  <c r="H302" i="76"/>
  <c r="I302" i="76"/>
  <c r="M302" i="76"/>
  <c r="C366" i="76"/>
  <c r="H366" i="76"/>
  <c r="D366" i="76"/>
  <c r="G366" i="76"/>
  <c r="I366" i="76"/>
  <c r="M366" i="76"/>
  <c r="D430" i="76"/>
  <c r="G430" i="76"/>
  <c r="I430" i="76"/>
  <c r="H430" i="76"/>
  <c r="M430" i="76"/>
  <c r="C430" i="76"/>
  <c r="D279" i="76"/>
  <c r="G279" i="76"/>
  <c r="C279" i="76"/>
  <c r="I279" i="76"/>
  <c r="H279" i="76"/>
  <c r="M279" i="76"/>
  <c r="D343" i="76"/>
  <c r="H343" i="76"/>
  <c r="I343" i="76"/>
  <c r="M343" i="76"/>
  <c r="G343" i="76"/>
  <c r="C343" i="76"/>
  <c r="M407" i="76"/>
  <c r="I407" i="76"/>
  <c r="H407" i="76"/>
  <c r="D407" i="76"/>
  <c r="G407" i="76"/>
  <c r="C407" i="76"/>
  <c r="C471" i="76"/>
  <c r="M471" i="76"/>
  <c r="D471" i="76"/>
  <c r="G471" i="76"/>
  <c r="H471" i="76"/>
  <c r="I471" i="76"/>
  <c r="H354" i="76"/>
  <c r="D354" i="76"/>
  <c r="M354" i="76"/>
  <c r="C354" i="76"/>
  <c r="G354" i="76"/>
  <c r="I354" i="76"/>
  <c r="C451" i="76"/>
  <c r="M451" i="76"/>
  <c r="D451" i="76"/>
  <c r="G451" i="76"/>
  <c r="I451" i="76"/>
  <c r="H451" i="76"/>
  <c r="I320" i="76"/>
  <c r="G320" i="76"/>
  <c r="M320" i="76"/>
  <c r="C320" i="76"/>
  <c r="H320" i="76"/>
  <c r="D320" i="76"/>
  <c r="C384" i="76"/>
  <c r="G384" i="76"/>
  <c r="H384" i="76"/>
  <c r="I384" i="76"/>
  <c r="M384" i="76"/>
  <c r="D384" i="76"/>
  <c r="I448" i="76"/>
  <c r="G448" i="76"/>
  <c r="M448" i="76"/>
  <c r="C448" i="76"/>
  <c r="D448" i="76"/>
  <c r="H448" i="76"/>
  <c r="D345" i="76"/>
  <c r="H345" i="76"/>
  <c r="G345" i="76"/>
  <c r="I345" i="76"/>
  <c r="M345" i="76"/>
  <c r="C345" i="76"/>
  <c r="D452" i="76"/>
  <c r="G452" i="76"/>
  <c r="I452" i="76"/>
  <c r="C452" i="76"/>
  <c r="H452" i="76"/>
  <c r="K452" i="76" s="1"/>
  <c r="M452" i="76"/>
  <c r="I395" i="76"/>
  <c r="C395" i="76"/>
  <c r="G395" i="76"/>
  <c r="M395" i="76"/>
  <c r="H395" i="76"/>
  <c r="D395" i="76"/>
  <c r="D290" i="76"/>
  <c r="G290" i="76"/>
  <c r="H290" i="76"/>
  <c r="I290" i="76"/>
  <c r="M290" i="76"/>
  <c r="C290" i="76"/>
  <c r="C515" i="76"/>
  <c r="H338" i="76"/>
  <c r="M338" i="76"/>
  <c r="I338" i="76"/>
  <c r="D338" i="76"/>
  <c r="G338" i="76"/>
  <c r="C338" i="76"/>
  <c r="C273" i="76"/>
  <c r="D273" i="76"/>
  <c r="G273" i="76"/>
  <c r="H273" i="76"/>
  <c r="I273" i="76"/>
  <c r="M273" i="76"/>
  <c r="C337" i="76"/>
  <c r="D337" i="76"/>
  <c r="G337" i="76"/>
  <c r="M337" i="76"/>
  <c r="I337" i="76"/>
  <c r="H337" i="76"/>
  <c r="I401" i="76"/>
  <c r="M401" i="76"/>
  <c r="C401" i="76"/>
  <c r="D401" i="76"/>
  <c r="G401" i="76"/>
  <c r="H401" i="76"/>
  <c r="H465" i="76"/>
  <c r="I465" i="76"/>
  <c r="M465" i="76"/>
  <c r="C465" i="76"/>
  <c r="G465" i="76"/>
  <c r="D465" i="76"/>
  <c r="D322" i="76"/>
  <c r="G322" i="76"/>
  <c r="M322" i="76"/>
  <c r="H322" i="76"/>
  <c r="C322" i="76"/>
  <c r="I322" i="76"/>
  <c r="C427" i="76"/>
  <c r="M427" i="76"/>
  <c r="G427" i="76"/>
  <c r="H427" i="76"/>
  <c r="I427" i="76"/>
  <c r="D427" i="76"/>
  <c r="H316" i="76"/>
  <c r="I316" i="76"/>
  <c r="C316" i="76"/>
  <c r="D316" i="76"/>
  <c r="G316" i="76"/>
  <c r="M316" i="76"/>
  <c r="C380" i="76"/>
  <c r="G380" i="76"/>
  <c r="I380" i="76"/>
  <c r="D380" i="76"/>
  <c r="M380" i="76"/>
  <c r="H380" i="76"/>
  <c r="G444" i="76"/>
  <c r="I444" i="76"/>
  <c r="D444" i="76"/>
  <c r="C444" i="76"/>
  <c r="M444" i="76"/>
  <c r="H444" i="76"/>
  <c r="I331" i="76"/>
  <c r="C331" i="76"/>
  <c r="M331" i="76"/>
  <c r="G331" i="76"/>
  <c r="D331" i="76"/>
  <c r="H331" i="76"/>
  <c r="H309" i="76"/>
  <c r="M309" i="76"/>
  <c r="C309" i="76"/>
  <c r="D309" i="76"/>
  <c r="G309" i="76"/>
  <c r="I309" i="76"/>
  <c r="C373" i="76"/>
  <c r="H373" i="76"/>
  <c r="I373" i="76"/>
  <c r="M373" i="76"/>
  <c r="D373" i="76"/>
  <c r="G373" i="76"/>
  <c r="G437" i="76"/>
  <c r="D437" i="76"/>
  <c r="I437" i="76"/>
  <c r="M437" i="76"/>
  <c r="H437" i="76"/>
  <c r="C437" i="76"/>
  <c r="I315" i="76"/>
  <c r="C315" i="76"/>
  <c r="G315" i="76"/>
  <c r="H315" i="76"/>
  <c r="D315" i="76"/>
  <c r="M315" i="76"/>
  <c r="C310" i="76"/>
  <c r="D310" i="76"/>
  <c r="G310" i="76"/>
  <c r="H310" i="76"/>
  <c r="I310" i="76"/>
  <c r="M310" i="76"/>
  <c r="D374" i="76"/>
  <c r="C374" i="76"/>
  <c r="G374" i="76"/>
  <c r="H374" i="76"/>
  <c r="M374" i="76"/>
  <c r="I374" i="76"/>
  <c r="G438" i="76"/>
  <c r="D438" i="76"/>
  <c r="I438" i="76"/>
  <c r="H438" i="76"/>
  <c r="C438" i="76"/>
  <c r="M438" i="76"/>
  <c r="C291" i="76"/>
  <c r="D291" i="76"/>
  <c r="G291" i="76"/>
  <c r="H291" i="76"/>
  <c r="I291" i="76"/>
  <c r="M291" i="76"/>
  <c r="D287" i="76"/>
  <c r="C287" i="76"/>
  <c r="G287" i="76"/>
  <c r="H287" i="76"/>
  <c r="I287" i="76"/>
  <c r="M287" i="76"/>
  <c r="H351" i="76"/>
  <c r="M351" i="76"/>
  <c r="C351" i="76"/>
  <c r="I351" i="76"/>
  <c r="D351" i="76"/>
  <c r="G351" i="76"/>
  <c r="C415" i="76"/>
  <c r="D415" i="76"/>
  <c r="G415" i="76"/>
  <c r="M415" i="76"/>
  <c r="H415" i="76"/>
  <c r="I415" i="76"/>
  <c r="D394" i="76"/>
  <c r="G394" i="76"/>
  <c r="H394" i="76"/>
  <c r="I394" i="76"/>
  <c r="M394" i="76"/>
  <c r="C394" i="76"/>
  <c r="D328" i="76"/>
  <c r="M328" i="76"/>
  <c r="C328" i="76"/>
  <c r="I328" i="76"/>
  <c r="G328" i="76"/>
  <c r="H328" i="76"/>
  <c r="D392" i="76"/>
  <c r="I392" i="76"/>
  <c r="M392" i="76"/>
  <c r="C392" i="76"/>
  <c r="H392" i="76"/>
  <c r="G392" i="76"/>
  <c r="D456" i="76"/>
  <c r="I456" i="76"/>
  <c r="M456" i="76"/>
  <c r="C456" i="76"/>
  <c r="H456" i="76"/>
  <c r="G456" i="76"/>
  <c r="D271" i="76"/>
  <c r="C271" i="76"/>
  <c r="I271" i="76"/>
  <c r="H271" i="76"/>
  <c r="G271" i="76"/>
  <c r="H508" i="76"/>
  <c r="K513" i="76"/>
  <c r="G513" i="76"/>
  <c r="D513" i="76"/>
  <c r="M513" i="76"/>
  <c r="G508" i="76"/>
  <c r="I513" i="76"/>
  <c r="H513" i="76"/>
  <c r="H507" i="76"/>
  <c r="H485" i="76"/>
  <c r="M507" i="76"/>
  <c r="M493" i="76"/>
  <c r="G493" i="76"/>
  <c r="H239" i="64"/>
  <c r="H240" i="64" s="1"/>
  <c r="E164" i="53"/>
  <c r="I79" i="26"/>
  <c r="E44" i="39"/>
  <c r="D44" i="39"/>
  <c r="H43" i="39"/>
  <c r="H42" i="39"/>
  <c r="H41" i="39"/>
  <c r="C44" i="39"/>
  <c r="H520" i="76"/>
  <c r="J44" i="39"/>
  <c r="E163" i="53"/>
  <c r="G44" i="39"/>
  <c r="I33" i="39"/>
  <c r="G495" i="76"/>
  <c r="I508" i="76"/>
  <c r="K508" i="76" s="1"/>
  <c r="M508" i="76"/>
  <c r="D508" i="76"/>
  <c r="H506" i="76"/>
  <c r="D495" i="76"/>
  <c r="M512" i="76"/>
  <c r="I496" i="76"/>
  <c r="G511" i="76"/>
  <c r="D493" i="76"/>
  <c r="I488" i="76"/>
  <c r="M485" i="76"/>
  <c r="D472" i="76"/>
  <c r="H497" i="76"/>
  <c r="D511" i="76"/>
  <c r="I486" i="76"/>
  <c r="I500" i="76"/>
  <c r="H486" i="76"/>
  <c r="K486" i="76" s="1"/>
  <c r="I519" i="76"/>
  <c r="D486" i="76"/>
  <c r="M511" i="76"/>
  <c r="D519" i="76"/>
  <c r="G486" i="76"/>
  <c r="I511" i="76"/>
  <c r="M509" i="76"/>
  <c r="G519" i="76"/>
  <c r="M486" i="76"/>
  <c r="G514" i="76"/>
  <c r="H511" i="76"/>
  <c r="K511" i="76" s="1"/>
  <c r="H519" i="76"/>
  <c r="D497" i="76"/>
  <c r="D494" i="76"/>
  <c r="M494" i="76"/>
  <c r="G520" i="76"/>
  <c r="M500" i="76"/>
  <c r="H514" i="76"/>
  <c r="I492" i="76"/>
  <c r="D492" i="76"/>
  <c r="M504" i="76"/>
  <c r="I477" i="76"/>
  <c r="H477" i="76"/>
  <c r="H495" i="76"/>
  <c r="I512" i="76"/>
  <c r="G506" i="76"/>
  <c r="M506" i="76"/>
  <c r="I506" i="76"/>
  <c r="K506" i="76" s="1"/>
  <c r="I495" i="76"/>
  <c r="G512" i="76"/>
  <c r="D512" i="76"/>
  <c r="D506" i="76"/>
  <c r="M495" i="76"/>
  <c r="H512" i="76"/>
  <c r="M514" i="76"/>
  <c r="H500" i="76"/>
  <c r="D475" i="76"/>
  <c r="D500" i="76"/>
  <c r="D484" i="76"/>
  <c r="G475" i="76"/>
  <c r="I482" i="76"/>
  <c r="H490" i="76"/>
  <c r="I514" i="76"/>
  <c r="D514" i="76"/>
  <c r="G500" i="76"/>
  <c r="H502" i="76"/>
  <c r="M502" i="76"/>
  <c r="D498" i="76"/>
  <c r="D480" i="76"/>
  <c r="H491" i="76"/>
  <c r="I480" i="76"/>
  <c r="M480" i="76"/>
  <c r="H479" i="76"/>
  <c r="M490" i="76"/>
  <c r="D482" i="76"/>
  <c r="G492" i="76"/>
  <c r="D476" i="76"/>
  <c r="G488" i="76"/>
  <c r="G480" i="76"/>
  <c r="G502" i="76"/>
  <c r="G490" i="76"/>
  <c r="M484" i="76"/>
  <c r="M488" i="76"/>
  <c r="M491" i="76"/>
  <c r="D491" i="76"/>
  <c r="H496" i="76"/>
  <c r="K496" i="76" s="1"/>
  <c r="H509" i="76"/>
  <c r="H498" i="76"/>
  <c r="H488" i="76"/>
  <c r="G485" i="76"/>
  <c r="G509" i="76"/>
  <c r="H493" i="76"/>
  <c r="H492" i="76"/>
  <c r="H480" i="76"/>
  <c r="G476" i="76"/>
  <c r="I498" i="76"/>
  <c r="I484" i="76"/>
  <c r="H503" i="76"/>
  <c r="I485" i="76"/>
  <c r="D496" i="76"/>
  <c r="I502" i="76"/>
  <c r="K502" i="76" s="1"/>
  <c r="I490" i="76"/>
  <c r="M498" i="76"/>
  <c r="H510" i="76"/>
  <c r="G484" i="76"/>
  <c r="G491" i="76"/>
  <c r="M482" i="76"/>
  <c r="D485" i="76"/>
  <c r="M496" i="76"/>
  <c r="I493" i="76"/>
  <c r="D490" i="76"/>
  <c r="G498" i="76"/>
  <c r="G482" i="76"/>
  <c r="G496" i="76"/>
  <c r="D502" i="76"/>
  <c r="M492" i="76"/>
  <c r="H476" i="76"/>
  <c r="H484" i="76"/>
  <c r="D488" i="76"/>
  <c r="I491" i="76"/>
  <c r="M475" i="76"/>
  <c r="H482" i="76"/>
  <c r="D509" i="76"/>
  <c r="G474" i="76"/>
  <c r="H474" i="76"/>
  <c r="I509" i="76"/>
  <c r="M474" i="76"/>
  <c r="I474" i="76"/>
  <c r="D474" i="76"/>
  <c r="I476" i="76"/>
  <c r="I475" i="76"/>
  <c r="M472" i="76"/>
  <c r="H499" i="76"/>
  <c r="D473" i="76"/>
  <c r="M476" i="76"/>
  <c r="G505" i="76"/>
  <c r="I473" i="76"/>
  <c r="D505" i="76"/>
  <c r="M487" i="76"/>
  <c r="G499" i="76"/>
  <c r="M473" i="76"/>
  <c r="M518" i="76"/>
  <c r="I516" i="76"/>
  <c r="I505" i="76"/>
  <c r="H475" i="76"/>
  <c r="D483" i="76"/>
  <c r="H518" i="76"/>
  <c r="H516" i="76"/>
  <c r="M505" i="76"/>
  <c r="G483" i="76"/>
  <c r="H472" i="76"/>
  <c r="D479" i="76"/>
  <c r="G497" i="76"/>
  <c r="I518" i="76"/>
  <c r="D504" i="76"/>
  <c r="I507" i="76"/>
  <c r="I499" i="76"/>
  <c r="D499" i="76"/>
  <c r="M517" i="76"/>
  <c r="I501" i="76"/>
  <c r="I489" i="76"/>
  <c r="K489" i="76" s="1"/>
  <c r="M483" i="76"/>
  <c r="M503" i="76"/>
  <c r="I472" i="76"/>
  <c r="H501" i="76"/>
  <c r="M489" i="76"/>
  <c r="I478" i="76"/>
  <c r="D518" i="76"/>
  <c r="G504" i="76"/>
  <c r="D507" i="76"/>
  <c r="D516" i="76"/>
  <c r="D487" i="76"/>
  <c r="D478" i="76"/>
  <c r="H517" i="76"/>
  <c r="G510" i="76"/>
  <c r="I520" i="76"/>
  <c r="G478" i="76"/>
  <c r="I479" i="76"/>
  <c r="D510" i="76"/>
  <c r="I517" i="76"/>
  <c r="D501" i="76"/>
  <c r="G507" i="76"/>
  <c r="M477" i="76"/>
  <c r="D517" i="76"/>
  <c r="G516" i="76"/>
  <c r="G473" i="76"/>
  <c r="G501" i="76"/>
  <c r="G489" i="76"/>
  <c r="D515" i="76"/>
  <c r="M520" i="76"/>
  <c r="H478" i="76"/>
  <c r="M479" i="76"/>
  <c r="M501" i="76"/>
  <c r="M497" i="76"/>
  <c r="H504" i="76"/>
  <c r="D477" i="76"/>
  <c r="H487" i="76"/>
  <c r="I497" i="76"/>
  <c r="G518" i="76"/>
  <c r="I504" i="76"/>
  <c r="M499" i="76"/>
  <c r="G477" i="76"/>
  <c r="G517" i="76"/>
  <c r="M516" i="76"/>
  <c r="H473" i="76"/>
  <c r="K501" i="76"/>
  <c r="D489" i="76"/>
  <c r="H505" i="76"/>
  <c r="K505" i="76" s="1"/>
  <c r="D520" i="76"/>
  <c r="K520" i="76"/>
  <c r="I483" i="76"/>
  <c r="M478" i="76"/>
  <c r="G479" i="76"/>
  <c r="G472" i="76"/>
  <c r="M510" i="76"/>
  <c r="H515" i="76"/>
  <c r="G487" i="76"/>
  <c r="G503" i="76"/>
  <c r="I510" i="76"/>
  <c r="K510" i="76" s="1"/>
  <c r="I515" i="76"/>
  <c r="I487" i="76"/>
  <c r="H483" i="76"/>
  <c r="M515" i="76"/>
  <c r="I503" i="76"/>
  <c r="K503" i="76" s="1"/>
  <c r="G515" i="76"/>
  <c r="D503" i="76"/>
  <c r="J157" i="53"/>
  <c r="J158" i="53" s="1"/>
  <c r="B194" i="53"/>
  <c r="D193" i="53"/>
  <c r="E63" i="23"/>
  <c r="E65" i="23" s="1"/>
  <c r="N156" i="53"/>
  <c r="C193" i="53"/>
  <c r="I61" i="53"/>
  <c r="I52" i="26"/>
  <c r="N155" i="53"/>
  <c r="I99" i="53"/>
  <c r="H44" i="39" l="1"/>
  <c r="K518" i="76"/>
  <c r="K469" i="76"/>
  <c r="K405" i="76"/>
  <c r="K515" i="76"/>
  <c r="K493" i="76"/>
  <c r="K516" i="76"/>
  <c r="K500" i="76"/>
  <c r="K519" i="76"/>
  <c r="K484" i="76"/>
  <c r="K512" i="76"/>
  <c r="K439" i="76"/>
  <c r="K475" i="76"/>
  <c r="K507" i="76"/>
  <c r="K483" i="76"/>
  <c r="K485" i="76"/>
  <c r="K427" i="76"/>
  <c r="K471" i="76"/>
  <c r="K517" i="76"/>
  <c r="K477" i="76"/>
  <c r="K498" i="76"/>
  <c r="K504" i="76"/>
  <c r="K509" i="76"/>
  <c r="K514" i="76"/>
  <c r="K492" i="76"/>
  <c r="K480" i="76"/>
  <c r="K428" i="76"/>
  <c r="K462" i="76"/>
  <c r="K466" i="76"/>
  <c r="K499" i="76"/>
  <c r="K495" i="76"/>
  <c r="K490" i="76"/>
  <c r="K421" i="76"/>
  <c r="K487" i="76"/>
  <c r="K497" i="76"/>
  <c r="K440" i="76"/>
  <c r="K463" i="76"/>
  <c r="K488" i="76"/>
  <c r="K407" i="76"/>
  <c r="K449" i="76"/>
  <c r="K479" i="76"/>
  <c r="K455" i="76"/>
  <c r="K342" i="76"/>
  <c r="K468" i="76"/>
  <c r="K476" i="76"/>
  <c r="K458" i="76"/>
  <c r="K461" i="76"/>
  <c r="K491" i="76"/>
  <c r="K482" i="76"/>
  <c r="K457" i="76"/>
  <c r="K465" i="76"/>
  <c r="K450" i="76"/>
  <c r="K432" i="76"/>
  <c r="K349" i="76"/>
  <c r="K446" i="76"/>
  <c r="K443" i="76"/>
  <c r="K481" i="76"/>
  <c r="K392" i="76"/>
  <c r="K399" i="76"/>
  <c r="K470" i="76"/>
  <c r="K467" i="76"/>
  <c r="K436" i="76"/>
  <c r="K442" i="76"/>
  <c r="K388" i="76"/>
  <c r="K447" i="76"/>
  <c r="K416" i="76"/>
  <c r="K419" i="76"/>
  <c r="K459" i="76"/>
  <c r="K411" i="76"/>
  <c r="K460" i="76"/>
  <c r="K474" i="76"/>
  <c r="K444" i="76"/>
  <c r="K451" i="76"/>
  <c r="K389" i="76"/>
  <c r="K456" i="76"/>
  <c r="K464" i="76"/>
  <c r="K431" i="76"/>
  <c r="K454" i="76"/>
  <c r="K390" i="76"/>
  <c r="K453" i="76"/>
  <c r="K345" i="76"/>
  <c r="K478" i="76"/>
  <c r="K438" i="76"/>
  <c r="K420" i="76"/>
  <c r="K370" i="76"/>
  <c r="K437" i="76"/>
  <c r="K433" i="76"/>
  <c r="K423" i="76"/>
  <c r="K448" i="76"/>
  <c r="K441" i="76"/>
  <c r="K424" i="76"/>
  <c r="K410" i="76"/>
  <c r="K445" i="76"/>
  <c r="K387" i="76"/>
  <c r="K414" i="76"/>
  <c r="K435" i="76"/>
  <c r="K430" i="76"/>
  <c r="K393" i="76"/>
  <c r="K413" i="76"/>
  <c r="K397" i="76"/>
  <c r="K415" i="76"/>
  <c r="K429" i="76"/>
  <c r="K378" i="76"/>
  <c r="K434" i="76"/>
  <c r="K369" i="76"/>
  <c r="K379" i="76"/>
  <c r="K403" i="76"/>
  <c r="K406" i="76"/>
  <c r="K404" i="76"/>
  <c r="K400" i="76"/>
  <c r="K364" i="76"/>
  <c r="K402" i="76"/>
  <c r="K356" i="76"/>
  <c r="K375" i="76"/>
  <c r="K418" i="76"/>
  <c r="K425" i="76"/>
  <c r="K417" i="76"/>
  <c r="K409" i="76"/>
  <c r="K426" i="76"/>
  <c r="K301" i="76"/>
  <c r="K422" i="76"/>
  <c r="K285" i="76"/>
  <c r="K401" i="76"/>
  <c r="K372" i="76"/>
  <c r="K380" i="76"/>
  <c r="K376" i="76"/>
  <c r="K398" i="76"/>
  <c r="K412" i="76"/>
  <c r="K394" i="76"/>
  <c r="K391" i="76"/>
  <c r="K351" i="76"/>
  <c r="K371" i="76"/>
  <c r="K395" i="76"/>
  <c r="K382" i="76"/>
  <c r="K396" i="76"/>
  <c r="K366" i="76"/>
  <c r="K377" i="76"/>
  <c r="K383" i="76"/>
  <c r="K323" i="76"/>
  <c r="K374" i="76"/>
  <c r="K365" i="76"/>
  <c r="K385" i="76"/>
  <c r="K386" i="76"/>
  <c r="K367" i="76"/>
  <c r="K381" i="76"/>
  <c r="K326" i="76"/>
  <c r="K384" i="76"/>
  <c r="K368" i="76"/>
  <c r="K373" i="76"/>
  <c r="K321" i="76"/>
  <c r="K304" i="76"/>
  <c r="K336" i="76"/>
  <c r="K353" i="76"/>
  <c r="K358" i="76"/>
  <c r="K357" i="76"/>
  <c r="K324" i="76"/>
  <c r="K350" i="76"/>
  <c r="K344" i="76"/>
  <c r="K363" i="76"/>
  <c r="K362" i="76"/>
  <c r="K352" i="76"/>
  <c r="K289" i="76"/>
  <c r="K310" i="76"/>
  <c r="K322" i="76"/>
  <c r="K347" i="76"/>
  <c r="K296" i="76"/>
  <c r="K361" i="76"/>
  <c r="K338" i="76"/>
  <c r="K359" i="76"/>
  <c r="K319" i="76"/>
  <c r="K316" i="76"/>
  <c r="K302" i="76"/>
  <c r="K355" i="76"/>
  <c r="K360" i="76"/>
  <c r="K354" i="76"/>
  <c r="K328" i="76"/>
  <c r="K332" i="76"/>
  <c r="K308" i="76"/>
  <c r="K329" i="76"/>
  <c r="K348" i="76"/>
  <c r="K334" i="76"/>
  <c r="K346" i="76"/>
  <c r="K341" i="76"/>
  <c r="K306" i="76"/>
  <c r="K340" i="76"/>
  <c r="K325" i="76"/>
  <c r="K339" i="76"/>
  <c r="K333" i="76"/>
  <c r="K337" i="76"/>
  <c r="K343" i="76"/>
  <c r="K314" i="76"/>
  <c r="K335" i="76"/>
  <c r="K294" i="76"/>
  <c r="K327" i="76"/>
  <c r="K330" i="76"/>
  <c r="K282" i="76"/>
  <c r="K300" i="76"/>
  <c r="K317" i="76"/>
  <c r="K331" i="76"/>
  <c r="K295" i="76"/>
  <c r="K311" i="76"/>
  <c r="K315" i="76"/>
  <c r="K299" i="76"/>
  <c r="K297" i="76"/>
  <c r="K305" i="76"/>
  <c r="K320" i="76"/>
  <c r="K312" i="76"/>
  <c r="K307" i="76"/>
  <c r="K286" i="76"/>
  <c r="K284" i="76"/>
  <c r="K313" i="76"/>
  <c r="K309" i="76"/>
  <c r="K288" i="76"/>
  <c r="K318" i="76"/>
  <c r="K303" i="76"/>
  <c r="K272" i="76"/>
  <c r="K271" i="76"/>
  <c r="K292" i="76"/>
  <c r="K290" i="76"/>
  <c r="K275" i="76"/>
  <c r="K298" i="76"/>
  <c r="K287" i="76"/>
  <c r="K276" i="76"/>
  <c r="K280" i="76"/>
  <c r="K281" i="76"/>
  <c r="K278" i="76"/>
  <c r="K293" i="76"/>
  <c r="K291" i="76"/>
  <c r="K273" i="76"/>
  <c r="K279" i="76"/>
  <c r="K277" i="76"/>
  <c r="K274" i="76"/>
  <c r="K283" i="76"/>
  <c r="N271" i="76"/>
  <c r="O271" i="76" s="1"/>
  <c r="L271" i="76" s="1"/>
  <c r="J159" i="53"/>
  <c r="F181" i="53"/>
  <c r="F180" i="53"/>
  <c r="F176" i="53"/>
  <c r="F177" i="53"/>
  <c r="F185" i="53"/>
  <c r="F179" i="53"/>
  <c r="F178" i="53"/>
  <c r="F184" i="53"/>
  <c r="F182" i="53"/>
  <c r="F183" i="53"/>
  <c r="F186" i="53"/>
  <c r="L160" i="53"/>
  <c r="C194" i="53"/>
  <c r="H131" i="26"/>
  <c r="H133" i="26" s="1"/>
  <c r="I41" i="39"/>
  <c r="I43" i="39"/>
  <c r="I42" i="39"/>
  <c r="F245" i="64"/>
  <c r="F242" i="64"/>
  <c r="F188" i="53"/>
  <c r="F190" i="53"/>
  <c r="F191" i="53"/>
  <c r="F187" i="53"/>
  <c r="F189" i="53"/>
  <c r="F192" i="53"/>
  <c r="F175" i="53"/>
  <c r="F174" i="53"/>
  <c r="F173" i="53"/>
  <c r="K473" i="76"/>
  <c r="K472" i="76"/>
  <c r="D194" i="53"/>
  <c r="I80" i="26"/>
  <c r="D64" i="23"/>
  <c r="E64" i="23" s="1"/>
  <c r="E66" i="23" s="1"/>
  <c r="I100" i="53"/>
  <c r="E166" i="53"/>
  <c r="N272" i="76" l="1"/>
  <c r="O272" i="76" s="1"/>
  <c r="L272" i="76" s="1"/>
  <c r="D165" i="53"/>
  <c r="F165" i="53" s="1"/>
  <c r="N157" i="53"/>
  <c r="O159" i="53"/>
  <c r="J160" i="53"/>
  <c r="F193" i="53"/>
  <c r="N158" i="53"/>
  <c r="F163" i="53"/>
  <c r="F164" i="53"/>
  <c r="I44" i="39"/>
  <c r="E67" i="23"/>
  <c r="E69" i="23"/>
  <c r="F69" i="23" s="1"/>
  <c r="F216" i="25" l="1"/>
  <c r="M216" i="25" s="1"/>
  <c r="C226" i="25"/>
  <c r="N273" i="76"/>
  <c r="O273" i="76" s="1"/>
  <c r="L273" i="76" s="1"/>
  <c r="F166" i="53"/>
  <c r="G220" i="25" l="1"/>
  <c r="G221" i="25" s="1"/>
  <c r="J220" i="25"/>
  <c r="E226" i="25"/>
  <c r="X220" i="25"/>
  <c r="Y220" i="25"/>
  <c r="AD220" i="25"/>
  <c r="R220" i="25"/>
  <c r="Z220" i="25"/>
  <c r="U220" i="25"/>
  <c r="S220" i="25"/>
  <c r="AA220" i="25"/>
  <c r="T220" i="25"/>
  <c r="AB220" i="25"/>
  <c r="AC220" i="25"/>
  <c r="V220" i="25"/>
  <c r="W220" i="25"/>
  <c r="I220" i="25"/>
  <c r="L220" i="25"/>
  <c r="M220" i="25"/>
  <c r="Q220" i="25"/>
  <c r="K220" i="25"/>
  <c r="O220" i="25"/>
  <c r="P220" i="25"/>
  <c r="N220" i="25"/>
  <c r="H220" i="25"/>
  <c r="U216" i="25"/>
  <c r="Z216" i="25"/>
  <c r="L216" i="25"/>
  <c r="J216" i="25"/>
  <c r="X216" i="25"/>
  <c r="AD216" i="25"/>
  <c r="Y216" i="25"/>
  <c r="AA216" i="25"/>
  <c r="O216" i="25"/>
  <c r="Q216" i="25"/>
  <c r="N216" i="25"/>
  <c r="T216" i="25"/>
  <c r="AC216" i="25"/>
  <c r="P216" i="25"/>
  <c r="W216" i="25"/>
  <c r="H216" i="25"/>
  <c r="V216" i="25"/>
  <c r="S216" i="25"/>
  <c r="AB216" i="25"/>
  <c r="R216" i="25"/>
  <c r="I216" i="25"/>
  <c r="G216" i="25"/>
  <c r="N274" i="76"/>
  <c r="N275" i="76" s="1"/>
  <c r="H221" i="25" l="1"/>
  <c r="I221" i="25" s="1"/>
  <c r="J221" i="25" s="1"/>
  <c r="K221" i="25" s="1"/>
  <c r="L221" i="25" s="1"/>
  <c r="M221" i="25" s="1"/>
  <c r="N221" i="25" s="1"/>
  <c r="O221" i="25" s="1"/>
  <c r="P221" i="25" s="1"/>
  <c r="Q221" i="25" s="1"/>
  <c r="R221" i="25" s="1"/>
  <c r="S221" i="25" s="1"/>
  <c r="T221" i="25" s="1"/>
  <c r="U221" i="25" s="1"/>
  <c r="V221" i="25" s="1"/>
  <c r="W221" i="25" s="1"/>
  <c r="X221" i="25" s="1"/>
  <c r="Y221" i="25" s="1"/>
  <c r="Z221" i="25" s="1"/>
  <c r="AA221" i="25" s="1"/>
  <c r="AB221" i="25" s="1"/>
  <c r="AC221" i="25" s="1"/>
  <c r="AD221" i="25" s="1"/>
  <c r="G230" i="25"/>
  <c r="G231" i="25" s="1"/>
  <c r="G227" i="25"/>
  <c r="G228" i="25" s="1"/>
  <c r="AD230" i="25"/>
  <c r="AA230" i="25"/>
  <c r="V230" i="25"/>
  <c r="W227" i="25"/>
  <c r="R227" i="25"/>
  <c r="V227" i="25"/>
  <c r="AA227" i="25"/>
  <c r="U227" i="25"/>
  <c r="AB230" i="25"/>
  <c r="AC227" i="25"/>
  <c r="U230" i="25"/>
  <c r="X230" i="25"/>
  <c r="T230" i="25"/>
  <c r="W230" i="25"/>
  <c r="T227" i="25"/>
  <c r="AC230" i="25"/>
  <c r="Y230" i="25"/>
  <c r="S227" i="25"/>
  <c r="S230" i="25"/>
  <c r="AD227" i="25"/>
  <c r="Z227" i="25"/>
  <c r="X227" i="25"/>
  <c r="R230" i="25"/>
  <c r="Y227" i="25"/>
  <c r="Z230" i="25"/>
  <c r="AB227" i="25"/>
  <c r="H230" i="25"/>
  <c r="Q230" i="25"/>
  <c r="I230" i="25"/>
  <c r="J230" i="25"/>
  <c r="K230" i="25"/>
  <c r="M230" i="25"/>
  <c r="P230" i="25"/>
  <c r="O230" i="25"/>
  <c r="N230" i="25"/>
  <c r="L230" i="25"/>
  <c r="AF233" i="25"/>
  <c r="AE232" i="25"/>
  <c r="K227" i="25"/>
  <c r="P227" i="25"/>
  <c r="Q227" i="25"/>
  <c r="L227" i="25"/>
  <c r="M227" i="25"/>
  <c r="N227" i="25"/>
  <c r="O227" i="25"/>
  <c r="H227" i="25"/>
  <c r="I227" i="25"/>
  <c r="J227" i="25"/>
  <c r="O274" i="76"/>
  <c r="L274" i="76" s="1"/>
  <c r="O275" i="76"/>
  <c r="L275" i="76" s="1"/>
  <c r="N276" i="76"/>
  <c r="G232" i="25" l="1"/>
  <c r="H228" i="25"/>
  <c r="H231" i="25"/>
  <c r="I231" i="25" s="1"/>
  <c r="J231" i="25" s="1"/>
  <c r="K231" i="25" s="1"/>
  <c r="L231" i="25" s="1"/>
  <c r="M231" i="25" s="1"/>
  <c r="N231" i="25" s="1"/>
  <c r="O231" i="25" s="1"/>
  <c r="P231" i="25" s="1"/>
  <c r="Q231" i="25" s="1"/>
  <c r="R231" i="25" s="1"/>
  <c r="S231" i="25" s="1"/>
  <c r="T231" i="25" s="1"/>
  <c r="U231" i="25" s="1"/>
  <c r="V231" i="25" s="1"/>
  <c r="W231" i="25" s="1"/>
  <c r="X231" i="25" s="1"/>
  <c r="Y231" i="25" s="1"/>
  <c r="Z231" i="25" s="1"/>
  <c r="AA231" i="25" s="1"/>
  <c r="AB231" i="25" s="1"/>
  <c r="AC231" i="25" s="1"/>
  <c r="AD231" i="25" s="1"/>
  <c r="O276" i="76"/>
  <c r="L276" i="76" s="1"/>
  <c r="N277" i="76"/>
  <c r="H232" i="25" l="1"/>
  <c r="I228" i="25"/>
  <c r="N278" i="76"/>
  <c r="O277" i="76"/>
  <c r="L277" i="76" s="1"/>
  <c r="I232" i="25" l="1"/>
  <c r="J228" i="25"/>
  <c r="N279" i="76"/>
  <c r="O278" i="76"/>
  <c r="L278" i="76" s="1"/>
  <c r="K228" i="25" l="1"/>
  <c r="J232" i="25"/>
  <c r="O279" i="76"/>
  <c r="L279" i="76" s="1"/>
  <c r="N280" i="76"/>
  <c r="L228" i="25" l="1"/>
  <c r="K232" i="25"/>
  <c r="O280" i="76"/>
  <c r="L280" i="76" s="1"/>
  <c r="N281" i="76"/>
  <c r="M228" i="25" l="1"/>
  <c r="L232" i="25"/>
  <c r="O281" i="76"/>
  <c r="L281" i="76" s="1"/>
  <c r="N282" i="76"/>
  <c r="M232" i="25" l="1"/>
  <c r="N228" i="25"/>
  <c r="O282" i="76"/>
  <c r="L282" i="76" s="1"/>
  <c r="N283" i="76"/>
  <c r="N232" i="25" l="1"/>
  <c r="O228" i="25"/>
  <c r="O283" i="76"/>
  <c r="L283" i="76" s="1"/>
  <c r="N284" i="76"/>
  <c r="P228" i="25" l="1"/>
  <c r="O232" i="25"/>
  <c r="N285" i="76"/>
  <c r="O284" i="76"/>
  <c r="L284" i="76" s="1"/>
  <c r="Q228" i="25" l="1"/>
  <c r="P232" i="25"/>
  <c r="N286" i="76"/>
  <c r="O285" i="76"/>
  <c r="L285" i="76" s="1"/>
  <c r="R228" i="25" l="1"/>
  <c r="Q232" i="25"/>
  <c r="O286" i="76"/>
  <c r="L286" i="76" s="1"/>
  <c r="N287" i="76"/>
  <c r="R232" i="25" l="1"/>
  <c r="S228" i="25"/>
  <c r="N288" i="76"/>
  <c r="O287" i="76"/>
  <c r="L287" i="76" s="1"/>
  <c r="S232" i="25" l="1"/>
  <c r="T228" i="25"/>
  <c r="O288" i="76"/>
  <c r="L288" i="76" s="1"/>
  <c r="N289" i="76"/>
  <c r="T232" i="25" l="1"/>
  <c r="U228" i="25"/>
  <c r="O289" i="76"/>
  <c r="L289" i="76" s="1"/>
  <c r="N290" i="76"/>
  <c r="V228" i="25" l="1"/>
  <c r="U232" i="25"/>
  <c r="O290" i="76"/>
  <c r="L290" i="76" s="1"/>
  <c r="N291" i="76"/>
  <c r="V232" i="25" l="1"/>
  <c r="W228" i="25"/>
  <c r="N292" i="76"/>
  <c r="O291" i="76"/>
  <c r="L291" i="76" s="1"/>
  <c r="W232" i="25" l="1"/>
  <c r="X228" i="25"/>
  <c r="O292" i="76"/>
  <c r="L292" i="76" s="1"/>
  <c r="N293" i="76"/>
  <c r="Y228" i="25" l="1"/>
  <c r="X232" i="25"/>
  <c r="O293" i="76"/>
  <c r="L293" i="76" s="1"/>
  <c r="N294" i="76"/>
  <c r="Y232" i="25" l="1"/>
  <c r="Z228" i="25"/>
  <c r="N295" i="76"/>
  <c r="O294" i="76"/>
  <c r="L294" i="76" s="1"/>
  <c r="Z232" i="25" l="1"/>
  <c r="AA228" i="25"/>
  <c r="O295" i="76"/>
  <c r="L295" i="76" s="1"/>
  <c r="N296" i="76"/>
  <c r="AA232" i="25" l="1"/>
  <c r="AB228" i="25"/>
  <c r="O296" i="76"/>
  <c r="L296" i="76" s="1"/>
  <c r="N297" i="76"/>
  <c r="AB232" i="25" l="1"/>
  <c r="AC228" i="25"/>
  <c r="O297" i="76"/>
  <c r="L297" i="76" s="1"/>
  <c r="N298" i="76"/>
  <c r="AD228" i="25" l="1"/>
  <c r="AD232" i="25" s="1"/>
  <c r="AC232" i="25"/>
  <c r="O298" i="76"/>
  <c r="L298" i="76" s="1"/>
  <c r="N299" i="76"/>
  <c r="O299" i="76" l="1"/>
  <c r="L299" i="76" s="1"/>
  <c r="N300" i="76"/>
  <c r="N301" i="76" l="1"/>
  <c r="O300" i="76"/>
  <c r="L300" i="76" s="1"/>
  <c r="O301" i="76" l="1"/>
  <c r="L301" i="76" s="1"/>
  <c r="N302" i="76"/>
  <c r="O302" i="76" l="1"/>
  <c r="L302" i="76" s="1"/>
  <c r="N303" i="76"/>
  <c r="O303" i="76" l="1"/>
  <c r="L303" i="76" s="1"/>
  <c r="N304" i="76"/>
  <c r="O304" i="76" l="1"/>
  <c r="L304" i="76" s="1"/>
  <c r="N305" i="76"/>
  <c r="O305" i="76" l="1"/>
  <c r="L305" i="76" s="1"/>
  <c r="N306" i="76"/>
  <c r="O306" i="76" l="1"/>
  <c r="L306" i="76" s="1"/>
  <c r="N307" i="76"/>
  <c r="O307" i="76" l="1"/>
  <c r="L307" i="76" s="1"/>
  <c r="N308" i="76"/>
  <c r="O308" i="76" l="1"/>
  <c r="L308" i="76" s="1"/>
  <c r="N309" i="76"/>
  <c r="O309" i="76" l="1"/>
  <c r="L309" i="76" s="1"/>
  <c r="N310" i="76"/>
  <c r="O310" i="76" l="1"/>
  <c r="L310" i="76" s="1"/>
  <c r="N311" i="76"/>
  <c r="O311" i="76" l="1"/>
  <c r="L311" i="76" s="1"/>
  <c r="N312" i="76"/>
  <c r="O312" i="76" l="1"/>
  <c r="L312" i="76" s="1"/>
  <c r="N313" i="76"/>
  <c r="O313" i="76" l="1"/>
  <c r="L313" i="76" s="1"/>
  <c r="N314" i="76"/>
  <c r="O314" i="76" l="1"/>
  <c r="L314" i="76" s="1"/>
  <c r="N315" i="76"/>
  <c r="O315" i="76" l="1"/>
  <c r="L315" i="76" s="1"/>
  <c r="N316" i="76"/>
  <c r="O316" i="76" l="1"/>
  <c r="L316" i="76" s="1"/>
  <c r="N317" i="76"/>
  <c r="O317" i="76" l="1"/>
  <c r="L317" i="76" s="1"/>
  <c r="N318" i="76"/>
  <c r="O318" i="76" l="1"/>
  <c r="L318" i="76" s="1"/>
  <c r="N319" i="76"/>
  <c r="O319" i="76" l="1"/>
  <c r="L319" i="76" s="1"/>
  <c r="N320" i="76"/>
  <c r="N321" i="76" l="1"/>
  <c r="O320" i="76"/>
  <c r="L320" i="76" s="1"/>
  <c r="O321" i="76" l="1"/>
  <c r="L321" i="76" s="1"/>
  <c r="N322" i="76"/>
  <c r="O322" i="76" l="1"/>
  <c r="L322" i="76" s="1"/>
  <c r="N323" i="76"/>
  <c r="O323" i="76" l="1"/>
  <c r="L323" i="76" s="1"/>
  <c r="N324" i="76"/>
  <c r="N325" i="76" l="1"/>
  <c r="O324" i="76"/>
  <c r="L324" i="76" s="1"/>
  <c r="O325" i="76" l="1"/>
  <c r="L325" i="76" s="1"/>
  <c r="N326" i="76"/>
  <c r="O326" i="76" l="1"/>
  <c r="L326" i="76" s="1"/>
  <c r="N327" i="76"/>
  <c r="O327" i="76" l="1"/>
  <c r="L327" i="76" s="1"/>
  <c r="N328" i="76"/>
  <c r="O328" i="76" l="1"/>
  <c r="L328" i="76" s="1"/>
  <c r="N329" i="76"/>
  <c r="O329" i="76" l="1"/>
  <c r="L329" i="76" s="1"/>
  <c r="N330" i="76"/>
  <c r="N331" i="76" l="1"/>
  <c r="O330" i="76"/>
  <c r="L330" i="76" s="1"/>
  <c r="O331" i="76" l="1"/>
  <c r="L331" i="76" s="1"/>
  <c r="N332" i="76"/>
  <c r="O332" i="76" l="1"/>
  <c r="L332" i="76" s="1"/>
  <c r="N333" i="76"/>
  <c r="O333" i="76" l="1"/>
  <c r="L333" i="76" s="1"/>
  <c r="N334" i="76"/>
  <c r="O334" i="76" l="1"/>
  <c r="L334" i="76" s="1"/>
  <c r="N335" i="76"/>
  <c r="O335" i="76" l="1"/>
  <c r="L335" i="76" s="1"/>
  <c r="N336" i="76"/>
  <c r="O336" i="76" l="1"/>
  <c r="L336" i="76" s="1"/>
  <c r="N337" i="76"/>
  <c r="O337" i="76" l="1"/>
  <c r="L337" i="76" s="1"/>
  <c r="N338" i="76"/>
  <c r="O338" i="76" l="1"/>
  <c r="L338" i="76" s="1"/>
  <c r="N339" i="76"/>
  <c r="O339" i="76" l="1"/>
  <c r="L339" i="76" s="1"/>
  <c r="N340" i="76"/>
  <c r="O340" i="76" l="1"/>
  <c r="L340" i="76" s="1"/>
  <c r="N341" i="76"/>
  <c r="O341" i="76" l="1"/>
  <c r="L341" i="76" s="1"/>
  <c r="N342" i="76"/>
  <c r="O342" i="76" l="1"/>
  <c r="L342" i="76" s="1"/>
  <c r="N343" i="76"/>
  <c r="N344" i="76" l="1"/>
  <c r="O343" i="76"/>
  <c r="L343" i="76" s="1"/>
  <c r="O344" i="76" l="1"/>
  <c r="L344" i="76" s="1"/>
  <c r="N345" i="76"/>
  <c r="O345" i="76" l="1"/>
  <c r="L345" i="76" s="1"/>
  <c r="N346" i="76"/>
  <c r="O346" i="76" l="1"/>
  <c r="L346" i="76" s="1"/>
  <c r="N347" i="76"/>
  <c r="N348" i="76" l="1"/>
  <c r="O347" i="76"/>
  <c r="L347" i="76" s="1"/>
  <c r="O348" i="76" l="1"/>
  <c r="L348" i="76" s="1"/>
  <c r="N349" i="76"/>
  <c r="O349" i="76" l="1"/>
  <c r="L349" i="76" s="1"/>
  <c r="N350" i="76"/>
  <c r="O350" i="76" l="1"/>
  <c r="L350" i="76" s="1"/>
  <c r="N351" i="76"/>
  <c r="O351" i="76" l="1"/>
  <c r="L351" i="76" s="1"/>
  <c r="N352" i="76"/>
  <c r="O352" i="76" l="1"/>
  <c r="L352" i="76" s="1"/>
  <c r="N353" i="76"/>
  <c r="N354" i="76" l="1"/>
  <c r="O353" i="76"/>
  <c r="L353" i="76" s="1"/>
  <c r="O354" i="76" l="1"/>
  <c r="L354" i="76" s="1"/>
  <c r="N355" i="76"/>
  <c r="O355" i="76" l="1"/>
  <c r="L355" i="76" s="1"/>
  <c r="N356" i="76"/>
  <c r="O356" i="76" l="1"/>
  <c r="L356" i="76" s="1"/>
  <c r="N357" i="76"/>
  <c r="O357" i="76" l="1"/>
  <c r="L357" i="76" s="1"/>
  <c r="N358" i="76"/>
  <c r="O358" i="76" l="1"/>
  <c r="L358" i="76" s="1"/>
  <c r="N359" i="76"/>
  <c r="O359" i="76" l="1"/>
  <c r="L359" i="76" s="1"/>
  <c r="N360" i="76"/>
  <c r="O360" i="76" l="1"/>
  <c r="L360" i="76" s="1"/>
  <c r="N361" i="76"/>
  <c r="O361" i="76" l="1"/>
  <c r="L361" i="76" s="1"/>
  <c r="N362" i="76"/>
  <c r="O362" i="76" l="1"/>
  <c r="L362" i="76" s="1"/>
  <c r="N363" i="76"/>
  <c r="O363" i="76" l="1"/>
  <c r="L363" i="76" s="1"/>
  <c r="N364" i="76"/>
  <c r="O364" i="76" l="1"/>
  <c r="L364" i="76" s="1"/>
  <c r="N365" i="76"/>
  <c r="O365" i="76" l="1"/>
  <c r="L365" i="76" s="1"/>
  <c r="N366" i="76"/>
  <c r="O366" i="76" l="1"/>
  <c r="L366" i="76" s="1"/>
  <c r="N367" i="76"/>
  <c r="O367" i="76" l="1"/>
  <c r="L367" i="76" s="1"/>
  <c r="N368" i="76"/>
  <c r="O368" i="76" l="1"/>
  <c r="L368" i="76" s="1"/>
  <c r="N369" i="76"/>
  <c r="O369" i="76" l="1"/>
  <c r="L369" i="76" s="1"/>
  <c r="N370" i="76"/>
  <c r="O370" i="76" l="1"/>
  <c r="L370" i="76" s="1"/>
  <c r="N371" i="76"/>
  <c r="O371" i="76" l="1"/>
  <c r="L371" i="76" s="1"/>
  <c r="N372" i="76"/>
  <c r="O372" i="76" l="1"/>
  <c r="L372" i="76" s="1"/>
  <c r="N373" i="76"/>
  <c r="O373" i="76" l="1"/>
  <c r="L373" i="76" s="1"/>
  <c r="N374" i="76"/>
  <c r="O374" i="76" l="1"/>
  <c r="L374" i="76" s="1"/>
  <c r="N375" i="76"/>
  <c r="O375" i="76" l="1"/>
  <c r="L375" i="76" s="1"/>
  <c r="N376" i="76"/>
  <c r="O376" i="76" l="1"/>
  <c r="L376" i="76" s="1"/>
  <c r="N377" i="76"/>
  <c r="O377" i="76" l="1"/>
  <c r="L377" i="76" s="1"/>
  <c r="N378" i="76"/>
  <c r="O378" i="76" l="1"/>
  <c r="L378" i="76" s="1"/>
  <c r="N379" i="76"/>
  <c r="O379" i="76" l="1"/>
  <c r="L379" i="76" s="1"/>
  <c r="N380" i="76"/>
  <c r="O380" i="76" l="1"/>
  <c r="L380" i="76" s="1"/>
  <c r="N381" i="76"/>
  <c r="O381" i="76" l="1"/>
  <c r="L381" i="76" s="1"/>
  <c r="N382" i="76"/>
  <c r="O382" i="76" l="1"/>
  <c r="L382" i="76" s="1"/>
  <c r="N383" i="76"/>
  <c r="O383" i="76" l="1"/>
  <c r="L383" i="76" s="1"/>
  <c r="N384" i="76"/>
  <c r="O384" i="76" l="1"/>
  <c r="L384" i="76" s="1"/>
  <c r="N385" i="76"/>
  <c r="O385" i="76" l="1"/>
  <c r="L385" i="76" s="1"/>
  <c r="N386" i="76"/>
  <c r="O386" i="76" l="1"/>
  <c r="L386" i="76" s="1"/>
  <c r="N387" i="76"/>
  <c r="O387" i="76" l="1"/>
  <c r="L387" i="76" s="1"/>
  <c r="N388" i="76"/>
  <c r="O388" i="76" l="1"/>
  <c r="L388" i="76" s="1"/>
  <c r="N389" i="76"/>
  <c r="O389" i="76" l="1"/>
  <c r="L389" i="76" s="1"/>
  <c r="N390" i="76"/>
  <c r="O390" i="76" l="1"/>
  <c r="L390" i="76" s="1"/>
  <c r="N391" i="76"/>
  <c r="O391" i="76" l="1"/>
  <c r="L391" i="76" s="1"/>
  <c r="N392" i="76"/>
  <c r="N393" i="76" l="1"/>
  <c r="O392" i="76"/>
  <c r="L392" i="76" s="1"/>
  <c r="O393" i="76" l="1"/>
  <c r="L393" i="76" s="1"/>
  <c r="N394" i="76"/>
  <c r="N395" i="76" l="1"/>
  <c r="O394" i="76"/>
  <c r="L394" i="76" s="1"/>
  <c r="O395" i="76" l="1"/>
  <c r="L395" i="76" s="1"/>
  <c r="N396" i="76"/>
  <c r="O396" i="76" l="1"/>
  <c r="L396" i="76" s="1"/>
  <c r="N397" i="76"/>
  <c r="O397" i="76" l="1"/>
  <c r="L397" i="76" s="1"/>
  <c r="N398" i="76"/>
  <c r="N399" i="76" l="1"/>
  <c r="O398" i="76"/>
  <c r="L398" i="76" s="1"/>
  <c r="N400" i="76" l="1"/>
  <c r="O399" i="76"/>
  <c r="L399" i="76" s="1"/>
  <c r="O400" i="76" l="1"/>
  <c r="L400" i="76" s="1"/>
  <c r="N401" i="76"/>
  <c r="O401" i="76" l="1"/>
  <c r="L401" i="76" s="1"/>
  <c r="N402" i="76"/>
  <c r="O402" i="76" l="1"/>
  <c r="L402" i="76" s="1"/>
  <c r="N403" i="76"/>
  <c r="O403" i="76" l="1"/>
  <c r="L403" i="76" s="1"/>
  <c r="N404" i="76"/>
  <c r="O404" i="76" l="1"/>
  <c r="L404" i="76" s="1"/>
  <c r="N405" i="76"/>
  <c r="O405" i="76" l="1"/>
  <c r="L405" i="76" s="1"/>
  <c r="N406" i="76"/>
  <c r="O406" i="76" l="1"/>
  <c r="L406" i="76" s="1"/>
  <c r="N407" i="76"/>
  <c r="O407" i="76" l="1"/>
  <c r="L407" i="76" s="1"/>
  <c r="N408" i="76"/>
  <c r="O408" i="76" l="1"/>
  <c r="L408" i="76" s="1"/>
  <c r="N409" i="76"/>
  <c r="O409" i="76" l="1"/>
  <c r="L409" i="76" s="1"/>
  <c r="N410" i="76"/>
  <c r="O410" i="76" l="1"/>
  <c r="L410" i="76" s="1"/>
  <c r="N411" i="76"/>
  <c r="O411" i="76" l="1"/>
  <c r="L411" i="76" s="1"/>
  <c r="N412" i="76"/>
  <c r="O412" i="76" l="1"/>
  <c r="L412" i="76" s="1"/>
  <c r="N413" i="76"/>
  <c r="O413" i="76" l="1"/>
  <c r="L413" i="76" s="1"/>
  <c r="N414" i="76"/>
  <c r="O414" i="76" l="1"/>
  <c r="L414" i="76" s="1"/>
  <c r="N415" i="76"/>
  <c r="O415" i="76" l="1"/>
  <c r="L415" i="76" s="1"/>
  <c r="N416" i="76"/>
  <c r="O416" i="76" l="1"/>
  <c r="L416" i="76" s="1"/>
  <c r="N417" i="76"/>
  <c r="O417" i="76" l="1"/>
  <c r="L417" i="76" s="1"/>
  <c r="N418" i="76"/>
  <c r="O418" i="76" l="1"/>
  <c r="L418" i="76" s="1"/>
  <c r="N419" i="76"/>
  <c r="O419" i="76" l="1"/>
  <c r="L419" i="76" s="1"/>
  <c r="N420" i="76"/>
  <c r="O420" i="76" l="1"/>
  <c r="L420" i="76" s="1"/>
  <c r="N421" i="76"/>
  <c r="O421" i="76" l="1"/>
  <c r="L421" i="76" s="1"/>
  <c r="N422" i="76"/>
  <c r="O422" i="76" l="1"/>
  <c r="L422" i="76" s="1"/>
  <c r="N423" i="76"/>
  <c r="O423" i="76" l="1"/>
  <c r="L423" i="76" s="1"/>
  <c r="N424" i="76"/>
  <c r="O424" i="76" l="1"/>
  <c r="L424" i="76" s="1"/>
  <c r="N425" i="76"/>
  <c r="O425" i="76" l="1"/>
  <c r="L425" i="76" s="1"/>
  <c r="N426" i="76"/>
  <c r="O426" i="76" l="1"/>
  <c r="L426" i="76" s="1"/>
  <c r="N427" i="76"/>
  <c r="O427" i="76" l="1"/>
  <c r="L427" i="76" s="1"/>
  <c r="N428" i="76"/>
  <c r="O428" i="76" l="1"/>
  <c r="L428" i="76" s="1"/>
  <c r="N429" i="76"/>
  <c r="O429" i="76" l="1"/>
  <c r="L429" i="76" s="1"/>
  <c r="N430" i="76"/>
  <c r="N431" i="76" l="1"/>
  <c r="O430" i="76"/>
  <c r="L430" i="76" s="1"/>
  <c r="O431" i="76" l="1"/>
  <c r="L431" i="76" s="1"/>
  <c r="N432" i="76"/>
  <c r="O432" i="76" l="1"/>
  <c r="L432" i="76" s="1"/>
  <c r="N433" i="76"/>
  <c r="O433" i="76" l="1"/>
  <c r="L433" i="76" s="1"/>
  <c r="N434" i="76"/>
  <c r="O434" i="76" l="1"/>
  <c r="L434" i="76" s="1"/>
  <c r="N435" i="76"/>
  <c r="O435" i="76" l="1"/>
  <c r="L435" i="76" s="1"/>
  <c r="N436" i="76"/>
  <c r="O436" i="76" l="1"/>
  <c r="L436" i="76" s="1"/>
  <c r="N437" i="76"/>
  <c r="N438" i="76" l="1"/>
  <c r="O437" i="76"/>
  <c r="L437" i="76" s="1"/>
  <c r="O438" i="76" l="1"/>
  <c r="L438" i="76" s="1"/>
  <c r="N439" i="76"/>
  <c r="O439" i="76" l="1"/>
  <c r="L439" i="76" s="1"/>
  <c r="N440" i="76"/>
  <c r="O440" i="76" l="1"/>
  <c r="L440" i="76" s="1"/>
  <c r="N441" i="76"/>
  <c r="O441" i="76" l="1"/>
  <c r="L441" i="76" s="1"/>
  <c r="N442" i="76"/>
  <c r="O442" i="76" l="1"/>
  <c r="L442" i="76" s="1"/>
  <c r="N443" i="76"/>
  <c r="O443" i="76" l="1"/>
  <c r="L443" i="76" s="1"/>
  <c r="N444" i="76"/>
  <c r="O444" i="76" l="1"/>
  <c r="L444" i="76" s="1"/>
  <c r="N445" i="76"/>
  <c r="O445" i="76" l="1"/>
  <c r="L445" i="76" s="1"/>
  <c r="N446" i="76"/>
  <c r="O446" i="76" l="1"/>
  <c r="L446" i="76" s="1"/>
  <c r="N447" i="76"/>
  <c r="O447" i="76" l="1"/>
  <c r="L447" i="76" s="1"/>
  <c r="N448" i="76"/>
  <c r="O448" i="76" l="1"/>
  <c r="L448" i="76" s="1"/>
  <c r="N449" i="76"/>
  <c r="O449" i="76" l="1"/>
  <c r="L449" i="76" s="1"/>
  <c r="N450" i="76"/>
  <c r="O450" i="76" l="1"/>
  <c r="L450" i="76" s="1"/>
  <c r="N451" i="76"/>
  <c r="O451" i="76" l="1"/>
  <c r="L451" i="76" s="1"/>
  <c r="N452" i="76"/>
  <c r="O452" i="76" l="1"/>
  <c r="L452" i="76" s="1"/>
  <c r="N453" i="76"/>
  <c r="N454" i="76" l="1"/>
  <c r="O453" i="76"/>
  <c r="L453" i="76" s="1"/>
  <c r="O454" i="76" l="1"/>
  <c r="L454" i="76" s="1"/>
  <c r="N455" i="76"/>
  <c r="O455" i="76" l="1"/>
  <c r="L455" i="76" s="1"/>
  <c r="N456" i="76"/>
  <c r="O456" i="76" l="1"/>
  <c r="L456" i="76" s="1"/>
  <c r="N457" i="76"/>
  <c r="O457" i="76" l="1"/>
  <c r="L457" i="76" s="1"/>
  <c r="N458" i="76"/>
  <c r="O458" i="76" l="1"/>
  <c r="L458" i="76" s="1"/>
  <c r="N459" i="76"/>
  <c r="O459" i="76" l="1"/>
  <c r="L459" i="76" s="1"/>
  <c r="N460" i="76"/>
  <c r="O460" i="76" l="1"/>
  <c r="L460" i="76" s="1"/>
  <c r="N461" i="76"/>
  <c r="O461" i="76" l="1"/>
  <c r="L461" i="76" s="1"/>
  <c r="N462" i="76"/>
  <c r="O462" i="76" l="1"/>
  <c r="L462" i="76" s="1"/>
  <c r="N463" i="76"/>
  <c r="O463" i="76" l="1"/>
  <c r="L463" i="76" s="1"/>
  <c r="N464" i="76"/>
  <c r="N465" i="76" l="1"/>
  <c r="O464" i="76"/>
  <c r="L464" i="76" s="1"/>
  <c r="O465" i="76" l="1"/>
  <c r="L465" i="76" s="1"/>
  <c r="N466" i="76"/>
  <c r="O466" i="76" l="1"/>
  <c r="L466" i="76" s="1"/>
  <c r="N467" i="76"/>
  <c r="O467" i="76" l="1"/>
  <c r="L467" i="76" s="1"/>
  <c r="N468" i="76"/>
  <c r="O468" i="76" l="1"/>
  <c r="L468" i="76" s="1"/>
  <c r="N469" i="76"/>
  <c r="O469" i="76" l="1"/>
  <c r="L469" i="76" s="1"/>
  <c r="N470" i="76"/>
  <c r="O470" i="76" l="1"/>
  <c r="L470" i="76" s="1"/>
  <c r="N471" i="76"/>
  <c r="O471" i="76" l="1"/>
  <c r="L471" i="76" s="1"/>
  <c r="N472" i="76"/>
  <c r="O472" i="76" l="1"/>
  <c r="L472" i="76" s="1"/>
  <c r="N473" i="76"/>
  <c r="N474" i="76" l="1"/>
  <c r="O473" i="76"/>
  <c r="L473" i="76" s="1"/>
  <c r="N475" i="76" l="1"/>
  <c r="O474" i="76"/>
  <c r="L474" i="76" s="1"/>
  <c r="N476" i="76" l="1"/>
  <c r="O475" i="76"/>
  <c r="L475" i="76" s="1"/>
  <c r="N477" i="76" l="1"/>
  <c r="O476" i="76"/>
  <c r="L476" i="76" s="1"/>
  <c r="N478" i="76" l="1"/>
  <c r="O477" i="76"/>
  <c r="L477" i="76" s="1"/>
  <c r="O478" i="76" l="1"/>
  <c r="L478" i="76" s="1"/>
  <c r="N479" i="76"/>
  <c r="N480" i="76" l="1"/>
  <c r="O479" i="76"/>
  <c r="L479" i="76" s="1"/>
  <c r="N481" i="76" l="1"/>
  <c r="O480" i="76"/>
  <c r="L480" i="76" s="1"/>
  <c r="N482" i="76" l="1"/>
  <c r="O481" i="76"/>
  <c r="L481" i="76" s="1"/>
  <c r="N483" i="76" l="1"/>
  <c r="O482" i="76"/>
  <c r="L482" i="76" s="1"/>
  <c r="N484" i="76" l="1"/>
  <c r="O483" i="76"/>
  <c r="L483" i="76" s="1"/>
  <c r="O484" i="76" l="1"/>
  <c r="L484" i="76" s="1"/>
  <c r="N485" i="76"/>
  <c r="O485" i="76" l="1"/>
  <c r="L485" i="76" s="1"/>
  <c r="N486" i="76"/>
  <c r="O486" i="76" l="1"/>
  <c r="L486" i="76" s="1"/>
  <c r="N487" i="76"/>
  <c r="O487" i="76" l="1"/>
  <c r="L487" i="76" s="1"/>
  <c r="N488" i="76"/>
  <c r="O488" i="76" l="1"/>
  <c r="L488" i="76" s="1"/>
  <c r="N489" i="76"/>
  <c r="O489" i="76" l="1"/>
  <c r="L489" i="76" s="1"/>
  <c r="N490" i="76"/>
  <c r="O490" i="76" l="1"/>
  <c r="L490" i="76" s="1"/>
  <c r="N491" i="76"/>
  <c r="O491" i="76" l="1"/>
  <c r="L491" i="76" s="1"/>
  <c r="N492" i="76"/>
  <c r="O492" i="76" l="1"/>
  <c r="L492" i="76" s="1"/>
  <c r="N493" i="76"/>
  <c r="O493" i="76" l="1"/>
  <c r="L493" i="76" s="1"/>
  <c r="N494" i="76"/>
  <c r="O494" i="76" l="1"/>
  <c r="L494" i="76" s="1"/>
  <c r="N495" i="76"/>
  <c r="O495" i="76" l="1"/>
  <c r="L495" i="76" s="1"/>
  <c r="N496" i="76"/>
  <c r="O496" i="76" l="1"/>
  <c r="L496" i="76" s="1"/>
  <c r="N497" i="76"/>
  <c r="O497" i="76" l="1"/>
  <c r="L497" i="76" s="1"/>
  <c r="N498" i="76"/>
  <c r="O498" i="76" l="1"/>
  <c r="L498" i="76" s="1"/>
  <c r="N499" i="76"/>
  <c r="O499" i="76" l="1"/>
  <c r="L499" i="76" s="1"/>
  <c r="N500" i="76"/>
  <c r="O500" i="76" l="1"/>
  <c r="L500" i="76" s="1"/>
  <c r="N501" i="76"/>
  <c r="O501" i="76" l="1"/>
  <c r="L501" i="76" s="1"/>
  <c r="N502" i="76"/>
  <c r="O502" i="76" l="1"/>
  <c r="L502" i="76" s="1"/>
  <c r="N503" i="76"/>
  <c r="O503" i="76" l="1"/>
  <c r="L503" i="76" s="1"/>
  <c r="N504" i="76"/>
  <c r="O504" i="76" l="1"/>
  <c r="L504" i="76" s="1"/>
  <c r="N505" i="76"/>
  <c r="O505" i="76" l="1"/>
  <c r="L505" i="76" s="1"/>
  <c r="N506" i="76"/>
  <c r="O506" i="76" l="1"/>
  <c r="L506" i="76" s="1"/>
  <c r="N507" i="76"/>
  <c r="O507" i="76" l="1"/>
  <c r="L507" i="76" s="1"/>
  <c r="N508" i="76"/>
  <c r="O508" i="76" l="1"/>
  <c r="L508" i="76" s="1"/>
  <c r="N509" i="76"/>
  <c r="O509" i="76" l="1"/>
  <c r="L509" i="76" s="1"/>
  <c r="N510" i="76"/>
  <c r="O510" i="76" l="1"/>
  <c r="L510" i="76" s="1"/>
  <c r="N511" i="76"/>
  <c r="O511" i="76" l="1"/>
  <c r="L511" i="76" s="1"/>
  <c r="N512" i="76"/>
  <c r="O512" i="76" l="1"/>
  <c r="L512" i="76" s="1"/>
  <c r="N513" i="76"/>
  <c r="O513" i="76" l="1"/>
  <c r="L513" i="76" s="1"/>
  <c r="N514" i="76"/>
  <c r="O514" i="76" l="1"/>
  <c r="L514" i="76" s="1"/>
  <c r="N515" i="76"/>
  <c r="O515" i="76" l="1"/>
  <c r="L515" i="76" s="1"/>
  <c r="N516" i="76"/>
  <c r="O516" i="76" l="1"/>
  <c r="L516" i="76" s="1"/>
  <c r="N517" i="76"/>
  <c r="O517" i="76" l="1"/>
  <c r="L517" i="76" s="1"/>
  <c r="N518" i="76"/>
  <c r="O518" i="76" l="1"/>
  <c r="L518" i="76" s="1"/>
  <c r="N519" i="76"/>
  <c r="O519" i="76" l="1"/>
  <c r="L519" i="76" s="1"/>
  <c r="N520" i="76"/>
  <c r="O520" i="76" s="1"/>
  <c r="L520" i="76" s="1"/>
  <c r="M521" i="76" l="1"/>
  <c r="P519" i="76"/>
  <c r="A519" i="76" s="1"/>
  <c r="G776" i="76" s="1"/>
  <c r="P518" i="76"/>
  <c r="A518" i="76" s="1"/>
  <c r="G775" i="76" s="1"/>
  <c r="P520" i="76"/>
  <c r="A520" i="76" s="1"/>
  <c r="G777" i="76" s="1"/>
  <c r="P506" i="76"/>
  <c r="A506" i="76" s="1"/>
  <c r="G763" i="76" s="1"/>
  <c r="P470" i="76"/>
  <c r="A470" i="76" s="1"/>
  <c r="G727" i="76" s="1"/>
  <c r="P359" i="76"/>
  <c r="A359" i="76" s="1"/>
  <c r="G616" i="76" s="1"/>
  <c r="P340" i="76"/>
  <c r="A340" i="76" s="1"/>
  <c r="G597" i="76" s="1"/>
  <c r="P395" i="76"/>
  <c r="A395" i="76" s="1"/>
  <c r="G652" i="76" s="1"/>
  <c r="P413" i="76"/>
  <c r="A413" i="76" s="1"/>
  <c r="G670" i="76" s="1"/>
  <c r="P492" i="76"/>
  <c r="A492" i="76" s="1"/>
  <c r="G749" i="76" s="1"/>
  <c r="P500" i="76"/>
  <c r="A500" i="76" s="1"/>
  <c r="G757" i="76" s="1"/>
  <c r="P438" i="76"/>
  <c r="A438" i="76" s="1"/>
  <c r="G695" i="76" s="1"/>
  <c r="P408" i="76"/>
  <c r="A408" i="76" s="1"/>
  <c r="G665" i="76" s="1"/>
  <c r="P441" i="76"/>
  <c r="A441" i="76" s="1"/>
  <c r="G698" i="76" s="1"/>
  <c r="P325" i="76"/>
  <c r="A325" i="76" s="1"/>
  <c r="G582" i="76" s="1"/>
  <c r="P282" i="76"/>
  <c r="A282" i="76" s="1"/>
  <c r="G539" i="76" s="1"/>
  <c r="P466" i="76"/>
  <c r="A466" i="76" s="1"/>
  <c r="G723" i="76" s="1"/>
  <c r="P501" i="76"/>
  <c r="A501" i="76" s="1"/>
  <c r="G758" i="76" s="1"/>
  <c r="P419" i="76"/>
  <c r="A419" i="76" s="1"/>
  <c r="G676" i="76" s="1"/>
  <c r="P369" i="76"/>
  <c r="A369" i="76" s="1"/>
  <c r="G626" i="76" s="1"/>
  <c r="P426" i="76"/>
  <c r="A426" i="76" s="1"/>
  <c r="G683" i="76" s="1"/>
  <c r="P295" i="76"/>
  <c r="A295" i="76" s="1"/>
  <c r="G552" i="76" s="1"/>
  <c r="P329" i="76"/>
  <c r="A329" i="76" s="1"/>
  <c r="G586" i="76" s="1"/>
  <c r="P341" i="76"/>
  <c r="A341" i="76" s="1"/>
  <c r="G598" i="76" s="1"/>
  <c r="P484" i="76"/>
  <c r="A484" i="76" s="1"/>
  <c r="G741" i="76" s="1"/>
  <c r="P409" i="76"/>
  <c r="A409" i="76" s="1"/>
  <c r="G666" i="76" s="1"/>
  <c r="P442" i="76"/>
  <c r="A442" i="76" s="1"/>
  <c r="G699" i="76" s="1"/>
  <c r="P336" i="76"/>
  <c r="A336" i="76" s="1"/>
  <c r="G593" i="76" s="1"/>
  <c r="P430" i="76"/>
  <c r="A430" i="76" s="1"/>
  <c r="G687" i="76" s="1"/>
  <c r="P467" i="76"/>
  <c r="A467" i="76" s="1"/>
  <c r="G724" i="76" s="1"/>
  <c r="P321" i="76"/>
  <c r="A321" i="76" s="1"/>
  <c r="G578" i="76" s="1"/>
  <c r="P274" i="76"/>
  <c r="A274" i="76" s="1"/>
  <c r="G531" i="76" s="1"/>
  <c r="P487" i="76"/>
  <c r="A487" i="76" s="1"/>
  <c r="G744" i="76" s="1"/>
  <c r="P504" i="76"/>
  <c r="A504" i="76" s="1"/>
  <c r="G761" i="76" s="1"/>
  <c r="P335" i="76"/>
  <c r="A335" i="76" s="1"/>
  <c r="G592" i="76" s="1"/>
  <c r="P342" i="76"/>
  <c r="A342" i="76" s="1"/>
  <c r="G599" i="76" s="1"/>
  <c r="P365" i="76"/>
  <c r="A365" i="76" s="1"/>
  <c r="G622" i="76" s="1"/>
  <c r="P347" i="76"/>
  <c r="A347" i="76" s="1"/>
  <c r="G604" i="76" s="1"/>
  <c r="P493" i="76"/>
  <c r="A493" i="76" s="1"/>
  <c r="G750" i="76" s="1"/>
  <c r="P412" i="76"/>
  <c r="A412" i="76" s="1"/>
  <c r="G669" i="76" s="1"/>
  <c r="P313" i="76"/>
  <c r="A313" i="76" s="1"/>
  <c r="G570" i="76" s="1"/>
  <c r="P517" i="76"/>
  <c r="A517" i="76" s="1"/>
  <c r="G774" i="76" s="1"/>
  <c r="P511" i="76"/>
  <c r="A511" i="76" s="1"/>
  <c r="G768" i="76" s="1"/>
  <c r="P435" i="76"/>
  <c r="A435" i="76" s="1"/>
  <c r="G692" i="76" s="1"/>
  <c r="P358" i="76"/>
  <c r="A358" i="76" s="1"/>
  <c r="G615" i="76" s="1"/>
  <c r="P331" i="76"/>
  <c r="A331" i="76" s="1"/>
  <c r="G588" i="76" s="1"/>
  <c r="P383" i="76"/>
  <c r="A383" i="76" s="1"/>
  <c r="G640" i="76" s="1"/>
  <c r="P458" i="76"/>
  <c r="A458" i="76" s="1"/>
  <c r="G715" i="76" s="1"/>
  <c r="P311" i="76"/>
  <c r="A311" i="76" s="1"/>
  <c r="G568" i="76" s="1"/>
  <c r="P306" i="76"/>
  <c r="A306" i="76" s="1"/>
  <c r="G563" i="76" s="1"/>
  <c r="P284" i="76"/>
  <c r="A284" i="76" s="1"/>
  <c r="G541" i="76" s="1"/>
  <c r="P420" i="76"/>
  <c r="A420" i="76" s="1"/>
  <c r="G677" i="76" s="1"/>
  <c r="P344" i="76"/>
  <c r="A344" i="76" s="1"/>
  <c r="G601" i="76" s="1"/>
  <c r="P482" i="76"/>
  <c r="A482" i="76" s="1"/>
  <c r="G739" i="76" s="1"/>
  <c r="P338" i="76"/>
  <c r="A338" i="76" s="1"/>
  <c r="G595" i="76" s="1"/>
  <c r="P450" i="76"/>
  <c r="A450" i="76" s="1"/>
  <c r="G707" i="76" s="1"/>
  <c r="P437" i="76"/>
  <c r="A437" i="76" s="1"/>
  <c r="G694" i="76" s="1"/>
  <c r="P351" i="76"/>
  <c r="A351" i="76" s="1"/>
  <c r="G608" i="76" s="1"/>
  <c r="P307" i="76"/>
  <c r="A307" i="76" s="1"/>
  <c r="G564" i="76" s="1"/>
  <c r="P290" i="76"/>
  <c r="A290" i="76" s="1"/>
  <c r="G547" i="76" s="1"/>
  <c r="P275" i="76"/>
  <c r="A275" i="76" s="1"/>
  <c r="G532" i="76" s="1"/>
  <c r="P483" i="76"/>
  <c r="A483" i="76" s="1"/>
  <c r="G740" i="76" s="1"/>
  <c r="P330" i="76"/>
  <c r="A330" i="76" s="1"/>
  <c r="G587" i="76" s="1"/>
  <c r="P291" i="76"/>
  <c r="A291" i="76" s="1"/>
  <c r="G548" i="76" s="1"/>
  <c r="P280" i="76"/>
  <c r="A280" i="76" s="1"/>
  <c r="G537" i="76" s="1"/>
  <c r="P324" i="76"/>
  <c r="A324" i="76" s="1"/>
  <c r="G581" i="76" s="1"/>
  <c r="P319" i="76"/>
  <c r="A319" i="76" s="1"/>
  <c r="G576" i="76" s="1"/>
  <c r="P283" i="76"/>
  <c r="A283" i="76" s="1"/>
  <c r="G540" i="76" s="1"/>
  <c r="P393" i="76"/>
  <c r="A393" i="76" s="1"/>
  <c r="G650" i="76" s="1"/>
  <c r="P374" i="76"/>
  <c r="A374" i="76" s="1"/>
  <c r="G631" i="76" s="1"/>
  <c r="P460" i="76"/>
  <c r="A460" i="76" s="1"/>
  <c r="G717" i="76" s="1"/>
  <c r="P494" i="76"/>
  <c r="A494" i="76" s="1"/>
  <c r="G751" i="76" s="1"/>
  <c r="P314" i="76"/>
  <c r="A314" i="76" s="1"/>
  <c r="G571" i="76" s="1"/>
  <c r="P433" i="76"/>
  <c r="A433" i="76" s="1"/>
  <c r="G690" i="76" s="1"/>
  <c r="P429" i="76"/>
  <c r="A429" i="76" s="1"/>
  <c r="G686" i="76" s="1"/>
  <c r="P509" i="76"/>
  <c r="A509" i="76" s="1"/>
  <c r="G766" i="76" s="1"/>
  <c r="P513" i="76"/>
  <c r="A513" i="76" s="1"/>
  <c r="G770" i="76" s="1"/>
  <c r="P431" i="76"/>
  <c r="A431" i="76" s="1"/>
  <c r="G688" i="76" s="1"/>
  <c r="P294" i="76"/>
  <c r="A294" i="76" s="1"/>
  <c r="G551" i="76" s="1"/>
  <c r="P391" i="76"/>
  <c r="A391" i="76" s="1"/>
  <c r="G648" i="76" s="1"/>
  <c r="P406" i="76"/>
  <c r="A406" i="76" s="1"/>
  <c r="G663" i="76" s="1"/>
  <c r="P355" i="76"/>
  <c r="A355" i="76" s="1"/>
  <c r="G612" i="76" s="1"/>
  <c r="P376" i="76"/>
  <c r="A376" i="76" s="1"/>
  <c r="G633" i="76" s="1"/>
  <c r="P323" i="76"/>
  <c r="A323" i="76" s="1"/>
  <c r="G580" i="76" s="1"/>
  <c r="P405" i="76"/>
  <c r="A405" i="76" s="1"/>
  <c r="G662" i="76" s="1"/>
  <c r="P485" i="76"/>
  <c r="A485" i="76" s="1"/>
  <c r="G742" i="76" s="1"/>
  <c r="P364" i="76"/>
  <c r="A364" i="76" s="1"/>
  <c r="G621" i="76" s="1"/>
  <c r="P315" i="76"/>
  <c r="A315" i="76" s="1"/>
  <c r="G572" i="76" s="1"/>
  <c r="P445" i="76"/>
  <c r="A445" i="76" s="1"/>
  <c r="G702" i="76" s="1"/>
  <c r="P415" i="76"/>
  <c r="A415" i="76" s="1"/>
  <c r="G672" i="76" s="1"/>
  <c r="P436" i="76"/>
  <c r="A436" i="76" s="1"/>
  <c r="G693" i="76" s="1"/>
  <c r="P468" i="76"/>
  <c r="A468" i="76" s="1"/>
  <c r="G725" i="76" s="1"/>
  <c r="P479" i="76"/>
  <c r="A479" i="76" s="1"/>
  <c r="G736" i="76" s="1"/>
  <c r="P366" i="76"/>
  <c r="A366" i="76" s="1"/>
  <c r="G623" i="76" s="1"/>
  <c r="P400" i="76"/>
  <c r="A400" i="76" s="1"/>
  <c r="G657" i="76" s="1"/>
  <c r="P320" i="76"/>
  <c r="A320" i="76" s="1"/>
  <c r="G577" i="76" s="1"/>
  <c r="P496" i="76"/>
  <c r="A496" i="76" s="1"/>
  <c r="G753" i="76" s="1"/>
  <c r="P332" i="76"/>
  <c r="A332" i="76" s="1"/>
  <c r="G589" i="76" s="1"/>
  <c r="P345" i="76"/>
  <c r="A345" i="76" s="1"/>
  <c r="G602" i="76" s="1"/>
  <c r="P352" i="76"/>
  <c r="A352" i="76" s="1"/>
  <c r="G609" i="76" s="1"/>
  <c r="P465" i="76"/>
  <c r="A465" i="76" s="1"/>
  <c r="G722" i="76" s="1"/>
  <c r="P411" i="76"/>
  <c r="A411" i="76" s="1"/>
  <c r="G668" i="76" s="1"/>
  <c r="P497" i="76"/>
  <c r="A497" i="76" s="1"/>
  <c r="G754" i="76" s="1"/>
  <c r="P423" i="76"/>
  <c r="A423" i="76" s="1"/>
  <c r="G680" i="76" s="1"/>
  <c r="P398" i="76"/>
  <c r="A398" i="76" s="1"/>
  <c r="G655" i="76" s="1"/>
  <c r="P305" i="76"/>
  <c r="A305" i="76" s="1"/>
  <c r="G562" i="76" s="1"/>
  <c r="P303" i="76"/>
  <c r="A303" i="76" s="1"/>
  <c r="G560" i="76" s="1"/>
  <c r="P318" i="76"/>
  <c r="A318" i="76" s="1"/>
  <c r="G575" i="76" s="1"/>
  <c r="P459" i="76"/>
  <c r="A459" i="76" s="1"/>
  <c r="G716" i="76" s="1"/>
  <c r="P514" i="76"/>
  <c r="A514" i="76" s="1"/>
  <c r="G771" i="76" s="1"/>
  <c r="P508" i="76"/>
  <c r="A508" i="76" s="1"/>
  <c r="G765" i="76" s="1"/>
  <c r="P403" i="76"/>
  <c r="A403" i="76" s="1"/>
  <c r="G660" i="76" s="1"/>
  <c r="P372" i="76"/>
  <c r="A372" i="76" s="1"/>
  <c r="G629" i="76" s="1"/>
  <c r="P396" i="76"/>
  <c r="A396" i="76" s="1"/>
  <c r="G653" i="76" s="1"/>
  <c r="P410" i="76"/>
  <c r="A410" i="76" s="1"/>
  <c r="G667" i="76" s="1"/>
  <c r="P475" i="76"/>
  <c r="A475" i="76" s="1"/>
  <c r="G732" i="76" s="1"/>
  <c r="P428" i="76"/>
  <c r="A428" i="76" s="1"/>
  <c r="G685" i="76" s="1"/>
  <c r="P381" i="76"/>
  <c r="A381" i="76" s="1"/>
  <c r="G638" i="76" s="1"/>
  <c r="P452" i="76"/>
  <c r="A452" i="76" s="1"/>
  <c r="G709" i="76" s="1"/>
  <c r="P451" i="76"/>
  <c r="A451" i="76" s="1"/>
  <c r="G708" i="76" s="1"/>
  <c r="P301" i="76"/>
  <c r="A301" i="76" s="1"/>
  <c r="G558" i="76" s="1"/>
  <c r="P281" i="76"/>
  <c r="A281" i="76" s="1"/>
  <c r="G538" i="76" s="1"/>
  <c r="P296" i="76"/>
  <c r="A296" i="76" s="1"/>
  <c r="G553" i="76" s="1"/>
  <c r="P477" i="76"/>
  <c r="A477" i="76" s="1"/>
  <c r="G734" i="76" s="1"/>
  <c r="P312" i="76"/>
  <c r="A312" i="76" s="1"/>
  <c r="G569" i="76" s="1"/>
  <c r="P471" i="76"/>
  <c r="A471" i="76" s="1"/>
  <c r="G728" i="76" s="1"/>
  <c r="P360" i="76"/>
  <c r="A360" i="76" s="1"/>
  <c r="G617" i="76" s="1"/>
  <c r="P499" i="76"/>
  <c r="A499" i="76" s="1"/>
  <c r="G756" i="76" s="1"/>
  <c r="P498" i="76"/>
  <c r="A498" i="76" s="1"/>
  <c r="G755" i="76" s="1"/>
  <c r="P328" i="76"/>
  <c r="A328" i="76" s="1"/>
  <c r="G585" i="76" s="1"/>
  <c r="P502" i="76"/>
  <c r="A502" i="76" s="1"/>
  <c r="G759" i="76" s="1"/>
  <c r="P297" i="76"/>
  <c r="A297" i="76" s="1"/>
  <c r="G554" i="76" s="1"/>
  <c r="P356" i="76"/>
  <c r="A356" i="76" s="1"/>
  <c r="G613" i="76" s="1"/>
  <c r="P434" i="76"/>
  <c r="A434" i="76" s="1"/>
  <c r="G691" i="76" s="1"/>
  <c r="P457" i="76"/>
  <c r="A457" i="76" s="1"/>
  <c r="G714" i="76" s="1"/>
  <c r="P472" i="76"/>
  <c r="A472" i="76" s="1"/>
  <c r="G729" i="76" s="1"/>
  <c r="P495" i="76"/>
  <c r="A495" i="76" s="1"/>
  <c r="G752" i="76" s="1"/>
  <c r="P427" i="76"/>
  <c r="A427" i="76" s="1"/>
  <c r="G684" i="76" s="1"/>
  <c r="P379" i="76"/>
  <c r="A379" i="76" s="1"/>
  <c r="G636" i="76" s="1"/>
  <c r="P349" i="76"/>
  <c r="A349" i="76" s="1"/>
  <c r="G606" i="76" s="1"/>
  <c r="P326" i="76"/>
  <c r="A326" i="76" s="1"/>
  <c r="G583" i="76" s="1"/>
  <c r="P370" i="76"/>
  <c r="A370" i="76" s="1"/>
  <c r="G627" i="76" s="1"/>
  <c r="P346" i="76"/>
  <c r="A346" i="76" s="1"/>
  <c r="G603" i="76" s="1"/>
  <c r="P512" i="76"/>
  <c r="A512" i="76" s="1"/>
  <c r="G769" i="76" s="1"/>
  <c r="P510" i="76"/>
  <c r="A510" i="76" s="1"/>
  <c r="G767" i="76" s="1"/>
  <c r="P416" i="76"/>
  <c r="A416" i="76" s="1"/>
  <c r="G673" i="76" s="1"/>
  <c r="P354" i="76"/>
  <c r="A354" i="76" s="1"/>
  <c r="G611" i="76" s="1"/>
  <c r="P298" i="76"/>
  <c r="A298" i="76" s="1"/>
  <c r="G555" i="76" s="1"/>
  <c r="P407" i="76"/>
  <c r="A407" i="76" s="1"/>
  <c r="G664" i="76" s="1"/>
  <c r="P357" i="76"/>
  <c r="A357" i="76" s="1"/>
  <c r="G614" i="76" s="1"/>
  <c r="P444" i="76"/>
  <c r="A444" i="76" s="1"/>
  <c r="G701" i="76" s="1"/>
  <c r="P299" i="76"/>
  <c r="A299" i="76" s="1"/>
  <c r="G556" i="76" s="1"/>
  <c r="P390" i="76"/>
  <c r="A390" i="76" s="1"/>
  <c r="G647" i="76" s="1"/>
  <c r="P273" i="76"/>
  <c r="A273" i="76" s="1"/>
  <c r="G530" i="76" s="1"/>
  <c r="P397" i="76"/>
  <c r="A397" i="76" s="1"/>
  <c r="G654" i="76" s="1"/>
  <c r="P432" i="76"/>
  <c r="A432" i="76" s="1"/>
  <c r="G689" i="76" s="1"/>
  <c r="P308" i="76"/>
  <c r="A308" i="76" s="1"/>
  <c r="G565" i="76" s="1"/>
  <c r="P401" i="76"/>
  <c r="A401" i="76" s="1"/>
  <c r="G658" i="76" s="1"/>
  <c r="P371" i="76"/>
  <c r="A371" i="76" s="1"/>
  <c r="G628" i="76" s="1"/>
  <c r="P300" i="76"/>
  <c r="A300" i="76" s="1"/>
  <c r="G557" i="76" s="1"/>
  <c r="P454" i="76"/>
  <c r="A454" i="76" s="1"/>
  <c r="G711" i="76" s="1"/>
  <c r="P392" i="76"/>
  <c r="A392" i="76" s="1"/>
  <c r="G649" i="76" s="1"/>
  <c r="P424" i="76"/>
  <c r="A424" i="76" s="1"/>
  <c r="G681" i="76" s="1"/>
  <c r="P377" i="76"/>
  <c r="A377" i="76" s="1"/>
  <c r="G634" i="76" s="1"/>
  <c r="P343" i="76"/>
  <c r="A343" i="76" s="1"/>
  <c r="G600" i="76" s="1"/>
  <c r="P272" i="76"/>
  <c r="A272" i="76" s="1"/>
  <c r="G529" i="76" s="1"/>
  <c r="P439" i="76"/>
  <c r="A439" i="76" s="1"/>
  <c r="G696" i="76" s="1"/>
  <c r="P289" i="76"/>
  <c r="A289" i="76" s="1"/>
  <c r="G546" i="76" s="1"/>
  <c r="P489" i="76"/>
  <c r="A489" i="76" s="1"/>
  <c r="G746" i="76" s="1"/>
  <c r="P461" i="76"/>
  <c r="A461" i="76" s="1"/>
  <c r="G718" i="76" s="1"/>
  <c r="P455" i="76"/>
  <c r="A455" i="76" s="1"/>
  <c r="G712" i="76" s="1"/>
  <c r="P389" i="76"/>
  <c r="A389" i="76" s="1"/>
  <c r="G646" i="76" s="1"/>
  <c r="P456" i="76"/>
  <c r="A456" i="76" s="1"/>
  <c r="G713" i="76" s="1"/>
  <c r="P316" i="76"/>
  <c r="A316" i="76" s="1"/>
  <c r="G573" i="76" s="1"/>
  <c r="P287" i="76"/>
  <c r="A287" i="76" s="1"/>
  <c r="G544" i="76" s="1"/>
  <c r="P476" i="76"/>
  <c r="A476" i="76" s="1"/>
  <c r="G733" i="76" s="1"/>
  <c r="P293" i="76"/>
  <c r="A293" i="76" s="1"/>
  <c r="G550" i="76" s="1"/>
  <c r="P286" i="76"/>
  <c r="A286" i="76" s="1"/>
  <c r="G543" i="76" s="1"/>
  <c r="P507" i="76"/>
  <c r="A507" i="76" s="1"/>
  <c r="G764" i="76" s="1"/>
  <c r="P516" i="76"/>
  <c r="A516" i="76" s="1"/>
  <c r="G773" i="76" s="1"/>
  <c r="P453" i="76"/>
  <c r="A453" i="76" s="1"/>
  <c r="G710" i="76" s="1"/>
  <c r="P292" i="76"/>
  <c r="A292" i="76" s="1"/>
  <c r="G549" i="76" s="1"/>
  <c r="P486" i="76"/>
  <c r="A486" i="76" s="1"/>
  <c r="G743" i="76" s="1"/>
  <c r="P404" i="76"/>
  <c r="A404" i="76" s="1"/>
  <c r="G661" i="76" s="1"/>
  <c r="P309" i="76"/>
  <c r="A309" i="76" s="1"/>
  <c r="G566" i="76" s="1"/>
  <c r="P382" i="76"/>
  <c r="A382" i="76" s="1"/>
  <c r="G639" i="76" s="1"/>
  <c r="P478" i="76"/>
  <c r="A478" i="76" s="1"/>
  <c r="G735" i="76" s="1"/>
  <c r="P317" i="76"/>
  <c r="A317" i="76" s="1"/>
  <c r="G574" i="76" s="1"/>
  <c r="P363" i="76"/>
  <c r="A363" i="76" s="1"/>
  <c r="G620" i="76" s="1"/>
  <c r="P422" i="76"/>
  <c r="A422" i="76" s="1"/>
  <c r="G679" i="76" s="1"/>
  <c r="P285" i="76"/>
  <c r="A285" i="76" s="1"/>
  <c r="G542" i="76" s="1"/>
  <c r="P417" i="76"/>
  <c r="A417" i="76" s="1"/>
  <c r="G674" i="76" s="1"/>
  <c r="P288" i="76"/>
  <c r="A288" i="76" s="1"/>
  <c r="G545" i="76" s="1"/>
  <c r="P277" i="76"/>
  <c r="A277" i="76" s="1"/>
  <c r="G534" i="76" s="1"/>
  <c r="P425" i="76"/>
  <c r="A425" i="76" s="1"/>
  <c r="G682" i="76" s="1"/>
  <c r="P375" i="76"/>
  <c r="A375" i="76" s="1"/>
  <c r="G632" i="76" s="1"/>
  <c r="P447" i="76"/>
  <c r="A447" i="76" s="1"/>
  <c r="G704" i="76" s="1"/>
  <c r="P373" i="76"/>
  <c r="A373" i="76" s="1"/>
  <c r="G630" i="76" s="1"/>
  <c r="P464" i="76"/>
  <c r="A464" i="76" s="1"/>
  <c r="G721" i="76" s="1"/>
  <c r="P361" i="76"/>
  <c r="A361" i="76" s="1"/>
  <c r="G618" i="76" s="1"/>
  <c r="P473" i="76"/>
  <c r="A473" i="76" s="1"/>
  <c r="G730" i="76" s="1"/>
  <c r="P385" i="76"/>
  <c r="A385" i="76" s="1"/>
  <c r="G642" i="76" s="1"/>
  <c r="P491" i="76"/>
  <c r="A491" i="76" s="1"/>
  <c r="G748" i="76" s="1"/>
  <c r="P388" i="76"/>
  <c r="A388" i="76" s="1"/>
  <c r="G645" i="76" s="1"/>
  <c r="P310" i="76"/>
  <c r="A310" i="76" s="1"/>
  <c r="G567" i="76" s="1"/>
  <c r="P337" i="76"/>
  <c r="A337" i="76" s="1"/>
  <c r="G594" i="76" s="1"/>
  <c r="P480" i="76"/>
  <c r="A480" i="76" s="1"/>
  <c r="G737" i="76" s="1"/>
  <c r="P271" i="76"/>
  <c r="A271" i="76" s="1"/>
  <c r="G528" i="76" s="1"/>
  <c r="P421" i="76"/>
  <c r="A421" i="76" s="1"/>
  <c r="G678" i="76" s="1"/>
  <c r="P394" i="76"/>
  <c r="A394" i="76" s="1"/>
  <c r="G651" i="76" s="1"/>
  <c r="P443" i="76"/>
  <c r="A443" i="76" s="1"/>
  <c r="G700" i="76" s="1"/>
  <c r="P327" i="76"/>
  <c r="A327" i="76" s="1"/>
  <c r="G584" i="76" s="1"/>
  <c r="P505" i="76"/>
  <c r="A505" i="76" s="1"/>
  <c r="G762" i="76" s="1"/>
  <c r="P278" i="76"/>
  <c r="A278" i="76" s="1"/>
  <c r="G535" i="76" s="1"/>
  <c r="P362" i="76"/>
  <c r="A362" i="76" s="1"/>
  <c r="G619" i="76" s="1"/>
  <c r="P339" i="76"/>
  <c r="A339" i="76" s="1"/>
  <c r="G596" i="76" s="1"/>
  <c r="P462" i="76"/>
  <c r="A462" i="76" s="1"/>
  <c r="G719" i="76" s="1"/>
  <c r="P368" i="76"/>
  <c r="A368" i="76" s="1"/>
  <c r="G625" i="76" s="1"/>
  <c r="P515" i="76"/>
  <c r="A515" i="76" s="1"/>
  <c r="G772" i="76" s="1"/>
  <c r="P503" i="76"/>
  <c r="A503" i="76" s="1"/>
  <c r="G760" i="76" s="1"/>
  <c r="P463" i="76"/>
  <c r="A463" i="76" s="1"/>
  <c r="G720" i="76" s="1"/>
  <c r="P348" i="76"/>
  <c r="A348" i="76" s="1"/>
  <c r="G605" i="76" s="1"/>
  <c r="P387" i="76"/>
  <c r="A387" i="76" s="1"/>
  <c r="G644" i="76" s="1"/>
  <c r="P279" i="76"/>
  <c r="A279" i="76" s="1"/>
  <c r="G536" i="76" s="1"/>
  <c r="P333" i="76"/>
  <c r="A333" i="76" s="1"/>
  <c r="G590" i="76" s="1"/>
  <c r="P334" i="76"/>
  <c r="A334" i="76" s="1"/>
  <c r="G591" i="76" s="1"/>
  <c r="P449" i="76"/>
  <c r="A449" i="76" s="1"/>
  <c r="G706" i="76" s="1"/>
  <c r="P490" i="76"/>
  <c r="A490" i="76" s="1"/>
  <c r="G747" i="76" s="1"/>
  <c r="P378" i="76"/>
  <c r="A378" i="76" s="1"/>
  <c r="G635" i="76" s="1"/>
  <c r="P304" i="76"/>
  <c r="A304" i="76" s="1"/>
  <c r="G561" i="76" s="1"/>
  <c r="P350" i="76"/>
  <c r="A350" i="76" s="1"/>
  <c r="G607" i="76" s="1"/>
  <c r="P469" i="76"/>
  <c r="A469" i="76" s="1"/>
  <c r="G726" i="76" s="1"/>
  <c r="P402" i="76"/>
  <c r="A402" i="76" s="1"/>
  <c r="G659" i="76" s="1"/>
  <c r="P276" i="76"/>
  <c r="A276" i="76" s="1"/>
  <c r="G533" i="76" s="1"/>
  <c r="P481" i="76"/>
  <c r="A481" i="76" s="1"/>
  <c r="G738" i="76" s="1"/>
  <c r="P380" i="76"/>
  <c r="A380" i="76" s="1"/>
  <c r="G637" i="76" s="1"/>
  <c r="P488" i="76"/>
  <c r="A488" i="76" s="1"/>
  <c r="G745" i="76" s="1"/>
  <c r="P440" i="76"/>
  <c r="A440" i="76" s="1"/>
  <c r="G697" i="76" s="1"/>
  <c r="P448" i="76"/>
  <c r="A448" i="76" s="1"/>
  <c r="G705" i="76" s="1"/>
  <c r="P353" i="76"/>
  <c r="A353" i="76" s="1"/>
  <c r="G610" i="76" s="1"/>
  <c r="P446" i="76"/>
  <c r="A446" i="76" s="1"/>
  <c r="G703" i="76" s="1"/>
  <c r="P399" i="76"/>
  <c r="A399" i="76" s="1"/>
  <c r="G656" i="76" s="1"/>
  <c r="P302" i="76"/>
  <c r="A302" i="76" s="1"/>
  <c r="G559" i="76" s="1"/>
  <c r="P414" i="76"/>
  <c r="A414" i="76" s="1"/>
  <c r="G671" i="76" s="1"/>
  <c r="P418" i="76"/>
  <c r="A418" i="76" s="1"/>
  <c r="G675" i="76" s="1"/>
  <c r="P367" i="76"/>
  <c r="A367" i="76" s="1"/>
  <c r="G624" i="76" s="1"/>
  <c r="P322" i="76"/>
  <c r="A322" i="76" s="1"/>
  <c r="G579" i="76" s="1"/>
  <c r="P474" i="76"/>
  <c r="A474" i="76" s="1"/>
  <c r="G731" i="76" s="1"/>
  <c r="P386" i="76"/>
  <c r="A386" i="76" s="1"/>
  <c r="G643" i="76" s="1"/>
  <c r="P384" i="76"/>
  <c r="A384" i="76" s="1"/>
  <c r="G641" i="76" s="1"/>
  <c r="D705" i="76" l="1"/>
  <c r="C705" i="76"/>
  <c r="D542" i="76"/>
  <c r="C542" i="76"/>
  <c r="D714" i="76"/>
  <c r="C714" i="76"/>
  <c r="D578" i="76"/>
  <c r="C578" i="76"/>
  <c r="D745" i="76"/>
  <c r="C745" i="76"/>
  <c r="C720" i="76"/>
  <c r="D720" i="76"/>
  <c r="D731" i="76"/>
  <c r="C731" i="76"/>
  <c r="D610" i="76"/>
  <c r="C610" i="76"/>
  <c r="D726" i="76"/>
  <c r="C726" i="76"/>
  <c r="C536" i="76"/>
  <c r="D536" i="76"/>
  <c r="C596" i="76"/>
  <c r="D596" i="76"/>
  <c r="D528" i="76"/>
  <c r="C528" i="76"/>
  <c r="D618" i="76"/>
  <c r="C618" i="76"/>
  <c r="D674" i="76"/>
  <c r="C674" i="76"/>
  <c r="D661" i="76"/>
  <c r="C661" i="76"/>
  <c r="C733" i="76"/>
  <c r="D733" i="76"/>
  <c r="D546" i="76"/>
  <c r="C546" i="76"/>
  <c r="D557" i="76"/>
  <c r="C557" i="76"/>
  <c r="D556" i="76"/>
  <c r="C556" i="76"/>
  <c r="D769" i="76"/>
  <c r="C769" i="76"/>
  <c r="D729" i="76"/>
  <c r="C729" i="76"/>
  <c r="D756" i="76"/>
  <c r="C756" i="76"/>
  <c r="D708" i="76"/>
  <c r="C708" i="76"/>
  <c r="D660" i="76"/>
  <c r="C660" i="76"/>
  <c r="C680" i="76"/>
  <c r="D680" i="76"/>
  <c r="D577" i="76"/>
  <c r="C577" i="76"/>
  <c r="C572" i="76"/>
  <c r="D572" i="76"/>
  <c r="C648" i="76"/>
  <c r="D648" i="76"/>
  <c r="C751" i="76"/>
  <c r="D751" i="76"/>
  <c r="C548" i="76"/>
  <c r="D548" i="76"/>
  <c r="D707" i="76"/>
  <c r="C707" i="76"/>
  <c r="D715" i="76"/>
  <c r="C715" i="76"/>
  <c r="C669" i="76"/>
  <c r="D669" i="76"/>
  <c r="D531" i="76"/>
  <c r="C531" i="76"/>
  <c r="D598" i="76"/>
  <c r="C598" i="76"/>
  <c r="D539" i="76"/>
  <c r="C539" i="76"/>
  <c r="D652" i="76"/>
  <c r="C652" i="76"/>
  <c r="D737" i="76"/>
  <c r="C737" i="76"/>
  <c r="C701" i="76"/>
  <c r="D701" i="76"/>
  <c r="D657" i="76"/>
  <c r="C657" i="76"/>
  <c r="D595" i="76"/>
  <c r="C595" i="76"/>
  <c r="C597" i="76"/>
  <c r="D597" i="76"/>
  <c r="C624" i="76"/>
  <c r="D624" i="76"/>
  <c r="D697" i="76"/>
  <c r="C697" i="76"/>
  <c r="D561" i="76"/>
  <c r="C561" i="76"/>
  <c r="D605" i="76"/>
  <c r="C605" i="76"/>
  <c r="C535" i="76"/>
  <c r="D535" i="76"/>
  <c r="D594" i="76"/>
  <c r="C594" i="76"/>
  <c r="D630" i="76"/>
  <c r="C630" i="76"/>
  <c r="C679" i="76"/>
  <c r="D679" i="76"/>
  <c r="C549" i="76"/>
  <c r="D549" i="76"/>
  <c r="C573" i="76"/>
  <c r="D573" i="76"/>
  <c r="D529" i="76"/>
  <c r="C529" i="76"/>
  <c r="D658" i="76"/>
  <c r="C658" i="76"/>
  <c r="D614" i="76"/>
  <c r="C614" i="76"/>
  <c r="D627" i="76"/>
  <c r="C627" i="76"/>
  <c r="D691" i="76"/>
  <c r="C691" i="76"/>
  <c r="C728" i="76"/>
  <c r="D728" i="76"/>
  <c r="D638" i="76"/>
  <c r="C638" i="76"/>
  <c r="D771" i="76"/>
  <c r="C771" i="76"/>
  <c r="D668" i="76"/>
  <c r="C668" i="76"/>
  <c r="C623" i="76"/>
  <c r="D623" i="76"/>
  <c r="D742" i="76"/>
  <c r="C742" i="76"/>
  <c r="C688" i="76"/>
  <c r="D688" i="76"/>
  <c r="C631" i="76"/>
  <c r="D631" i="76"/>
  <c r="C740" i="76"/>
  <c r="D740" i="76"/>
  <c r="D739" i="76"/>
  <c r="C739" i="76"/>
  <c r="C588" i="76"/>
  <c r="D588" i="76"/>
  <c r="D604" i="76"/>
  <c r="C604" i="76"/>
  <c r="C724" i="76"/>
  <c r="D724" i="76"/>
  <c r="C552" i="76"/>
  <c r="D552" i="76"/>
  <c r="D698" i="76"/>
  <c r="C698" i="76"/>
  <c r="C616" i="76"/>
  <c r="D616" i="76"/>
  <c r="C743" i="76"/>
  <c r="D743" i="76"/>
  <c r="C765" i="76"/>
  <c r="D765" i="76"/>
  <c r="D587" i="76"/>
  <c r="C587" i="76"/>
  <c r="C704" i="76"/>
  <c r="D704" i="76"/>
  <c r="C664" i="76"/>
  <c r="D664" i="76"/>
  <c r="C583" i="76"/>
  <c r="D583" i="76"/>
  <c r="D613" i="76"/>
  <c r="C613" i="76"/>
  <c r="D569" i="76"/>
  <c r="C569" i="76"/>
  <c r="C685" i="76"/>
  <c r="D685" i="76"/>
  <c r="D716" i="76"/>
  <c r="C716" i="76"/>
  <c r="D722" i="76"/>
  <c r="C722" i="76"/>
  <c r="C736" i="76"/>
  <c r="D736" i="76"/>
  <c r="D662" i="76"/>
  <c r="C662" i="76"/>
  <c r="D770" i="76"/>
  <c r="C770" i="76"/>
  <c r="D650" i="76"/>
  <c r="C650" i="76"/>
  <c r="C532" i="76"/>
  <c r="D532" i="76"/>
  <c r="D601" i="76"/>
  <c r="C601" i="76"/>
  <c r="C615" i="76"/>
  <c r="D615" i="76"/>
  <c r="D622" i="76"/>
  <c r="C622" i="76"/>
  <c r="C687" i="76"/>
  <c r="D687" i="76"/>
  <c r="D683" i="76"/>
  <c r="C683" i="76"/>
  <c r="D665" i="76"/>
  <c r="C665" i="76"/>
  <c r="C727" i="76"/>
  <c r="D727" i="76"/>
  <c r="C607" i="76"/>
  <c r="D607" i="76"/>
  <c r="C544" i="76"/>
  <c r="D544" i="76"/>
  <c r="D709" i="76"/>
  <c r="C709" i="76"/>
  <c r="C621" i="76"/>
  <c r="D621" i="76"/>
  <c r="D750" i="76"/>
  <c r="C750" i="76"/>
  <c r="C620" i="76"/>
  <c r="D620" i="76"/>
  <c r="D565" i="76"/>
  <c r="C565" i="76"/>
  <c r="C637" i="76"/>
  <c r="D637" i="76"/>
  <c r="D747" i="76"/>
  <c r="C747" i="76"/>
  <c r="C760" i="76"/>
  <c r="D760" i="76"/>
  <c r="C584" i="76"/>
  <c r="D584" i="76"/>
  <c r="D645" i="76"/>
  <c r="C645" i="76"/>
  <c r="C632" i="76"/>
  <c r="D632" i="76"/>
  <c r="D574" i="76"/>
  <c r="C574" i="76"/>
  <c r="C773" i="76"/>
  <c r="D773" i="76"/>
  <c r="D646" i="76"/>
  <c r="C646" i="76"/>
  <c r="D634" i="76"/>
  <c r="C634" i="76"/>
  <c r="D689" i="76"/>
  <c r="C689" i="76"/>
  <c r="D555" i="76"/>
  <c r="C555" i="76"/>
  <c r="D606" i="76"/>
  <c r="C606" i="76"/>
  <c r="D554" i="76"/>
  <c r="C554" i="76"/>
  <c r="D734" i="76"/>
  <c r="C734" i="76"/>
  <c r="D732" i="76"/>
  <c r="C732" i="76"/>
  <c r="C575" i="76"/>
  <c r="D575" i="76"/>
  <c r="D609" i="76"/>
  <c r="C609" i="76"/>
  <c r="C725" i="76"/>
  <c r="D725" i="76"/>
  <c r="D580" i="76"/>
  <c r="C580" i="76"/>
  <c r="D766" i="76"/>
  <c r="C766" i="76"/>
  <c r="D540" i="76"/>
  <c r="C540" i="76"/>
  <c r="D547" i="76"/>
  <c r="C547" i="76"/>
  <c r="C677" i="76"/>
  <c r="D677" i="76"/>
  <c r="D692" i="76"/>
  <c r="C692" i="76"/>
  <c r="C599" i="76"/>
  <c r="D599" i="76"/>
  <c r="D593" i="76"/>
  <c r="C593" i="76"/>
  <c r="D626" i="76"/>
  <c r="C626" i="76"/>
  <c r="C695" i="76"/>
  <c r="D695" i="76"/>
  <c r="D763" i="76"/>
  <c r="C763" i="76"/>
  <c r="D619" i="76"/>
  <c r="C619" i="76"/>
  <c r="C628" i="76"/>
  <c r="D628" i="76"/>
  <c r="D754" i="76"/>
  <c r="C754" i="76"/>
  <c r="C717" i="76"/>
  <c r="D717" i="76"/>
  <c r="D582" i="76"/>
  <c r="C582" i="76"/>
  <c r="D762" i="76"/>
  <c r="C762" i="76"/>
  <c r="C600" i="76"/>
  <c r="D600" i="76"/>
  <c r="C559" i="76"/>
  <c r="D559" i="76"/>
  <c r="D738" i="76"/>
  <c r="C738" i="76"/>
  <c r="D706" i="76"/>
  <c r="C706" i="76"/>
  <c r="C772" i="76"/>
  <c r="D772" i="76"/>
  <c r="C700" i="76"/>
  <c r="D700" i="76"/>
  <c r="C748" i="76"/>
  <c r="D748" i="76"/>
  <c r="D682" i="76"/>
  <c r="C682" i="76"/>
  <c r="C735" i="76"/>
  <c r="D735" i="76"/>
  <c r="D764" i="76"/>
  <c r="C764" i="76"/>
  <c r="C712" i="76"/>
  <c r="D712" i="76"/>
  <c r="D681" i="76"/>
  <c r="C681" i="76"/>
  <c r="D654" i="76"/>
  <c r="C654" i="76"/>
  <c r="D611" i="76"/>
  <c r="C611" i="76"/>
  <c r="D636" i="76"/>
  <c r="C636" i="76"/>
  <c r="C759" i="76"/>
  <c r="D759" i="76"/>
  <c r="D553" i="76"/>
  <c r="C553" i="76"/>
  <c r="D667" i="76"/>
  <c r="C667" i="76"/>
  <c r="C560" i="76"/>
  <c r="D560" i="76"/>
  <c r="D602" i="76"/>
  <c r="C602" i="76"/>
  <c r="D693" i="76"/>
  <c r="C693" i="76"/>
  <c r="D633" i="76"/>
  <c r="C633" i="76"/>
  <c r="D686" i="76"/>
  <c r="C686" i="76"/>
  <c r="C576" i="76"/>
  <c r="D576" i="76"/>
  <c r="D564" i="76"/>
  <c r="C564" i="76"/>
  <c r="C541" i="76"/>
  <c r="D541" i="76"/>
  <c r="C768" i="76"/>
  <c r="D768" i="76"/>
  <c r="C592" i="76"/>
  <c r="D592" i="76"/>
  <c r="D699" i="76"/>
  <c r="C699" i="76"/>
  <c r="C676" i="76"/>
  <c r="D676" i="76"/>
  <c r="C757" i="76"/>
  <c r="D757" i="76"/>
  <c r="D777" i="76"/>
  <c r="C777" i="76"/>
  <c r="D579" i="76"/>
  <c r="C579" i="76"/>
  <c r="D721" i="76"/>
  <c r="C721" i="76"/>
  <c r="D603" i="76"/>
  <c r="C603" i="76"/>
  <c r="C640" i="76"/>
  <c r="D640" i="76"/>
  <c r="D675" i="76"/>
  <c r="C675" i="76"/>
  <c r="C567" i="76"/>
  <c r="D567" i="76"/>
  <c r="D713" i="76"/>
  <c r="C713" i="76"/>
  <c r="C671" i="76"/>
  <c r="D671" i="76"/>
  <c r="D641" i="76"/>
  <c r="C641" i="76"/>
  <c r="C656" i="76"/>
  <c r="D656" i="76"/>
  <c r="C533" i="76"/>
  <c r="D533" i="76"/>
  <c r="C591" i="76"/>
  <c r="D591" i="76"/>
  <c r="D625" i="76"/>
  <c r="C625" i="76"/>
  <c r="D651" i="76"/>
  <c r="C651" i="76"/>
  <c r="D642" i="76"/>
  <c r="C642" i="76"/>
  <c r="D534" i="76"/>
  <c r="C534" i="76"/>
  <c r="C639" i="76"/>
  <c r="D639" i="76"/>
  <c r="C543" i="76"/>
  <c r="D543" i="76"/>
  <c r="D718" i="76"/>
  <c r="C718" i="76"/>
  <c r="D649" i="76"/>
  <c r="C649" i="76"/>
  <c r="D530" i="76"/>
  <c r="C530" i="76"/>
  <c r="D673" i="76"/>
  <c r="C673" i="76"/>
  <c r="C684" i="76"/>
  <c r="D684" i="76"/>
  <c r="D585" i="76"/>
  <c r="C585" i="76"/>
  <c r="D538" i="76"/>
  <c r="C538" i="76"/>
  <c r="C653" i="76"/>
  <c r="D653" i="76"/>
  <c r="D562" i="76"/>
  <c r="C562" i="76"/>
  <c r="C589" i="76"/>
  <c r="D589" i="76"/>
  <c r="C672" i="76"/>
  <c r="D672" i="76"/>
  <c r="D612" i="76"/>
  <c r="C612" i="76"/>
  <c r="D690" i="76"/>
  <c r="C690" i="76"/>
  <c r="C581" i="76"/>
  <c r="D581" i="76"/>
  <c r="C608" i="76"/>
  <c r="D608" i="76"/>
  <c r="D563" i="76"/>
  <c r="C563" i="76"/>
  <c r="D774" i="76"/>
  <c r="C774" i="76"/>
  <c r="D761" i="76"/>
  <c r="C761" i="76"/>
  <c r="D666" i="76"/>
  <c r="C666" i="76"/>
  <c r="D758" i="76"/>
  <c r="C758" i="76"/>
  <c r="D749" i="76"/>
  <c r="C749" i="76"/>
  <c r="C775" i="76"/>
  <c r="D775" i="76"/>
  <c r="C644" i="76"/>
  <c r="D644" i="76"/>
  <c r="C696" i="76"/>
  <c r="D696" i="76"/>
  <c r="D617" i="76"/>
  <c r="C617" i="76"/>
  <c r="C551" i="76"/>
  <c r="D551" i="76"/>
  <c r="D586" i="76"/>
  <c r="C586" i="76"/>
  <c r="D635" i="76"/>
  <c r="C635" i="76"/>
  <c r="D710" i="76"/>
  <c r="C710" i="76"/>
  <c r="D643" i="76"/>
  <c r="C643" i="76"/>
  <c r="C703" i="76"/>
  <c r="D703" i="76"/>
  <c r="D659" i="76"/>
  <c r="C659" i="76"/>
  <c r="D590" i="76"/>
  <c r="C590" i="76"/>
  <c r="C719" i="76"/>
  <c r="D719" i="76"/>
  <c r="D678" i="76"/>
  <c r="C678" i="76"/>
  <c r="D730" i="76"/>
  <c r="C730" i="76"/>
  <c r="D545" i="76"/>
  <c r="C545" i="76"/>
  <c r="D566" i="76"/>
  <c r="C566" i="76"/>
  <c r="D550" i="76"/>
  <c r="C550" i="76"/>
  <c r="D746" i="76"/>
  <c r="C746" i="76"/>
  <c r="C711" i="76"/>
  <c r="D711" i="76"/>
  <c r="C647" i="76"/>
  <c r="D647" i="76"/>
  <c r="C767" i="76"/>
  <c r="D767" i="76"/>
  <c r="C752" i="76"/>
  <c r="D752" i="76"/>
  <c r="D755" i="76"/>
  <c r="C755" i="76"/>
  <c r="D558" i="76"/>
  <c r="C558" i="76"/>
  <c r="C629" i="76"/>
  <c r="D629" i="76"/>
  <c r="C655" i="76"/>
  <c r="D655" i="76"/>
  <c r="D753" i="76"/>
  <c r="C753" i="76"/>
  <c r="D702" i="76"/>
  <c r="C702" i="76"/>
  <c r="C663" i="76"/>
  <c r="D663" i="76"/>
  <c r="D571" i="76"/>
  <c r="C571" i="76"/>
  <c r="D537" i="76"/>
  <c r="C537" i="76"/>
  <c r="D694" i="76"/>
  <c r="C694" i="76"/>
  <c r="C568" i="76"/>
  <c r="D568" i="76"/>
  <c r="D570" i="76"/>
  <c r="C570" i="76"/>
  <c r="C744" i="76"/>
  <c r="D744" i="76"/>
  <c r="D741" i="76"/>
  <c r="C741" i="76"/>
  <c r="D723" i="76"/>
  <c r="C723" i="76"/>
  <c r="D670" i="76"/>
  <c r="C670" i="76"/>
  <c r="C776" i="76"/>
  <c r="D776" i="76"/>
  <c r="K218" i="25"/>
  <c r="L218" i="25"/>
  <c r="M218" i="25"/>
  <c r="N218" i="25"/>
  <c r="O218" i="25"/>
  <c r="P218" i="25"/>
  <c r="Q218" i="25"/>
  <c r="R218" i="25"/>
  <c r="S218" i="25"/>
  <c r="T218" i="25"/>
  <c r="U218" i="25"/>
  <c r="V218" i="25"/>
  <c r="W218" i="25"/>
  <c r="X218" i="25"/>
  <c r="Y218" i="25"/>
  <c r="Z218" i="25"/>
  <c r="AA218" i="25"/>
  <c r="AB218" i="25"/>
  <c r="AC218" i="25"/>
  <c r="AD218" i="25"/>
  <c r="K210" i="25"/>
  <c r="L210" i="25"/>
  <c r="M210" i="25"/>
  <c r="N210" i="25"/>
  <c r="O210" i="25"/>
  <c r="P210" i="25"/>
  <c r="Q210" i="25"/>
  <c r="R210" i="25"/>
  <c r="S210" i="25"/>
  <c r="T210" i="25"/>
  <c r="U210" i="25"/>
  <c r="V210" i="25"/>
  <c r="W210" i="25"/>
  <c r="X210" i="25"/>
  <c r="Y210" i="25"/>
  <c r="Z210" i="25"/>
  <c r="AA210" i="25"/>
  <c r="AB210" i="25"/>
  <c r="AC210" i="25"/>
  <c r="AD210" i="25"/>
  <c r="K209" i="25"/>
  <c r="K217" i="25"/>
  <c r="K216" i="2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E6" authorId="0" shapeId="0" xr:uid="{00000000-0006-0000-0000-000001000000}">
      <text>
        <r>
          <rPr>
            <sz val="9"/>
            <color indexed="81"/>
            <rFont val="Tahoma"/>
            <family val="2"/>
          </rPr>
          <t>Para facilitar el diligenciamiento de los formatos, se evita la protección de hojas, celdas o cualquier tipo de información.
La mayoría de las celdas formuladas no están protegidas, por tanto, se recomienda precaución, con el fin de mantener la fórmula original, no obstante, hay celdas cuyo encabezado esté subrayado en color azul, estás están protegidas en virtud de su formulación, la cual, presenta una especial complejidad.</t>
        </r>
      </text>
    </comment>
    <comment ref="I24" authorId="0" shapeId="0" xr:uid="{00000000-0006-0000-0000-000002000000}">
      <text>
        <r>
          <rPr>
            <sz val="9"/>
            <color indexed="81"/>
            <rFont val="Tahoma"/>
            <family val="2"/>
          </rPr>
          <t xml:space="preserve">Contratos interadministrativos,
Contratos de prestación de servicios profesionales, 
Contratos sin pluralidad de oferentes, 
Entre otros. </t>
        </r>
      </text>
    </comment>
    <comment ref="J24" authorId="0" shapeId="0" xr:uid="{00000000-0006-0000-0000-000003000000}">
      <text>
        <r>
          <rPr>
            <sz val="9"/>
            <color indexed="81"/>
            <rFont val="Tahoma"/>
            <family val="2"/>
          </rPr>
          <t xml:space="preserve">Mínina cuantía, 
Selección abreviada por menor cuantía, 
Licitación pública, 
Concurso de méritos,
Selección abreviada por subasta inversa,
Entre otros.
</t>
        </r>
      </text>
    </comment>
    <comment ref="K24" authorId="0" shapeId="0" xr:uid="{00000000-0006-0000-0000-000004000000}">
      <text>
        <r>
          <rPr>
            <sz val="9"/>
            <color indexed="81"/>
            <rFont val="Tahoma"/>
            <family val="2"/>
          </rPr>
          <t>Convenios solidarios,
Convenios interadministrativos,
Convenios de asociación o administrativos,
Entre otros.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13" authorId="0" shapeId="0" xr:uid="{00000000-0006-0000-0100-000001000000}">
      <text>
        <r>
          <rPr>
            <sz val="9"/>
            <color indexed="81"/>
            <rFont val="Tahoma"/>
            <family val="2"/>
          </rPr>
          <t>En caso que el proceso actual se derive de una contratación, considerar la programación física y financiera del proceso inicial para la programación del presente proceso</t>
        </r>
      </text>
    </comment>
    <comment ref="A14" authorId="0" shapeId="0" xr:uid="{00000000-0006-0000-0100-000002000000}">
      <text>
        <r>
          <rPr>
            <sz val="9"/>
            <color indexed="81"/>
            <rFont val="Tahoma"/>
            <family val="2"/>
          </rPr>
          <t>Desplegar las celdas ocultas en caso de requerirse</t>
        </r>
      </text>
    </comment>
    <comment ref="C14" authorId="0" shapeId="0" xr:uid="{00000000-0006-0000-0100-000003000000}">
      <text>
        <r>
          <rPr>
            <sz val="9"/>
            <color indexed="81"/>
            <rFont val="Tahoma"/>
            <family val="2"/>
          </rPr>
          <t xml:space="preserve">% de importancia respecto a cada clasificación
Diligenciar de acuerdo a los recursos que se destinen para la realización de cada subactividad, actividad y alcance, de acuerdo al caso, es decir el % de participación total en el presupuesto
</t>
        </r>
      </text>
    </comment>
    <comment ref="D14" authorId="0" shapeId="0" xr:uid="{00000000-0006-0000-0100-000004000000}">
      <text>
        <r>
          <rPr>
            <sz val="9"/>
            <color indexed="81"/>
            <rFont val="Tahoma"/>
            <family val="2"/>
          </rPr>
          <t>% de importancia de cada subactividad respecto a la meta/ producto a obtener</t>
        </r>
      </text>
    </comment>
    <comment ref="A16" authorId="0" shapeId="0" xr:uid="{00000000-0006-0000-0100-000005000000}">
      <text>
        <r>
          <rPr>
            <sz val="9"/>
            <color indexed="81"/>
            <rFont val="Tahoma"/>
            <family val="2"/>
          </rPr>
          <t>Realizar el análisis a nivel de subactividades, es decir, considerar, el alcance, la actividad y la subactividad, con el fin de tener concordancia con el PGAR.
Si no se requieren algunas de las filas, dejarlas sin diligenciar y ocultar. Verificar que estén en cero (0) antes de ocultar.</t>
        </r>
      </text>
    </comment>
    <comment ref="A17" authorId="0" shapeId="0" xr:uid="{00000000-0006-0000-0100-000006000000}">
      <text>
        <r>
          <rPr>
            <sz val="9"/>
            <color indexed="81"/>
            <rFont val="Tahoma"/>
            <family val="2"/>
          </rPr>
          <t>la suma del % de peso físico de los alcances debe de dar el 100% del producto a obtener.</t>
        </r>
      </text>
    </comment>
    <comment ref="A18" authorId="0" shapeId="0" xr:uid="{00000000-0006-0000-0100-000007000000}">
      <text>
        <r>
          <rPr>
            <sz val="9"/>
            <color indexed="81"/>
            <rFont val="Tahoma"/>
            <family val="2"/>
          </rPr>
          <t>La suma del % de peso físico de las actividades debe de dar el 100% del alcance.</t>
        </r>
      </text>
    </comment>
    <comment ref="A19" authorId="0" shapeId="0" xr:uid="{00000000-0006-0000-0100-000008000000}">
      <text>
        <r>
          <rPr>
            <sz val="9"/>
            <color indexed="81"/>
            <rFont val="Tahoma"/>
            <family val="2"/>
          </rPr>
          <t xml:space="preserve">
La suma del % de peso físico de las subactividades debe de dar el 100% de la actividad.</t>
        </r>
      </text>
    </comment>
    <comment ref="A20" authorId="0" shapeId="0" xr:uid="{00000000-0006-0000-0100-000009000000}">
      <text>
        <r>
          <rPr>
            <sz val="9"/>
            <color indexed="81"/>
            <rFont val="Tahoma"/>
            <family val="2"/>
          </rPr>
          <t>La suma del % de peso físico de las subactividades debe de dar el 100% de la actividad.</t>
        </r>
      </text>
    </comment>
    <comment ref="A21" authorId="0" shapeId="0" xr:uid="{00000000-0006-0000-0100-00000A000000}">
      <text>
        <r>
          <rPr>
            <sz val="9"/>
            <color indexed="81"/>
            <rFont val="Tahoma"/>
            <family val="2"/>
          </rPr>
          <t>La suma del % de peso físico de las subactividades debe de dar el 100% de la actividad.</t>
        </r>
      </text>
    </comment>
    <comment ref="A22" authorId="0" shapeId="0" xr:uid="{00000000-0006-0000-0100-00000B000000}">
      <text>
        <r>
          <rPr>
            <sz val="9"/>
            <color indexed="81"/>
            <rFont val="Tahoma"/>
            <family val="2"/>
          </rPr>
          <t>La suma del % de peso físico de las subactividades debe de dar el 100% de la actividad.</t>
        </r>
      </text>
    </comment>
    <comment ref="A23" authorId="0" shapeId="0" xr:uid="{00000000-0006-0000-0100-00000C000000}">
      <text>
        <r>
          <rPr>
            <sz val="9"/>
            <color indexed="81"/>
            <rFont val="Tahoma"/>
            <family val="2"/>
          </rPr>
          <t>La suma del % de peso físico de las subactividades debe de dar el 100% de la actividad.</t>
        </r>
      </text>
    </comment>
    <comment ref="A24" authorId="0" shapeId="0" xr:uid="{00000000-0006-0000-0100-00000D000000}">
      <text>
        <r>
          <rPr>
            <sz val="9"/>
            <color indexed="81"/>
            <rFont val="Tahoma"/>
            <family val="2"/>
          </rPr>
          <t xml:space="preserve">
La suma del % de peso físico de las actividades debe de dar el 100% del alcance.</t>
        </r>
      </text>
    </comment>
    <comment ref="A25" authorId="0" shapeId="0" xr:uid="{00000000-0006-0000-0100-00000E000000}">
      <text>
        <r>
          <rPr>
            <sz val="9"/>
            <color indexed="81"/>
            <rFont val="Tahoma"/>
            <family val="2"/>
          </rPr>
          <t xml:space="preserve">
La suma del % de peso físico de las subactividades debe de dar el 100% de la actividad.</t>
        </r>
      </text>
    </comment>
    <comment ref="A26" authorId="0" shapeId="0" xr:uid="{00000000-0006-0000-0100-00000F000000}">
      <text>
        <r>
          <rPr>
            <sz val="9"/>
            <color indexed="81"/>
            <rFont val="Tahoma"/>
            <family val="2"/>
          </rPr>
          <t xml:space="preserve">
La suma del % de peso físico de las subactividades debe de dar el 100% de la actividad.</t>
        </r>
      </text>
    </comment>
    <comment ref="A27" authorId="0" shapeId="0" xr:uid="{00000000-0006-0000-0100-000010000000}">
      <text>
        <r>
          <rPr>
            <sz val="9"/>
            <color indexed="81"/>
            <rFont val="Tahoma"/>
            <family val="2"/>
          </rPr>
          <t>La suma del % de peso físico de las subactividades debe de dar el 100% de la actividad.</t>
        </r>
      </text>
    </comment>
    <comment ref="A28" authorId="0" shapeId="0" xr:uid="{00000000-0006-0000-0100-000011000000}">
      <text>
        <r>
          <rPr>
            <sz val="9"/>
            <color indexed="81"/>
            <rFont val="Tahoma"/>
            <family val="2"/>
          </rPr>
          <t xml:space="preserve">La suma del % de peso físico de las subactividades debe de dar el 100% de la actividad.
</t>
        </r>
      </text>
    </comment>
    <comment ref="A29" authorId="0" shapeId="0" xr:uid="{00000000-0006-0000-0100-000012000000}">
      <text>
        <r>
          <rPr>
            <sz val="9"/>
            <color indexed="81"/>
            <rFont val="Tahoma"/>
            <family val="2"/>
          </rPr>
          <t xml:space="preserve">
La suma del % de peso físico de las subactividades debe de dar el 100% de la actividad.</t>
        </r>
      </text>
    </comment>
    <comment ref="A30" authorId="0" shapeId="0" xr:uid="{00000000-0006-0000-0100-000013000000}">
      <text>
        <r>
          <rPr>
            <sz val="9"/>
            <color indexed="81"/>
            <rFont val="Tahoma"/>
            <family val="2"/>
          </rPr>
          <t xml:space="preserve">
La suma del % de peso físico de las actividades debe de dar el 100% del alcance.</t>
        </r>
      </text>
    </comment>
    <comment ref="A31" authorId="0" shapeId="0" xr:uid="{00000000-0006-0000-0100-000014000000}">
      <text>
        <r>
          <rPr>
            <sz val="9"/>
            <color indexed="81"/>
            <rFont val="Tahoma"/>
            <family val="2"/>
          </rPr>
          <t xml:space="preserve">
La suma del % de peso físico de las subactividades debe de dar el 100% de la actividad.</t>
        </r>
      </text>
    </comment>
    <comment ref="A32" authorId="0" shapeId="0" xr:uid="{00000000-0006-0000-0100-000015000000}">
      <text>
        <r>
          <rPr>
            <sz val="9"/>
            <color indexed="81"/>
            <rFont val="Tahoma"/>
            <family val="2"/>
          </rPr>
          <t xml:space="preserve">
La suma del % de peso físico de las subactividades debe de dar el 100% de la actividad.</t>
        </r>
      </text>
    </comment>
    <comment ref="A33" authorId="0" shapeId="0" xr:uid="{00000000-0006-0000-0100-000016000000}">
      <text>
        <r>
          <rPr>
            <sz val="9"/>
            <color indexed="81"/>
            <rFont val="Tahoma"/>
            <family val="2"/>
          </rPr>
          <t xml:space="preserve">
La suma del % de peso físico de las subactividades debe de dar el 100% de la actividad.</t>
        </r>
      </text>
    </comment>
    <comment ref="A34" authorId="0" shapeId="0" xr:uid="{00000000-0006-0000-0100-000017000000}">
      <text>
        <r>
          <rPr>
            <sz val="9"/>
            <color indexed="81"/>
            <rFont val="Tahoma"/>
            <family val="2"/>
          </rPr>
          <t xml:space="preserve">
La suma del % de peso físico de las subactividades debe de dar el 100% de la actividad.</t>
        </r>
      </text>
    </comment>
    <comment ref="A35" authorId="0" shapeId="0" xr:uid="{00000000-0006-0000-0100-000018000000}">
      <text>
        <r>
          <rPr>
            <sz val="9"/>
            <color indexed="81"/>
            <rFont val="Tahoma"/>
            <family val="2"/>
          </rPr>
          <t xml:space="preserve">
La suma del % de peso físico de las subactividades debe de dar el 100% de la actividad.</t>
        </r>
      </text>
    </comment>
    <comment ref="A36" authorId="0" shapeId="0" xr:uid="{00000000-0006-0000-0100-000019000000}">
      <text>
        <r>
          <rPr>
            <sz val="9"/>
            <color indexed="81"/>
            <rFont val="Tahoma"/>
            <family val="2"/>
          </rPr>
          <t xml:space="preserve">
La suma del % de peso físico de las actividades debe de dar el 100% del alcance.</t>
        </r>
      </text>
    </comment>
    <comment ref="A37" authorId="0" shapeId="0" xr:uid="{00000000-0006-0000-0100-00001A000000}">
      <text>
        <r>
          <rPr>
            <sz val="9"/>
            <color indexed="81"/>
            <rFont val="Tahoma"/>
            <family val="2"/>
          </rPr>
          <t xml:space="preserve">
La suma del % de peso físico de las subactividades debe de dar el 100% de la actividad.</t>
        </r>
      </text>
    </comment>
    <comment ref="A38" authorId="0" shapeId="0" xr:uid="{00000000-0006-0000-0100-00001B000000}">
      <text>
        <r>
          <rPr>
            <sz val="9"/>
            <color indexed="81"/>
            <rFont val="Tahoma"/>
            <family val="2"/>
          </rPr>
          <t xml:space="preserve">
La suma del % de peso físico de las subactividades debe de dar el 100% de la actividad.</t>
        </r>
      </text>
    </comment>
    <comment ref="A39" authorId="0" shapeId="0" xr:uid="{00000000-0006-0000-0100-00001C000000}">
      <text>
        <r>
          <rPr>
            <sz val="9"/>
            <color indexed="81"/>
            <rFont val="Tahoma"/>
            <family val="2"/>
          </rPr>
          <t xml:space="preserve">
La suma del % de peso físico de las subactividades debe de dar el 100% de la actividad.</t>
        </r>
      </text>
    </comment>
    <comment ref="A40" authorId="0" shapeId="0" xr:uid="{00000000-0006-0000-0100-00001D000000}">
      <text>
        <r>
          <rPr>
            <sz val="9"/>
            <color indexed="81"/>
            <rFont val="Tahoma"/>
            <family val="2"/>
          </rPr>
          <t xml:space="preserve">
La suma del % de peso físico de las subactividades debe de dar el 100% de la actividad.</t>
        </r>
      </text>
    </comment>
    <comment ref="A41" authorId="0" shapeId="0" xr:uid="{00000000-0006-0000-0100-00001E000000}">
      <text>
        <r>
          <rPr>
            <sz val="9"/>
            <color indexed="81"/>
            <rFont val="Tahoma"/>
            <family val="2"/>
          </rPr>
          <t xml:space="preserve">
La suma del % de peso físico de las subactividades debe de dar el 100% de la actividad.</t>
        </r>
      </text>
    </comment>
    <comment ref="A42" authorId="0" shapeId="0" xr:uid="{00000000-0006-0000-0100-00001F000000}">
      <text>
        <r>
          <rPr>
            <sz val="9"/>
            <color indexed="81"/>
            <rFont val="Tahoma"/>
            <family val="2"/>
          </rPr>
          <t xml:space="preserve">
La suma del % de peso físico de las actividades debe de dar el 100% del alcance.</t>
        </r>
      </text>
    </comment>
    <comment ref="A43" authorId="0" shapeId="0" xr:uid="{00000000-0006-0000-0100-000020000000}">
      <text>
        <r>
          <rPr>
            <sz val="9"/>
            <color indexed="81"/>
            <rFont val="Tahoma"/>
            <family val="2"/>
          </rPr>
          <t xml:space="preserve">
La suma del % de peso físico de las subactividades debe de dar el 100% de la actividad.</t>
        </r>
      </text>
    </comment>
    <comment ref="A44" authorId="0" shapeId="0" xr:uid="{00000000-0006-0000-0100-000021000000}">
      <text>
        <r>
          <rPr>
            <sz val="9"/>
            <color indexed="81"/>
            <rFont val="Tahoma"/>
            <family val="2"/>
          </rPr>
          <t xml:space="preserve">
La suma del % de peso físico de las subactividades debe de dar el 100% de la actividad.</t>
        </r>
      </text>
    </comment>
    <comment ref="A45" authorId="0" shapeId="0" xr:uid="{00000000-0006-0000-0100-000022000000}">
      <text>
        <r>
          <rPr>
            <sz val="9"/>
            <color indexed="81"/>
            <rFont val="Tahoma"/>
            <family val="2"/>
          </rPr>
          <t xml:space="preserve">
La suma del % de peso físico de las subactividades debe de dar el 100% de la actividad.</t>
        </r>
      </text>
    </comment>
    <comment ref="A46" authorId="0" shapeId="0" xr:uid="{00000000-0006-0000-0100-000023000000}">
      <text>
        <r>
          <rPr>
            <sz val="9"/>
            <color indexed="81"/>
            <rFont val="Tahoma"/>
            <family val="2"/>
          </rPr>
          <t xml:space="preserve">
La suma del % de peso físico de las subactividades debe de dar el 100% de la actividad.</t>
        </r>
      </text>
    </comment>
    <comment ref="A47" authorId="0" shapeId="0" xr:uid="{00000000-0006-0000-0100-000024000000}">
      <text>
        <r>
          <rPr>
            <sz val="9"/>
            <color indexed="81"/>
            <rFont val="Tahoma"/>
            <family val="2"/>
          </rPr>
          <t xml:space="preserve">
La suma del % de peso físico de las subactividades debe de dar el 100% de la actividad.</t>
        </r>
      </text>
    </comment>
    <comment ref="A48" authorId="0" shapeId="0" xr:uid="{FAD8F0CF-37C9-451B-8AE5-A9990B7A6F01}">
      <text>
        <r>
          <rPr>
            <sz val="9"/>
            <color indexed="81"/>
            <rFont val="Tahoma"/>
            <family val="2"/>
          </rPr>
          <t xml:space="preserve">
La suma del % de peso físico de las actividades debe de dar el 100% del alcance.</t>
        </r>
      </text>
    </comment>
    <comment ref="A49" authorId="0" shapeId="0" xr:uid="{D9E33937-48A2-40C0-BF5B-6FA63D86DCC0}">
      <text>
        <r>
          <rPr>
            <sz val="9"/>
            <color indexed="81"/>
            <rFont val="Tahoma"/>
            <family val="2"/>
          </rPr>
          <t xml:space="preserve">
La suma del % de peso físico de las subactividades debe de dar el 100% de la actividad.</t>
        </r>
      </text>
    </comment>
    <comment ref="A50" authorId="0" shapeId="0" xr:uid="{9117B1FE-B5B4-4CD8-B7F2-2C22D3F19196}">
      <text>
        <r>
          <rPr>
            <sz val="9"/>
            <color indexed="81"/>
            <rFont val="Tahoma"/>
            <family val="2"/>
          </rPr>
          <t xml:space="preserve">
La suma del % de peso físico de las subactividades debe de dar el 100% de la actividad.</t>
        </r>
      </text>
    </comment>
    <comment ref="A51" authorId="0" shapeId="0" xr:uid="{C9FAE53A-7480-4931-B0A4-9F57FD68C8FD}">
      <text>
        <r>
          <rPr>
            <sz val="9"/>
            <color indexed="81"/>
            <rFont val="Tahoma"/>
            <family val="2"/>
          </rPr>
          <t xml:space="preserve">
La suma del % de peso físico de las subactividades debe de dar el 100% de la actividad.</t>
        </r>
      </text>
    </comment>
    <comment ref="A52" authorId="0" shapeId="0" xr:uid="{7829E1AF-74EA-4F47-9D9F-AEA5B974EFFB}">
      <text>
        <r>
          <rPr>
            <sz val="9"/>
            <color indexed="81"/>
            <rFont val="Tahoma"/>
            <family val="2"/>
          </rPr>
          <t xml:space="preserve">
La suma del % de peso físico de las subactividades debe de dar el 100% de la actividad.</t>
        </r>
      </text>
    </comment>
    <comment ref="A53" authorId="0" shapeId="0" xr:uid="{FAC16C64-2FA0-4F55-BE79-44136529C999}">
      <text>
        <r>
          <rPr>
            <sz val="9"/>
            <color indexed="81"/>
            <rFont val="Tahoma"/>
            <family val="2"/>
          </rPr>
          <t xml:space="preserve">
La suma del % de peso físico de las subactividades debe de dar el 100% de la actividad.</t>
        </r>
      </text>
    </comment>
    <comment ref="A54" authorId="0" shapeId="0" xr:uid="{00000000-0006-0000-0100-000025000000}">
      <text>
        <r>
          <rPr>
            <sz val="9"/>
            <color indexed="81"/>
            <rFont val="Tahoma"/>
            <family val="2"/>
          </rPr>
          <t xml:space="preserve">
la suma del % de peso físico de los alcances debe de dar el 100% del producto a obtener.</t>
        </r>
      </text>
    </comment>
    <comment ref="A55" authorId="0" shapeId="0" xr:uid="{00000000-0006-0000-0100-000026000000}">
      <text>
        <r>
          <rPr>
            <sz val="9"/>
            <color indexed="81"/>
            <rFont val="Tahoma"/>
            <family val="2"/>
          </rPr>
          <t xml:space="preserve">
La suma del % de peso físico de las actividades debe de dar el 100% del alcance.</t>
        </r>
      </text>
    </comment>
    <comment ref="A56" authorId="0" shapeId="0" xr:uid="{00000000-0006-0000-0100-000027000000}">
      <text>
        <r>
          <rPr>
            <sz val="9"/>
            <color indexed="81"/>
            <rFont val="Tahoma"/>
            <family val="2"/>
          </rPr>
          <t xml:space="preserve">
La suma del % de peso físico de las subactividades debe de dar el 100% de la actividad.</t>
        </r>
      </text>
    </comment>
    <comment ref="A57" authorId="0" shapeId="0" xr:uid="{00000000-0006-0000-0100-000028000000}">
      <text>
        <r>
          <rPr>
            <sz val="9"/>
            <color indexed="81"/>
            <rFont val="Tahoma"/>
            <family val="2"/>
          </rPr>
          <t xml:space="preserve">
La suma del % de peso físico de las subactividades debe de dar el 100% de la actividad.</t>
        </r>
      </text>
    </comment>
    <comment ref="A58" authorId="0" shapeId="0" xr:uid="{00000000-0006-0000-0100-000029000000}">
      <text>
        <r>
          <rPr>
            <b/>
            <sz val="9"/>
            <color indexed="81"/>
            <rFont val="Tahoma"/>
            <family val="2"/>
          </rPr>
          <t xml:space="preserve">
</t>
        </r>
        <r>
          <rPr>
            <sz val="9"/>
            <color indexed="81"/>
            <rFont val="Tahoma"/>
            <family val="2"/>
          </rPr>
          <t>La suma del % de peso físico de las subactividades debe de dar el 100% de la actividad.</t>
        </r>
      </text>
    </comment>
    <comment ref="A59" authorId="0" shapeId="0" xr:uid="{00000000-0006-0000-0100-00002A000000}">
      <text>
        <r>
          <rPr>
            <sz val="9"/>
            <color indexed="81"/>
            <rFont val="Tahoma"/>
            <family val="2"/>
          </rPr>
          <t xml:space="preserve">
La suma del % de peso físico de las subactividades debe de dar el 100% de la actividad.</t>
        </r>
      </text>
    </comment>
    <comment ref="A60" authorId="0" shapeId="0" xr:uid="{00000000-0006-0000-0100-00002B000000}">
      <text>
        <r>
          <rPr>
            <sz val="9"/>
            <color indexed="81"/>
            <rFont val="Tahoma"/>
            <family val="2"/>
          </rPr>
          <t xml:space="preserve">
La suma del % de peso físico de las subactividades debe de dar el 100% de la actividad.</t>
        </r>
      </text>
    </comment>
    <comment ref="A61" authorId="0" shapeId="0" xr:uid="{00000000-0006-0000-0100-00002C000000}">
      <text>
        <r>
          <rPr>
            <sz val="9"/>
            <color indexed="81"/>
            <rFont val="Tahoma"/>
            <family val="2"/>
          </rPr>
          <t xml:space="preserve">
La suma del % de peso físico de las actividades debe de dar el 100% del alcance.</t>
        </r>
      </text>
    </comment>
    <comment ref="A62" authorId="0" shapeId="0" xr:uid="{00000000-0006-0000-0100-00002D000000}">
      <text>
        <r>
          <rPr>
            <sz val="9"/>
            <color indexed="81"/>
            <rFont val="Tahoma"/>
            <family val="2"/>
          </rPr>
          <t xml:space="preserve">
La suma del % de peso físico de las subactividades debe de dar el 100% de la actividad.</t>
        </r>
      </text>
    </comment>
    <comment ref="A63" authorId="0" shapeId="0" xr:uid="{00000000-0006-0000-0100-00002E000000}">
      <text>
        <r>
          <rPr>
            <sz val="9"/>
            <color indexed="81"/>
            <rFont val="Tahoma"/>
            <family val="2"/>
          </rPr>
          <t xml:space="preserve">
La suma del % de peso físico de las subactividades debe de dar el 100% de la actividad.</t>
        </r>
      </text>
    </comment>
    <comment ref="A64" authorId="0" shapeId="0" xr:uid="{00000000-0006-0000-0100-00002F000000}">
      <text>
        <r>
          <rPr>
            <sz val="9"/>
            <color indexed="81"/>
            <rFont val="Tahoma"/>
            <family val="2"/>
          </rPr>
          <t xml:space="preserve">
La suma del % de peso físico de las subactividades debe de dar el 100% de la actividad.</t>
        </r>
      </text>
    </comment>
    <comment ref="A65" authorId="0" shapeId="0" xr:uid="{00000000-0006-0000-0100-000030000000}">
      <text>
        <r>
          <rPr>
            <sz val="9"/>
            <color indexed="81"/>
            <rFont val="Tahoma"/>
            <family val="2"/>
          </rPr>
          <t xml:space="preserve">
La suma del % de peso físico de las subactividades debe de dar el 100% de la actividad.</t>
        </r>
      </text>
    </comment>
    <comment ref="A66" authorId="0" shapeId="0" xr:uid="{00000000-0006-0000-0100-000031000000}">
      <text>
        <r>
          <rPr>
            <sz val="9"/>
            <color indexed="81"/>
            <rFont val="Tahoma"/>
            <family val="2"/>
          </rPr>
          <t xml:space="preserve">
La suma del % de peso físico de las subactividades debe de dar el 100% de la actividad.</t>
        </r>
      </text>
    </comment>
    <comment ref="A67" authorId="0" shapeId="0" xr:uid="{00000000-0006-0000-0100-000032000000}">
      <text>
        <r>
          <rPr>
            <sz val="9"/>
            <color indexed="81"/>
            <rFont val="Tahoma"/>
            <family val="2"/>
          </rPr>
          <t xml:space="preserve">
La suma del % de peso físico de las actividades debe de dar el 100% del alcance.</t>
        </r>
      </text>
    </comment>
    <comment ref="A68" authorId="0" shapeId="0" xr:uid="{00000000-0006-0000-0100-000033000000}">
      <text>
        <r>
          <rPr>
            <sz val="9"/>
            <color indexed="81"/>
            <rFont val="Tahoma"/>
            <family val="2"/>
          </rPr>
          <t xml:space="preserve">
La suma del % de peso físico de las subactividades debe de dar el 100% de la actividad.</t>
        </r>
      </text>
    </comment>
    <comment ref="A69" authorId="0" shapeId="0" xr:uid="{00000000-0006-0000-0100-000034000000}">
      <text>
        <r>
          <rPr>
            <sz val="9"/>
            <color indexed="81"/>
            <rFont val="Tahoma"/>
            <family val="2"/>
          </rPr>
          <t xml:space="preserve">
La suma del % de peso físico de las subactividades debe de dar el 100% de la actividad.</t>
        </r>
      </text>
    </comment>
    <comment ref="A70" authorId="0" shapeId="0" xr:uid="{00000000-0006-0000-0100-000035000000}">
      <text>
        <r>
          <rPr>
            <sz val="9"/>
            <color indexed="81"/>
            <rFont val="Tahoma"/>
            <family val="2"/>
          </rPr>
          <t xml:space="preserve">
La suma del % de peso físico de las subactividades debe de dar el 100% de la actividad.</t>
        </r>
      </text>
    </comment>
    <comment ref="A71" authorId="0" shapeId="0" xr:uid="{00000000-0006-0000-0100-000036000000}">
      <text>
        <r>
          <rPr>
            <sz val="9"/>
            <color indexed="81"/>
            <rFont val="Tahoma"/>
            <family val="2"/>
          </rPr>
          <t xml:space="preserve">
La suma del % de peso físico de las subactividades debe de dar el 100% de la actividad.</t>
        </r>
      </text>
    </comment>
    <comment ref="A72" authorId="0" shapeId="0" xr:uid="{00000000-0006-0000-0100-000037000000}">
      <text>
        <r>
          <rPr>
            <sz val="9"/>
            <color indexed="81"/>
            <rFont val="Tahoma"/>
            <family val="2"/>
          </rPr>
          <t xml:space="preserve">
La suma del % de peso físico de las subactividades debe de dar el 100% de la actividad.</t>
        </r>
      </text>
    </comment>
    <comment ref="A73" authorId="0" shapeId="0" xr:uid="{00000000-0006-0000-0100-000038000000}">
      <text>
        <r>
          <rPr>
            <sz val="9"/>
            <color indexed="81"/>
            <rFont val="Tahoma"/>
            <family val="2"/>
          </rPr>
          <t xml:space="preserve">
La suma del % de peso físico de las actividades debe de dar el 100% del alcance.</t>
        </r>
      </text>
    </comment>
    <comment ref="A74" authorId="0" shapeId="0" xr:uid="{00000000-0006-0000-0100-000039000000}">
      <text>
        <r>
          <rPr>
            <sz val="9"/>
            <color indexed="81"/>
            <rFont val="Tahoma"/>
            <family val="2"/>
          </rPr>
          <t xml:space="preserve">
La suma del % de peso físico de las subactividades debe de dar el 100% de la actividad.</t>
        </r>
      </text>
    </comment>
    <comment ref="A75" authorId="0" shapeId="0" xr:uid="{00000000-0006-0000-0100-00003A000000}">
      <text>
        <r>
          <rPr>
            <sz val="9"/>
            <color indexed="81"/>
            <rFont val="Tahoma"/>
            <family val="2"/>
          </rPr>
          <t xml:space="preserve">
La suma del % de peso físico de las subactividades debe de dar el 100% de la actividad.</t>
        </r>
      </text>
    </comment>
    <comment ref="A76" authorId="0" shapeId="0" xr:uid="{00000000-0006-0000-0100-00003B000000}">
      <text>
        <r>
          <rPr>
            <sz val="9"/>
            <color indexed="81"/>
            <rFont val="Tahoma"/>
            <family val="2"/>
          </rPr>
          <t xml:space="preserve">
La suma del % de peso físico de las subactividades debe de dar el 100% de la actividad.</t>
        </r>
      </text>
    </comment>
    <comment ref="A77" authorId="0" shapeId="0" xr:uid="{00000000-0006-0000-0100-00003C000000}">
      <text>
        <r>
          <rPr>
            <sz val="9"/>
            <color indexed="81"/>
            <rFont val="Tahoma"/>
            <family val="2"/>
          </rPr>
          <t xml:space="preserve">
La suma del % de peso físico de las subactividades debe de dar el 100% de la actividad.</t>
        </r>
      </text>
    </comment>
    <comment ref="A78" authorId="0" shapeId="0" xr:uid="{00000000-0006-0000-0100-00003D000000}">
      <text>
        <r>
          <rPr>
            <sz val="9"/>
            <color indexed="81"/>
            <rFont val="Tahoma"/>
            <family val="2"/>
          </rPr>
          <t xml:space="preserve">
La suma del % de peso físico de las subactividades debe de dar el 100% de la actividad.</t>
        </r>
      </text>
    </comment>
    <comment ref="A79" authorId="0" shapeId="0" xr:uid="{00000000-0006-0000-0100-00003E000000}">
      <text>
        <r>
          <rPr>
            <sz val="9"/>
            <color indexed="81"/>
            <rFont val="Tahoma"/>
            <family val="2"/>
          </rPr>
          <t xml:space="preserve">
La suma del % de peso físico de las actividades debe de dar el 100% del alcance.</t>
        </r>
      </text>
    </comment>
    <comment ref="A80" authorId="0" shapeId="0" xr:uid="{00000000-0006-0000-0100-00003F000000}">
      <text>
        <r>
          <rPr>
            <sz val="9"/>
            <color indexed="81"/>
            <rFont val="Tahoma"/>
            <family val="2"/>
          </rPr>
          <t xml:space="preserve">
La suma del % de peso físico de las subactividades debe de dar el 100% de la actividad.</t>
        </r>
      </text>
    </comment>
    <comment ref="A81" authorId="0" shapeId="0" xr:uid="{00000000-0006-0000-0100-000040000000}">
      <text>
        <r>
          <rPr>
            <sz val="9"/>
            <color indexed="81"/>
            <rFont val="Tahoma"/>
            <family val="2"/>
          </rPr>
          <t xml:space="preserve">
La suma del % de peso físico de las subactividades debe de dar el 100% de la actividad.</t>
        </r>
      </text>
    </comment>
    <comment ref="A82" authorId="0" shapeId="0" xr:uid="{00000000-0006-0000-0100-000041000000}">
      <text>
        <r>
          <rPr>
            <sz val="9"/>
            <color indexed="81"/>
            <rFont val="Tahoma"/>
            <family val="2"/>
          </rPr>
          <t xml:space="preserve">
La suma del % de peso físico de las subactividades debe de dar el 100% de la actividad.</t>
        </r>
      </text>
    </comment>
    <comment ref="A83" authorId="0" shapeId="0" xr:uid="{00000000-0006-0000-0100-000042000000}">
      <text>
        <r>
          <rPr>
            <sz val="9"/>
            <color indexed="81"/>
            <rFont val="Tahoma"/>
            <family val="2"/>
          </rPr>
          <t xml:space="preserve">
La suma del % de peso físico de las subactividades debe de dar el 100% de la actividad.</t>
        </r>
      </text>
    </comment>
    <comment ref="A84" authorId="0" shapeId="0" xr:uid="{00000000-0006-0000-0100-000043000000}">
      <text>
        <r>
          <rPr>
            <sz val="9"/>
            <color indexed="81"/>
            <rFont val="Tahoma"/>
            <family val="2"/>
          </rPr>
          <t xml:space="preserve">
La suma del % de peso físico de las subactividades debe de dar el 100% de la actividad.</t>
        </r>
      </text>
    </comment>
    <comment ref="A85" authorId="0" shapeId="0" xr:uid="{00000000-0006-0000-0100-000044000000}">
      <text>
        <r>
          <rPr>
            <sz val="9"/>
            <color indexed="81"/>
            <rFont val="Tahoma"/>
            <family val="2"/>
          </rPr>
          <t xml:space="preserve">
la suma del % de peso físico de los alcances debe de dar el 100% del producto a obtener.</t>
        </r>
      </text>
    </comment>
    <comment ref="A86" authorId="0" shapeId="0" xr:uid="{00000000-0006-0000-0100-000045000000}">
      <text>
        <r>
          <rPr>
            <sz val="9"/>
            <color indexed="81"/>
            <rFont val="Tahoma"/>
            <family val="2"/>
          </rPr>
          <t xml:space="preserve">
La suma del % de peso físico de las actividades debe de dar el 100% del alcance.</t>
        </r>
      </text>
    </comment>
    <comment ref="A87" authorId="0" shapeId="0" xr:uid="{00000000-0006-0000-0100-000046000000}">
      <text>
        <r>
          <rPr>
            <sz val="9"/>
            <color indexed="81"/>
            <rFont val="Tahoma"/>
            <family val="2"/>
          </rPr>
          <t xml:space="preserve">
La suma del % de peso físico de las subactividades debe de dar el 100% de la actividad.</t>
        </r>
      </text>
    </comment>
    <comment ref="A88" authorId="0" shapeId="0" xr:uid="{00000000-0006-0000-0100-000047000000}">
      <text>
        <r>
          <rPr>
            <sz val="9"/>
            <color indexed="81"/>
            <rFont val="Tahoma"/>
            <family val="2"/>
          </rPr>
          <t xml:space="preserve">
La suma del % de peso físico de las subactividades debe de dar el 100% de la actividad.</t>
        </r>
      </text>
    </comment>
    <comment ref="A89" authorId="0" shapeId="0" xr:uid="{00000000-0006-0000-0100-000048000000}">
      <text>
        <r>
          <rPr>
            <sz val="9"/>
            <color indexed="81"/>
            <rFont val="Tahoma"/>
            <family val="2"/>
          </rPr>
          <t xml:space="preserve">
La suma del % de peso físico de las subactividades debe de dar el 100% de la actividad.</t>
        </r>
      </text>
    </comment>
    <comment ref="A90" authorId="0" shapeId="0" xr:uid="{00000000-0006-0000-0100-000049000000}">
      <text>
        <r>
          <rPr>
            <sz val="9"/>
            <color indexed="81"/>
            <rFont val="Tahoma"/>
            <family val="2"/>
          </rPr>
          <t xml:space="preserve">
La suma del % de peso físico de las subactividades debe de dar el 100% de la actividad.</t>
        </r>
      </text>
    </comment>
    <comment ref="A91" authorId="0" shapeId="0" xr:uid="{00000000-0006-0000-0100-00004A000000}">
      <text>
        <r>
          <rPr>
            <sz val="9"/>
            <color indexed="81"/>
            <rFont val="Tahoma"/>
            <family val="2"/>
          </rPr>
          <t xml:space="preserve">
La suma del % de peso físico de las subactividades debe de dar el 100% de la actividad.</t>
        </r>
      </text>
    </comment>
    <comment ref="A92" authorId="0" shapeId="0" xr:uid="{00000000-0006-0000-0100-00004B000000}">
      <text>
        <r>
          <rPr>
            <sz val="9"/>
            <color indexed="81"/>
            <rFont val="Tahoma"/>
            <family val="2"/>
          </rPr>
          <t xml:space="preserve">
La suma del % de peso físico de las actividades debe de dar el 100% del alcance.</t>
        </r>
      </text>
    </comment>
    <comment ref="A93" authorId="0" shapeId="0" xr:uid="{00000000-0006-0000-0100-00004C000000}">
      <text>
        <r>
          <rPr>
            <sz val="9"/>
            <color indexed="81"/>
            <rFont val="Tahoma"/>
            <family val="2"/>
          </rPr>
          <t xml:space="preserve">
La suma del % de peso físico de las subactividades debe de dar el 100% de la actividad.</t>
        </r>
      </text>
    </comment>
    <comment ref="A94" authorId="0" shapeId="0" xr:uid="{00000000-0006-0000-0100-00004D000000}">
      <text>
        <r>
          <rPr>
            <sz val="9"/>
            <color indexed="81"/>
            <rFont val="Tahoma"/>
            <family val="2"/>
          </rPr>
          <t xml:space="preserve">
La suma del % de peso físico de las subactividades debe de dar el 100% de la actividad.</t>
        </r>
      </text>
    </comment>
    <comment ref="A95" authorId="0" shapeId="0" xr:uid="{00000000-0006-0000-0100-00004E000000}">
      <text>
        <r>
          <rPr>
            <sz val="9"/>
            <color indexed="81"/>
            <rFont val="Tahoma"/>
            <family val="2"/>
          </rPr>
          <t xml:space="preserve">
La suma del % de peso físico de las subactividades debe de dar el 100% de la actividad.</t>
        </r>
      </text>
    </comment>
    <comment ref="A96" authorId="0" shapeId="0" xr:uid="{00000000-0006-0000-0100-00004F000000}">
      <text>
        <r>
          <rPr>
            <sz val="9"/>
            <color indexed="81"/>
            <rFont val="Tahoma"/>
            <family val="2"/>
          </rPr>
          <t xml:space="preserve">
La suma del % de peso físico de las subactividades debe de dar el 100% de la actividad.</t>
        </r>
      </text>
    </comment>
    <comment ref="A97" authorId="0" shapeId="0" xr:uid="{00000000-0006-0000-0100-000050000000}">
      <text>
        <r>
          <rPr>
            <sz val="9"/>
            <color indexed="81"/>
            <rFont val="Tahoma"/>
            <family val="2"/>
          </rPr>
          <t xml:space="preserve">
La suma del % de peso físico de las subactividades debe de dar el 100% de la actividad.</t>
        </r>
      </text>
    </comment>
    <comment ref="A98" authorId="0" shapeId="0" xr:uid="{00000000-0006-0000-0100-000051000000}">
      <text>
        <r>
          <rPr>
            <sz val="9"/>
            <color indexed="81"/>
            <rFont val="Tahoma"/>
            <family val="2"/>
          </rPr>
          <t xml:space="preserve">
La suma del % de peso físico de las actividades debe de dar el 100% del alcance.</t>
        </r>
      </text>
    </comment>
    <comment ref="A99" authorId="0" shapeId="0" xr:uid="{00000000-0006-0000-0100-000052000000}">
      <text>
        <r>
          <rPr>
            <sz val="9"/>
            <color indexed="81"/>
            <rFont val="Tahoma"/>
            <family val="2"/>
          </rPr>
          <t xml:space="preserve">
La suma del % de peso físico de las subactividades debe de dar el 100% de la actividad.</t>
        </r>
      </text>
    </comment>
    <comment ref="A100" authorId="0" shapeId="0" xr:uid="{00000000-0006-0000-0100-000053000000}">
      <text>
        <r>
          <rPr>
            <sz val="9"/>
            <color indexed="81"/>
            <rFont val="Tahoma"/>
            <family val="2"/>
          </rPr>
          <t xml:space="preserve">
La suma del % de peso físico de las subactividades debe de dar el 100% de la actividad.</t>
        </r>
      </text>
    </comment>
    <comment ref="A101" authorId="0" shapeId="0" xr:uid="{00000000-0006-0000-0100-000054000000}">
      <text>
        <r>
          <rPr>
            <sz val="9"/>
            <color indexed="81"/>
            <rFont val="Tahoma"/>
            <family val="2"/>
          </rPr>
          <t xml:space="preserve">
La suma del % de peso físico de las subactividades debe de dar el 100% de la actividad.</t>
        </r>
      </text>
    </comment>
    <comment ref="A102" authorId="0" shapeId="0" xr:uid="{00000000-0006-0000-0100-000055000000}">
      <text>
        <r>
          <rPr>
            <sz val="9"/>
            <color indexed="81"/>
            <rFont val="Tahoma"/>
            <family val="2"/>
          </rPr>
          <t xml:space="preserve">
La suma del % de peso físico de las subactividades debe de dar el 100% de la actividad.</t>
        </r>
      </text>
    </comment>
    <comment ref="A103" authorId="0" shapeId="0" xr:uid="{00000000-0006-0000-0100-000056000000}">
      <text>
        <r>
          <rPr>
            <sz val="9"/>
            <color indexed="81"/>
            <rFont val="Tahoma"/>
            <family val="2"/>
          </rPr>
          <t xml:space="preserve">
La suma del % de peso físico de las subactividades debe de dar el 100% de la actividad.</t>
        </r>
      </text>
    </comment>
    <comment ref="A104" authorId="0" shapeId="0" xr:uid="{00000000-0006-0000-0100-000057000000}">
      <text>
        <r>
          <rPr>
            <sz val="9"/>
            <color indexed="81"/>
            <rFont val="Tahoma"/>
            <family val="2"/>
          </rPr>
          <t xml:space="preserve">
La suma del % de peso físico de las actividades debe de dar el 100% del alcance.</t>
        </r>
      </text>
    </comment>
    <comment ref="A105" authorId="0" shapeId="0" xr:uid="{00000000-0006-0000-0100-000058000000}">
      <text>
        <r>
          <rPr>
            <sz val="9"/>
            <color indexed="81"/>
            <rFont val="Tahoma"/>
            <family val="2"/>
          </rPr>
          <t xml:space="preserve">
La suma del % de peso físico de las subactividades debe de dar el 100% de la actividad.</t>
        </r>
      </text>
    </comment>
    <comment ref="A106" authorId="0" shapeId="0" xr:uid="{00000000-0006-0000-0100-000059000000}">
      <text>
        <r>
          <rPr>
            <sz val="9"/>
            <color indexed="81"/>
            <rFont val="Tahoma"/>
            <family val="2"/>
          </rPr>
          <t xml:space="preserve">
La suma del % de peso físico de las subactividades debe de dar el 100% de la actividad.</t>
        </r>
      </text>
    </comment>
    <comment ref="A107" authorId="0" shapeId="0" xr:uid="{00000000-0006-0000-0100-00005A000000}">
      <text>
        <r>
          <rPr>
            <sz val="9"/>
            <color indexed="81"/>
            <rFont val="Tahoma"/>
            <family val="2"/>
          </rPr>
          <t xml:space="preserve">
La suma del % de peso físico de las subactividades debe de dar el 100% de la actividad.</t>
        </r>
      </text>
    </comment>
    <comment ref="A108" authorId="0" shapeId="0" xr:uid="{00000000-0006-0000-0100-00005B000000}">
      <text>
        <r>
          <rPr>
            <sz val="9"/>
            <color indexed="81"/>
            <rFont val="Tahoma"/>
            <family val="2"/>
          </rPr>
          <t xml:space="preserve">
La suma del % de peso físico de las subactividades debe de dar el 100% de la actividad.</t>
        </r>
      </text>
    </comment>
    <comment ref="A109" authorId="0" shapeId="0" xr:uid="{00000000-0006-0000-0100-00005C000000}">
      <text>
        <r>
          <rPr>
            <sz val="9"/>
            <color indexed="81"/>
            <rFont val="Tahoma"/>
            <family val="2"/>
          </rPr>
          <t xml:space="preserve">
La suma del % de peso físico de las subactividades debe de dar el 100% de la actividad.</t>
        </r>
      </text>
    </comment>
    <comment ref="A110" authorId="0" shapeId="0" xr:uid="{00000000-0006-0000-0100-00005D000000}">
      <text>
        <r>
          <rPr>
            <sz val="9"/>
            <color indexed="81"/>
            <rFont val="Tahoma"/>
            <family val="2"/>
          </rPr>
          <t xml:space="preserve">
La suma del % de peso físico de las actividades debe de dar el 100% del alcance.</t>
        </r>
      </text>
    </comment>
    <comment ref="A111" authorId="0" shapeId="0" xr:uid="{00000000-0006-0000-0100-00005E000000}">
      <text>
        <r>
          <rPr>
            <sz val="9"/>
            <color indexed="81"/>
            <rFont val="Tahoma"/>
            <family val="2"/>
          </rPr>
          <t xml:space="preserve">
La suma del % de peso físico de las subactividades debe de dar el 100% de la actividad.</t>
        </r>
      </text>
    </comment>
    <comment ref="A112" authorId="0" shapeId="0" xr:uid="{00000000-0006-0000-0100-00005F000000}">
      <text>
        <r>
          <rPr>
            <sz val="9"/>
            <color indexed="81"/>
            <rFont val="Tahoma"/>
            <family val="2"/>
          </rPr>
          <t xml:space="preserve">
La suma del % de peso físico de las subactividades debe de dar el 100% de la actividad.</t>
        </r>
      </text>
    </comment>
    <comment ref="A113" authorId="0" shapeId="0" xr:uid="{00000000-0006-0000-0100-000060000000}">
      <text>
        <r>
          <rPr>
            <sz val="9"/>
            <color indexed="81"/>
            <rFont val="Tahoma"/>
            <family val="2"/>
          </rPr>
          <t xml:space="preserve">
La suma del % de peso físico de las subactividades debe de dar el 100% de la actividad.</t>
        </r>
      </text>
    </comment>
    <comment ref="A114" authorId="0" shapeId="0" xr:uid="{00000000-0006-0000-0100-000061000000}">
      <text>
        <r>
          <rPr>
            <sz val="9"/>
            <color indexed="81"/>
            <rFont val="Tahoma"/>
            <family val="2"/>
          </rPr>
          <t xml:space="preserve">
La suma del % de peso físico de las subactividades debe de dar el 100% de la actividad.</t>
        </r>
      </text>
    </comment>
    <comment ref="A115" authorId="0" shapeId="0" xr:uid="{00000000-0006-0000-0100-000062000000}">
      <text>
        <r>
          <rPr>
            <sz val="9"/>
            <color indexed="81"/>
            <rFont val="Tahoma"/>
            <family val="2"/>
          </rPr>
          <t xml:space="preserve">
La suma del % de peso físico de las subactividades debe de dar el 100% de la actividad.</t>
        </r>
      </text>
    </comment>
    <comment ref="A116" authorId="0" shapeId="0" xr:uid="{00000000-0006-0000-0100-000063000000}">
      <text>
        <r>
          <rPr>
            <sz val="9"/>
            <color indexed="81"/>
            <rFont val="Tahoma"/>
            <family val="2"/>
          </rPr>
          <t xml:space="preserve">
la suma del % de peso físico de los alcances debe de dar el 100% del producto a obtener.</t>
        </r>
      </text>
    </comment>
    <comment ref="A117" authorId="0" shapeId="0" xr:uid="{00000000-0006-0000-0100-000064000000}">
      <text>
        <r>
          <rPr>
            <sz val="9"/>
            <color indexed="81"/>
            <rFont val="Tahoma"/>
            <family val="2"/>
          </rPr>
          <t xml:space="preserve">
La suma del % de peso físico de las actividades debe de dar el 100% del alcance.</t>
        </r>
      </text>
    </comment>
    <comment ref="A118" authorId="0" shapeId="0" xr:uid="{00000000-0006-0000-0100-000065000000}">
      <text>
        <r>
          <rPr>
            <sz val="9"/>
            <color indexed="81"/>
            <rFont val="Tahoma"/>
            <family val="2"/>
          </rPr>
          <t xml:space="preserve">
La suma del % de peso físico de las subactividades debe de dar el 100% de la actividad.</t>
        </r>
      </text>
    </comment>
    <comment ref="A119" authorId="0" shapeId="0" xr:uid="{00000000-0006-0000-0100-000066000000}">
      <text>
        <r>
          <rPr>
            <sz val="9"/>
            <color indexed="81"/>
            <rFont val="Tahoma"/>
            <family val="2"/>
          </rPr>
          <t xml:space="preserve">
La suma del % de peso físico de las subactividades debe de dar el 100% de la actividad.</t>
        </r>
      </text>
    </comment>
    <comment ref="A120" authorId="0" shapeId="0" xr:uid="{00000000-0006-0000-0100-000067000000}">
      <text>
        <r>
          <rPr>
            <sz val="9"/>
            <color indexed="81"/>
            <rFont val="Tahoma"/>
            <family val="2"/>
          </rPr>
          <t xml:space="preserve">
La suma del % de peso físico de las subactividades debe de dar el 100% de la actividad.</t>
        </r>
      </text>
    </comment>
    <comment ref="A121" authorId="0" shapeId="0" xr:uid="{00000000-0006-0000-0100-000068000000}">
      <text>
        <r>
          <rPr>
            <sz val="9"/>
            <color indexed="81"/>
            <rFont val="Tahoma"/>
            <family val="2"/>
          </rPr>
          <t xml:space="preserve">
La suma del % de peso físico de las subactividades debe de dar el 100% de la actividad.</t>
        </r>
      </text>
    </comment>
    <comment ref="A122" authorId="0" shapeId="0" xr:uid="{00000000-0006-0000-0100-000069000000}">
      <text>
        <r>
          <rPr>
            <sz val="9"/>
            <color indexed="81"/>
            <rFont val="Tahoma"/>
            <family val="2"/>
          </rPr>
          <t xml:space="preserve">
La suma del % de peso físico de las subactividades debe de dar el 100% de la actividad.</t>
        </r>
      </text>
    </comment>
    <comment ref="A123" authorId="0" shapeId="0" xr:uid="{00000000-0006-0000-0100-00006A000000}">
      <text>
        <r>
          <rPr>
            <sz val="9"/>
            <color indexed="81"/>
            <rFont val="Tahoma"/>
            <family val="2"/>
          </rPr>
          <t xml:space="preserve">
La suma del % de peso físico de las actividades debe de dar el 100% del alcance.</t>
        </r>
      </text>
    </comment>
    <comment ref="A124" authorId="0" shapeId="0" xr:uid="{00000000-0006-0000-0100-00006B000000}">
      <text>
        <r>
          <rPr>
            <sz val="9"/>
            <color indexed="81"/>
            <rFont val="Tahoma"/>
            <family val="2"/>
          </rPr>
          <t xml:space="preserve">
La suma del % de peso físico de las subactividades debe de dar el 100% de la actividad.</t>
        </r>
      </text>
    </comment>
    <comment ref="A125" authorId="0" shapeId="0" xr:uid="{00000000-0006-0000-0100-00006C000000}">
      <text>
        <r>
          <rPr>
            <sz val="9"/>
            <color indexed="81"/>
            <rFont val="Tahoma"/>
            <family val="2"/>
          </rPr>
          <t xml:space="preserve">
La suma del % de peso físico de las subactividades debe de dar el 100% de la actividad.</t>
        </r>
      </text>
    </comment>
    <comment ref="A126" authorId="0" shapeId="0" xr:uid="{00000000-0006-0000-0100-00006D000000}">
      <text>
        <r>
          <rPr>
            <sz val="9"/>
            <color indexed="81"/>
            <rFont val="Tahoma"/>
            <family val="2"/>
          </rPr>
          <t xml:space="preserve">
La suma del % de peso físico de las subactividades debe de dar el 100% de la actividad.</t>
        </r>
      </text>
    </comment>
    <comment ref="A127" authorId="0" shapeId="0" xr:uid="{00000000-0006-0000-0100-00006E000000}">
      <text>
        <r>
          <rPr>
            <sz val="9"/>
            <color indexed="81"/>
            <rFont val="Tahoma"/>
            <family val="2"/>
          </rPr>
          <t xml:space="preserve">
La suma del % de peso físico de las subactividades debe de dar el 100% de la actividad.</t>
        </r>
      </text>
    </comment>
    <comment ref="A128" authorId="0" shapeId="0" xr:uid="{00000000-0006-0000-0100-00006F000000}">
      <text>
        <r>
          <rPr>
            <sz val="9"/>
            <color indexed="81"/>
            <rFont val="Tahoma"/>
            <family val="2"/>
          </rPr>
          <t xml:space="preserve">
La suma del % de peso físico de las subactividades debe de dar el 100% de la actividad.</t>
        </r>
      </text>
    </comment>
    <comment ref="A129" authorId="0" shapeId="0" xr:uid="{00000000-0006-0000-0100-000070000000}">
      <text>
        <r>
          <rPr>
            <sz val="9"/>
            <color indexed="81"/>
            <rFont val="Tahoma"/>
            <family val="2"/>
          </rPr>
          <t xml:space="preserve">
La suma del % de peso físico de las actividades debe de dar el 100% del alcance.</t>
        </r>
      </text>
    </comment>
    <comment ref="A130" authorId="0" shapeId="0" xr:uid="{00000000-0006-0000-0100-000071000000}">
      <text>
        <r>
          <rPr>
            <sz val="9"/>
            <color indexed="81"/>
            <rFont val="Tahoma"/>
            <family val="2"/>
          </rPr>
          <t xml:space="preserve">
La suma del % de peso físico de las subactividades debe de dar el 100% de la actividad.</t>
        </r>
      </text>
    </comment>
    <comment ref="A131" authorId="0" shapeId="0" xr:uid="{00000000-0006-0000-0100-000072000000}">
      <text>
        <r>
          <rPr>
            <sz val="9"/>
            <color indexed="81"/>
            <rFont val="Tahoma"/>
            <family val="2"/>
          </rPr>
          <t xml:space="preserve">
La suma del % de peso físico de las subactividades debe de dar el 100% de la actividad.</t>
        </r>
      </text>
    </comment>
    <comment ref="A132" authorId="0" shapeId="0" xr:uid="{00000000-0006-0000-0100-000073000000}">
      <text>
        <r>
          <rPr>
            <sz val="9"/>
            <color indexed="81"/>
            <rFont val="Tahoma"/>
            <family val="2"/>
          </rPr>
          <t xml:space="preserve">
La suma del % de peso físico de las subactividades debe de dar el 100% de la actividad.</t>
        </r>
      </text>
    </comment>
    <comment ref="A133" authorId="0" shapeId="0" xr:uid="{00000000-0006-0000-0100-000074000000}">
      <text>
        <r>
          <rPr>
            <sz val="9"/>
            <color indexed="81"/>
            <rFont val="Tahoma"/>
            <family val="2"/>
          </rPr>
          <t xml:space="preserve">
La suma del % de peso físico de las subactividades debe de dar el 100% de la actividad.</t>
        </r>
      </text>
    </comment>
    <comment ref="A134" authorId="0" shapeId="0" xr:uid="{00000000-0006-0000-0100-000075000000}">
      <text>
        <r>
          <rPr>
            <sz val="9"/>
            <color indexed="81"/>
            <rFont val="Tahoma"/>
            <family val="2"/>
          </rPr>
          <t xml:space="preserve">
La suma del % de peso físico de las subactividades debe de dar el 100% de la actividad.</t>
        </r>
      </text>
    </comment>
    <comment ref="A135" authorId="0" shapeId="0" xr:uid="{00000000-0006-0000-0100-000076000000}">
      <text>
        <r>
          <rPr>
            <sz val="9"/>
            <color indexed="81"/>
            <rFont val="Tahoma"/>
            <family val="2"/>
          </rPr>
          <t xml:space="preserve">
La suma del % de peso físico de las actividades debe de dar el 100% del alcance.</t>
        </r>
      </text>
    </comment>
    <comment ref="A136" authorId="0" shapeId="0" xr:uid="{00000000-0006-0000-0100-000077000000}">
      <text>
        <r>
          <rPr>
            <sz val="9"/>
            <color indexed="81"/>
            <rFont val="Tahoma"/>
            <family val="2"/>
          </rPr>
          <t xml:space="preserve">
La suma del % de peso físico de las subactividades debe de dar el 100% de la actividad.</t>
        </r>
      </text>
    </comment>
    <comment ref="A137" authorId="0" shapeId="0" xr:uid="{00000000-0006-0000-0100-000078000000}">
      <text>
        <r>
          <rPr>
            <sz val="9"/>
            <color indexed="81"/>
            <rFont val="Tahoma"/>
            <family val="2"/>
          </rPr>
          <t xml:space="preserve">
La suma del % de peso físico de las subactividades debe de dar el 100% de la actividad.</t>
        </r>
      </text>
    </comment>
    <comment ref="A138" authorId="0" shapeId="0" xr:uid="{00000000-0006-0000-0100-000079000000}">
      <text>
        <r>
          <rPr>
            <sz val="9"/>
            <color indexed="81"/>
            <rFont val="Tahoma"/>
            <family val="2"/>
          </rPr>
          <t xml:space="preserve">
La suma del % de peso físico de las subactividades debe de dar el 100% de la actividad.</t>
        </r>
      </text>
    </comment>
    <comment ref="A139" authorId="0" shapeId="0" xr:uid="{00000000-0006-0000-0100-00007A000000}">
      <text>
        <r>
          <rPr>
            <sz val="9"/>
            <color indexed="81"/>
            <rFont val="Tahoma"/>
            <family val="2"/>
          </rPr>
          <t xml:space="preserve">
La suma del % de peso físico de las subactividades debe de dar el 100% de la actividad.</t>
        </r>
      </text>
    </comment>
    <comment ref="A140" authorId="0" shapeId="0" xr:uid="{00000000-0006-0000-0100-00007B000000}">
      <text>
        <r>
          <rPr>
            <sz val="9"/>
            <color indexed="81"/>
            <rFont val="Tahoma"/>
            <family val="2"/>
          </rPr>
          <t xml:space="preserve">
La suma del % de peso físico de las subactividades debe de dar el 100% de la actividad.</t>
        </r>
      </text>
    </comment>
    <comment ref="A141" authorId="0" shapeId="0" xr:uid="{00000000-0006-0000-0100-00007C000000}">
      <text>
        <r>
          <rPr>
            <sz val="9"/>
            <color indexed="81"/>
            <rFont val="Tahoma"/>
            <family val="2"/>
          </rPr>
          <t xml:space="preserve">
La suma del % de peso físico de las actividades debe de dar el 100% del alcance.</t>
        </r>
      </text>
    </comment>
    <comment ref="A142" authorId="0" shapeId="0" xr:uid="{00000000-0006-0000-0100-00007D000000}">
      <text>
        <r>
          <rPr>
            <sz val="9"/>
            <color indexed="81"/>
            <rFont val="Tahoma"/>
            <family val="2"/>
          </rPr>
          <t xml:space="preserve">
La suma del % de peso físico de las subactividades debe de dar el 100% de la actividad.</t>
        </r>
      </text>
    </comment>
    <comment ref="A143" authorId="0" shapeId="0" xr:uid="{00000000-0006-0000-0100-00007E000000}">
      <text>
        <r>
          <rPr>
            <sz val="9"/>
            <color indexed="81"/>
            <rFont val="Tahoma"/>
            <family val="2"/>
          </rPr>
          <t xml:space="preserve">
La suma del % de peso físico de las subactividades debe de dar el 100% de la actividad.</t>
        </r>
      </text>
    </comment>
    <comment ref="A144" authorId="0" shapeId="0" xr:uid="{00000000-0006-0000-0100-00007F000000}">
      <text>
        <r>
          <rPr>
            <sz val="9"/>
            <color indexed="81"/>
            <rFont val="Tahoma"/>
            <family val="2"/>
          </rPr>
          <t xml:space="preserve">
La suma del % de peso físico de las subactividades debe de dar el 100% de la actividad.</t>
        </r>
      </text>
    </comment>
    <comment ref="A145" authorId="0" shapeId="0" xr:uid="{00000000-0006-0000-0100-000080000000}">
      <text>
        <r>
          <rPr>
            <sz val="9"/>
            <color indexed="81"/>
            <rFont val="Tahoma"/>
            <family val="2"/>
          </rPr>
          <t xml:space="preserve">
La suma del % de peso físico de las subactividades debe de dar el 100% de la actividad.</t>
        </r>
      </text>
    </comment>
    <comment ref="A146" authorId="0" shapeId="0" xr:uid="{00000000-0006-0000-0100-000081000000}">
      <text>
        <r>
          <rPr>
            <sz val="9"/>
            <color indexed="81"/>
            <rFont val="Tahoma"/>
            <family val="2"/>
          </rPr>
          <t xml:space="preserve">
La suma del % de peso físico de las subactividades debe de dar el 100% de la actividad.</t>
        </r>
      </text>
    </comment>
    <comment ref="A147" authorId="0" shapeId="0" xr:uid="{00000000-0006-0000-0100-000082000000}">
      <text>
        <r>
          <rPr>
            <sz val="9"/>
            <color indexed="81"/>
            <rFont val="Tahoma"/>
            <family val="2"/>
          </rPr>
          <t xml:space="preserve">
la suma del % de peso físico de los alcances debe de dar el 100% del producto a obtener.</t>
        </r>
      </text>
    </comment>
    <comment ref="A148" authorId="0" shapeId="0" xr:uid="{00000000-0006-0000-0100-000083000000}">
      <text>
        <r>
          <rPr>
            <sz val="9"/>
            <color indexed="81"/>
            <rFont val="Tahoma"/>
            <family val="2"/>
          </rPr>
          <t xml:space="preserve">
La suma del % de peso físico de las actividades debe de dar el 100% del alcance.</t>
        </r>
      </text>
    </comment>
    <comment ref="A149" authorId="0" shapeId="0" xr:uid="{00000000-0006-0000-0100-000084000000}">
      <text>
        <r>
          <rPr>
            <sz val="9"/>
            <color indexed="81"/>
            <rFont val="Tahoma"/>
            <family val="2"/>
          </rPr>
          <t xml:space="preserve">
La suma del % de peso físico de las subactividades debe de dar el 100% de la actividad.</t>
        </r>
      </text>
    </comment>
    <comment ref="A150" authorId="0" shapeId="0" xr:uid="{00000000-0006-0000-0100-000085000000}">
      <text>
        <r>
          <rPr>
            <sz val="9"/>
            <color indexed="81"/>
            <rFont val="Tahoma"/>
            <family val="2"/>
          </rPr>
          <t xml:space="preserve">
La suma del % de peso físico de las subactividades debe de dar el 100% de la actividad.</t>
        </r>
      </text>
    </comment>
    <comment ref="A151" authorId="0" shapeId="0" xr:uid="{00000000-0006-0000-0100-000086000000}">
      <text>
        <r>
          <rPr>
            <sz val="9"/>
            <color indexed="81"/>
            <rFont val="Tahoma"/>
            <family val="2"/>
          </rPr>
          <t xml:space="preserve">
La suma del % de peso físico de las subactividades debe de dar el 100% de la actividad.</t>
        </r>
      </text>
    </comment>
    <comment ref="A152" authorId="0" shapeId="0" xr:uid="{00000000-0006-0000-0100-000087000000}">
      <text>
        <r>
          <rPr>
            <sz val="9"/>
            <color indexed="81"/>
            <rFont val="Tahoma"/>
            <family val="2"/>
          </rPr>
          <t xml:space="preserve">
La suma del % de peso físico de las subactividades debe de dar el 100% de la actividad.</t>
        </r>
      </text>
    </comment>
    <comment ref="A153" authorId="0" shapeId="0" xr:uid="{00000000-0006-0000-0100-000088000000}">
      <text>
        <r>
          <rPr>
            <sz val="9"/>
            <color indexed="81"/>
            <rFont val="Tahoma"/>
            <family val="2"/>
          </rPr>
          <t xml:space="preserve">
La suma del % de peso físico de las subactividades debe de dar el 100% de la actividad.</t>
        </r>
      </text>
    </comment>
    <comment ref="A154" authorId="0" shapeId="0" xr:uid="{00000000-0006-0000-0100-000089000000}">
      <text>
        <r>
          <rPr>
            <sz val="9"/>
            <color indexed="81"/>
            <rFont val="Tahoma"/>
            <family val="2"/>
          </rPr>
          <t xml:space="preserve">
La suma del % de peso físico de las actividades debe de dar el 100% del alcance.</t>
        </r>
      </text>
    </comment>
    <comment ref="A155" authorId="0" shapeId="0" xr:uid="{00000000-0006-0000-0100-00008A000000}">
      <text>
        <r>
          <rPr>
            <sz val="9"/>
            <color indexed="81"/>
            <rFont val="Tahoma"/>
            <family val="2"/>
          </rPr>
          <t xml:space="preserve">
La suma del % de peso físico de las subactividades debe de dar el 100% de la actividad.</t>
        </r>
      </text>
    </comment>
    <comment ref="A156" authorId="0" shapeId="0" xr:uid="{00000000-0006-0000-0100-00008B000000}">
      <text>
        <r>
          <rPr>
            <sz val="9"/>
            <color indexed="81"/>
            <rFont val="Tahoma"/>
            <family val="2"/>
          </rPr>
          <t xml:space="preserve">
La suma del % de peso físico de las subactividades debe de dar el 100% de la actividad.</t>
        </r>
      </text>
    </comment>
    <comment ref="A157" authorId="0" shapeId="0" xr:uid="{00000000-0006-0000-0100-00008C000000}">
      <text>
        <r>
          <rPr>
            <sz val="9"/>
            <color indexed="81"/>
            <rFont val="Tahoma"/>
            <family val="2"/>
          </rPr>
          <t xml:space="preserve">
La suma del % de peso físico de las subactividades debe de dar el 100% de la actividad.</t>
        </r>
      </text>
    </comment>
    <comment ref="A158" authorId="0" shapeId="0" xr:uid="{00000000-0006-0000-0100-00008D000000}">
      <text>
        <r>
          <rPr>
            <sz val="9"/>
            <color indexed="81"/>
            <rFont val="Tahoma"/>
            <family val="2"/>
          </rPr>
          <t xml:space="preserve">
La suma del % de peso físico de las subactividades debe de dar el 100% de la actividad.</t>
        </r>
      </text>
    </comment>
    <comment ref="A159" authorId="0" shapeId="0" xr:uid="{00000000-0006-0000-0100-00008E000000}">
      <text>
        <r>
          <rPr>
            <sz val="9"/>
            <color indexed="81"/>
            <rFont val="Tahoma"/>
            <family val="2"/>
          </rPr>
          <t xml:space="preserve">
La suma del % de peso físico de las subactividades debe de dar el 100% de la actividad.</t>
        </r>
      </text>
    </comment>
    <comment ref="A160" authorId="0" shapeId="0" xr:uid="{00000000-0006-0000-0100-00008F000000}">
      <text>
        <r>
          <rPr>
            <sz val="9"/>
            <color indexed="81"/>
            <rFont val="Tahoma"/>
            <family val="2"/>
          </rPr>
          <t xml:space="preserve">
La suma del % de peso físico de las actividades debe de dar el 100% del alcance.</t>
        </r>
      </text>
    </comment>
    <comment ref="A161" authorId="0" shapeId="0" xr:uid="{00000000-0006-0000-0100-000090000000}">
      <text>
        <r>
          <rPr>
            <sz val="9"/>
            <color indexed="81"/>
            <rFont val="Tahoma"/>
            <family val="2"/>
          </rPr>
          <t xml:space="preserve">
La suma del % de peso físico de las subactividades debe de dar el 100% de la actividad.</t>
        </r>
      </text>
    </comment>
    <comment ref="A162" authorId="0" shapeId="0" xr:uid="{00000000-0006-0000-0100-000091000000}">
      <text>
        <r>
          <rPr>
            <sz val="9"/>
            <color indexed="81"/>
            <rFont val="Tahoma"/>
            <family val="2"/>
          </rPr>
          <t xml:space="preserve">
La suma del % de peso físico de las subactividades debe de dar el 100% de la actividad.</t>
        </r>
      </text>
    </comment>
    <comment ref="A163" authorId="0" shapeId="0" xr:uid="{00000000-0006-0000-0100-000092000000}">
      <text>
        <r>
          <rPr>
            <sz val="9"/>
            <color indexed="81"/>
            <rFont val="Tahoma"/>
            <family val="2"/>
          </rPr>
          <t xml:space="preserve">
La suma del % de peso físico de las subactividades debe de dar el 100% de la actividad.</t>
        </r>
      </text>
    </comment>
    <comment ref="A164" authorId="0" shapeId="0" xr:uid="{00000000-0006-0000-0100-000093000000}">
      <text>
        <r>
          <rPr>
            <sz val="9"/>
            <color indexed="81"/>
            <rFont val="Tahoma"/>
            <family val="2"/>
          </rPr>
          <t xml:space="preserve">
La suma del % de peso físico de las subactividades debe de dar el 100% de la actividad.</t>
        </r>
      </text>
    </comment>
    <comment ref="A165" authorId="0" shapeId="0" xr:uid="{00000000-0006-0000-0100-000094000000}">
      <text>
        <r>
          <rPr>
            <sz val="9"/>
            <color indexed="81"/>
            <rFont val="Tahoma"/>
            <family val="2"/>
          </rPr>
          <t xml:space="preserve">
La suma del % de peso físico de las subactividades debe de dar el 100% de la actividad.</t>
        </r>
      </text>
    </comment>
    <comment ref="A166" authorId="0" shapeId="0" xr:uid="{00000000-0006-0000-0100-000095000000}">
      <text>
        <r>
          <rPr>
            <sz val="9"/>
            <color indexed="81"/>
            <rFont val="Tahoma"/>
            <family val="2"/>
          </rPr>
          <t xml:space="preserve">
La suma del % de peso físico de las actividades debe de dar el 100% del alcance.</t>
        </r>
      </text>
    </comment>
    <comment ref="A167" authorId="0" shapeId="0" xr:uid="{00000000-0006-0000-0100-000096000000}">
      <text>
        <r>
          <rPr>
            <sz val="9"/>
            <color indexed="81"/>
            <rFont val="Tahoma"/>
            <family val="2"/>
          </rPr>
          <t xml:space="preserve">
La suma del % de peso físico de las subactividades debe de dar el 100% de la actividad.</t>
        </r>
      </text>
    </comment>
    <comment ref="A168" authorId="0" shapeId="0" xr:uid="{00000000-0006-0000-0100-000097000000}">
      <text>
        <r>
          <rPr>
            <sz val="9"/>
            <color indexed="81"/>
            <rFont val="Tahoma"/>
            <family val="2"/>
          </rPr>
          <t xml:space="preserve">
La suma del % de peso físico de las subactividades debe de dar el 100% de la actividad.</t>
        </r>
      </text>
    </comment>
    <comment ref="A169" authorId="0" shapeId="0" xr:uid="{00000000-0006-0000-0100-000098000000}">
      <text>
        <r>
          <rPr>
            <sz val="9"/>
            <color indexed="81"/>
            <rFont val="Tahoma"/>
            <family val="2"/>
          </rPr>
          <t xml:space="preserve">
La suma del % de peso físico de las subactividades debe de dar el 100% de la actividad.</t>
        </r>
      </text>
    </comment>
    <comment ref="A170" authorId="0" shapeId="0" xr:uid="{00000000-0006-0000-0100-000099000000}">
      <text>
        <r>
          <rPr>
            <sz val="9"/>
            <color indexed="81"/>
            <rFont val="Tahoma"/>
            <family val="2"/>
          </rPr>
          <t xml:space="preserve">
La suma del % de peso físico de las subactividades debe de dar el 100% de la actividad.</t>
        </r>
      </text>
    </comment>
    <comment ref="A171" authorId="0" shapeId="0" xr:uid="{00000000-0006-0000-0100-00009A000000}">
      <text>
        <r>
          <rPr>
            <sz val="9"/>
            <color indexed="81"/>
            <rFont val="Tahoma"/>
            <family val="2"/>
          </rPr>
          <t xml:space="preserve">
La suma del % de peso físico de las subactividades debe de dar el 100% de la actividad.</t>
        </r>
      </text>
    </comment>
    <comment ref="A172" authorId="0" shapeId="0" xr:uid="{00000000-0006-0000-0100-00009B000000}">
      <text>
        <r>
          <rPr>
            <sz val="9"/>
            <color indexed="81"/>
            <rFont val="Tahoma"/>
            <family val="2"/>
          </rPr>
          <t xml:space="preserve">
La suma del % de peso físico de las actividades debe de dar el 100% del alcance.</t>
        </r>
      </text>
    </comment>
    <comment ref="A173" authorId="0" shapeId="0" xr:uid="{00000000-0006-0000-0100-00009C000000}">
      <text>
        <r>
          <rPr>
            <sz val="9"/>
            <color indexed="81"/>
            <rFont val="Tahoma"/>
            <family val="2"/>
          </rPr>
          <t xml:space="preserve">
La suma del % de peso físico de las subactividades debe de dar el 100% de la actividad.</t>
        </r>
      </text>
    </comment>
    <comment ref="A174" authorId="0" shapeId="0" xr:uid="{00000000-0006-0000-0100-00009D000000}">
      <text>
        <r>
          <rPr>
            <sz val="9"/>
            <color indexed="81"/>
            <rFont val="Tahoma"/>
            <family val="2"/>
          </rPr>
          <t xml:space="preserve">
La suma del % de peso físico de las subactividades debe de dar el 100% de la actividad.</t>
        </r>
      </text>
    </comment>
    <comment ref="A175" authorId="0" shapeId="0" xr:uid="{00000000-0006-0000-0100-00009E000000}">
      <text>
        <r>
          <rPr>
            <sz val="9"/>
            <color indexed="81"/>
            <rFont val="Tahoma"/>
            <family val="2"/>
          </rPr>
          <t xml:space="preserve">
La suma del % de peso físico de las subactividades debe de dar el 100% de la actividad.</t>
        </r>
      </text>
    </comment>
    <comment ref="A176" authorId="0" shapeId="0" xr:uid="{00000000-0006-0000-0100-00009F000000}">
      <text>
        <r>
          <rPr>
            <sz val="9"/>
            <color indexed="81"/>
            <rFont val="Tahoma"/>
            <family val="2"/>
          </rPr>
          <t xml:space="preserve">
La suma del % de peso físico de las subactividades debe de dar el 100% de la actividad.</t>
        </r>
      </text>
    </comment>
    <comment ref="A177" authorId="0" shapeId="0" xr:uid="{00000000-0006-0000-0100-0000A0000000}">
      <text>
        <r>
          <rPr>
            <sz val="9"/>
            <color indexed="81"/>
            <rFont val="Tahoma"/>
            <family val="2"/>
          </rPr>
          <t xml:space="preserve">
La suma del % de peso físico de las subactividades debe de dar el 100% de la actividad.</t>
        </r>
      </text>
    </comment>
    <comment ref="A178" authorId="0" shapeId="0" xr:uid="{D28F890F-AAA6-4854-99AC-0DF6AADFAE42}">
      <text>
        <r>
          <rPr>
            <sz val="9"/>
            <color indexed="81"/>
            <rFont val="Tahoma"/>
            <family val="2"/>
          </rPr>
          <t xml:space="preserve">
la suma del % de peso físico de los alcances debe de dar el 100% del producto a obtener.</t>
        </r>
      </text>
    </comment>
    <comment ref="A179" authorId="0" shapeId="0" xr:uid="{AE9B5AC8-E03C-4086-995C-7E2CEED9DC81}">
      <text>
        <r>
          <rPr>
            <sz val="9"/>
            <color indexed="81"/>
            <rFont val="Tahoma"/>
            <family val="2"/>
          </rPr>
          <t xml:space="preserve">
La suma del % de peso físico de las actividades debe de dar el 100% del alcance.</t>
        </r>
      </text>
    </comment>
    <comment ref="A180" authorId="0" shapeId="0" xr:uid="{F1300234-63FF-446B-8E1B-14C830C98310}">
      <text>
        <r>
          <rPr>
            <sz val="9"/>
            <color indexed="81"/>
            <rFont val="Tahoma"/>
            <family val="2"/>
          </rPr>
          <t xml:space="preserve">
La suma del % de peso físico de las subactividades debe de dar el 100% de la actividad.</t>
        </r>
      </text>
    </comment>
    <comment ref="A181" authorId="0" shapeId="0" xr:uid="{B1D62D69-D442-4A28-981E-902E6C8C98AC}">
      <text>
        <r>
          <rPr>
            <sz val="9"/>
            <color indexed="81"/>
            <rFont val="Tahoma"/>
            <family val="2"/>
          </rPr>
          <t xml:space="preserve">
La suma del % de peso físico de las subactividades debe de dar el 100% de la actividad.</t>
        </r>
      </text>
    </comment>
    <comment ref="A182" authorId="0" shapeId="0" xr:uid="{C3EF5750-C68C-4209-8ED2-D26954F198BA}">
      <text>
        <r>
          <rPr>
            <sz val="9"/>
            <color indexed="81"/>
            <rFont val="Tahoma"/>
            <family val="2"/>
          </rPr>
          <t xml:space="preserve">
La suma del % de peso físico de las subactividades debe de dar el 100% de la actividad.</t>
        </r>
      </text>
    </comment>
    <comment ref="A183" authorId="0" shapeId="0" xr:uid="{E65C4265-3EBF-4C84-B65F-18089095C014}">
      <text>
        <r>
          <rPr>
            <sz val="9"/>
            <color indexed="81"/>
            <rFont val="Tahoma"/>
            <family val="2"/>
          </rPr>
          <t xml:space="preserve">
La suma del % de peso físico de las subactividades debe de dar el 100% de la actividad.</t>
        </r>
      </text>
    </comment>
    <comment ref="A184" authorId="0" shapeId="0" xr:uid="{B8E3BBE8-B786-4DBC-8038-6983A0D0EF6B}">
      <text>
        <r>
          <rPr>
            <sz val="9"/>
            <color indexed="81"/>
            <rFont val="Tahoma"/>
            <family val="2"/>
          </rPr>
          <t xml:space="preserve">
La suma del % de peso físico de las subactividades debe de dar el 100% de la actividad.</t>
        </r>
      </text>
    </comment>
    <comment ref="A185" authorId="0" shapeId="0" xr:uid="{08FA3E14-8AEE-434A-9C2A-D49FF0FB8259}">
      <text>
        <r>
          <rPr>
            <sz val="9"/>
            <color indexed="81"/>
            <rFont val="Tahoma"/>
            <family val="2"/>
          </rPr>
          <t xml:space="preserve">
La suma del % de peso físico de las actividades debe de dar el 100% del alcance.</t>
        </r>
      </text>
    </comment>
    <comment ref="A186" authorId="0" shapeId="0" xr:uid="{CD45081B-2443-44AD-9BC7-410B64BCFBF4}">
      <text>
        <r>
          <rPr>
            <sz val="9"/>
            <color indexed="81"/>
            <rFont val="Tahoma"/>
            <family val="2"/>
          </rPr>
          <t xml:space="preserve">
La suma del % de peso físico de las subactividades debe de dar el 100% de la actividad.</t>
        </r>
      </text>
    </comment>
    <comment ref="A187" authorId="0" shapeId="0" xr:uid="{990F3EDC-97F4-41A9-A5AB-AEF326246D3C}">
      <text>
        <r>
          <rPr>
            <sz val="9"/>
            <color indexed="81"/>
            <rFont val="Tahoma"/>
            <family val="2"/>
          </rPr>
          <t xml:space="preserve">
La suma del % de peso físico de las subactividades debe de dar el 100% de la actividad.</t>
        </r>
      </text>
    </comment>
    <comment ref="A188" authorId="0" shapeId="0" xr:uid="{EE310C12-25F4-4FD0-8612-DD1DA4FC008B}">
      <text>
        <r>
          <rPr>
            <sz val="9"/>
            <color indexed="81"/>
            <rFont val="Tahoma"/>
            <family val="2"/>
          </rPr>
          <t xml:space="preserve">
La suma del % de peso físico de las subactividades debe de dar el 100% de la actividad.</t>
        </r>
      </text>
    </comment>
    <comment ref="A189" authorId="0" shapeId="0" xr:uid="{24BAC7B2-E415-4179-A54A-3F5E48C4B95E}">
      <text>
        <r>
          <rPr>
            <sz val="9"/>
            <color indexed="81"/>
            <rFont val="Tahoma"/>
            <family val="2"/>
          </rPr>
          <t xml:space="preserve">
La suma del % de peso físico de las subactividades debe de dar el 100% de la actividad.</t>
        </r>
      </text>
    </comment>
    <comment ref="A190" authorId="0" shapeId="0" xr:uid="{B9289B44-20F8-40F6-B5B9-0A4A64CCD8BA}">
      <text>
        <r>
          <rPr>
            <sz val="9"/>
            <color indexed="81"/>
            <rFont val="Tahoma"/>
            <family val="2"/>
          </rPr>
          <t xml:space="preserve">
La suma del % de peso físico de las subactividades debe de dar el 100% de la actividad.</t>
        </r>
      </text>
    </comment>
    <comment ref="A191" authorId="0" shapeId="0" xr:uid="{DEF9CE59-F147-43E3-A0E7-6956D58E3171}">
      <text>
        <r>
          <rPr>
            <sz val="9"/>
            <color indexed="81"/>
            <rFont val="Tahoma"/>
            <family val="2"/>
          </rPr>
          <t xml:space="preserve">
La suma del % de peso físico de las actividades debe de dar el 100% del alcance.</t>
        </r>
      </text>
    </comment>
    <comment ref="A192" authorId="0" shapeId="0" xr:uid="{DAAEAD95-D286-4F92-BD88-B56E5F74BED5}">
      <text>
        <r>
          <rPr>
            <sz val="9"/>
            <color indexed="81"/>
            <rFont val="Tahoma"/>
            <family val="2"/>
          </rPr>
          <t xml:space="preserve">
La suma del % de peso físico de las subactividades debe de dar el 100% de la actividad.</t>
        </r>
      </text>
    </comment>
    <comment ref="A193" authorId="0" shapeId="0" xr:uid="{7A025F81-7C69-4E5D-94BD-381CE10571B6}">
      <text>
        <r>
          <rPr>
            <sz val="9"/>
            <color indexed="81"/>
            <rFont val="Tahoma"/>
            <family val="2"/>
          </rPr>
          <t xml:space="preserve">
La suma del % de peso físico de las subactividades debe de dar el 100% de la actividad.</t>
        </r>
      </text>
    </comment>
    <comment ref="A194" authorId="0" shapeId="0" xr:uid="{7436C12D-1A06-4318-98DA-E9B38ADB4CCD}">
      <text>
        <r>
          <rPr>
            <sz val="9"/>
            <color indexed="81"/>
            <rFont val="Tahoma"/>
            <family val="2"/>
          </rPr>
          <t xml:space="preserve">
La suma del % de peso físico de las subactividades debe de dar el 100% de la actividad.</t>
        </r>
      </text>
    </comment>
    <comment ref="A195" authorId="0" shapeId="0" xr:uid="{35005581-8D20-4D53-B1B6-537E5BB03500}">
      <text>
        <r>
          <rPr>
            <sz val="9"/>
            <color indexed="81"/>
            <rFont val="Tahoma"/>
            <family val="2"/>
          </rPr>
          <t xml:space="preserve">
La suma del % de peso físico de las subactividades debe de dar el 100% de la actividad.</t>
        </r>
      </text>
    </comment>
    <comment ref="A196" authorId="0" shapeId="0" xr:uid="{5B9160E8-89C2-4D8D-B4D4-B68AFE97345B}">
      <text>
        <r>
          <rPr>
            <sz val="9"/>
            <color indexed="81"/>
            <rFont val="Tahoma"/>
            <family val="2"/>
          </rPr>
          <t xml:space="preserve">
La suma del % de peso físico de las subactividades debe de dar el 100% de la actividad.</t>
        </r>
      </text>
    </comment>
    <comment ref="A197" authorId="0" shapeId="0" xr:uid="{8AF1531B-A6CC-444F-9375-B8EFB6498155}">
      <text>
        <r>
          <rPr>
            <sz val="9"/>
            <color indexed="81"/>
            <rFont val="Tahoma"/>
            <family val="2"/>
          </rPr>
          <t xml:space="preserve">
La suma del % de peso físico de las actividades debe de dar el 100% del alcance.</t>
        </r>
      </text>
    </comment>
    <comment ref="A198" authorId="0" shapeId="0" xr:uid="{65CA9CC6-9646-4FD3-9FC4-EFFA474A60F2}">
      <text>
        <r>
          <rPr>
            <sz val="9"/>
            <color indexed="81"/>
            <rFont val="Tahoma"/>
            <family val="2"/>
          </rPr>
          <t xml:space="preserve">
La suma del % de peso físico de las subactividades debe de dar el 100% de la actividad.</t>
        </r>
      </text>
    </comment>
    <comment ref="A199" authorId="0" shapeId="0" xr:uid="{944493B9-A9EA-4F4E-AC1D-E53CDEF8BEBF}">
      <text>
        <r>
          <rPr>
            <sz val="9"/>
            <color indexed="81"/>
            <rFont val="Tahoma"/>
            <family val="2"/>
          </rPr>
          <t xml:space="preserve">
La suma del % de peso físico de las subactividades debe de dar el 100% de la actividad.</t>
        </r>
      </text>
    </comment>
    <comment ref="A200" authorId="0" shapeId="0" xr:uid="{EB6A1795-D66F-415E-B993-28B39125010E}">
      <text>
        <r>
          <rPr>
            <sz val="9"/>
            <color indexed="81"/>
            <rFont val="Tahoma"/>
            <family val="2"/>
          </rPr>
          <t xml:space="preserve">
La suma del % de peso físico de las subactividades debe de dar el 100% de la actividad.</t>
        </r>
      </text>
    </comment>
    <comment ref="A201" authorId="0" shapeId="0" xr:uid="{5BCE3505-6935-45FD-8328-19C03DCAAFB0}">
      <text>
        <r>
          <rPr>
            <sz val="9"/>
            <color indexed="81"/>
            <rFont val="Tahoma"/>
            <family val="2"/>
          </rPr>
          <t xml:space="preserve">
La suma del % de peso físico de las subactividades debe de dar el 100% de la actividad.</t>
        </r>
      </text>
    </comment>
    <comment ref="A202" authorId="0" shapeId="0" xr:uid="{B9490C6B-0F39-45EE-908C-115A7A988D50}">
      <text>
        <r>
          <rPr>
            <sz val="9"/>
            <color indexed="81"/>
            <rFont val="Tahoma"/>
            <family val="2"/>
          </rPr>
          <t xml:space="preserve">
La suma del % de peso físico de las subactividades debe de dar el 100% de la actividad.</t>
        </r>
      </text>
    </comment>
    <comment ref="A203" authorId="0" shapeId="0" xr:uid="{D412600E-4024-4E0B-839E-FE55BE59D965}">
      <text>
        <r>
          <rPr>
            <sz val="9"/>
            <color indexed="81"/>
            <rFont val="Tahoma"/>
            <family val="2"/>
          </rPr>
          <t xml:space="preserve">
La suma del % de peso físico de las actividades debe de dar el 100% del alcance.</t>
        </r>
      </text>
    </comment>
    <comment ref="A204" authorId="0" shapeId="0" xr:uid="{DAF0C003-7421-4B27-9D78-2AFF15F439B8}">
      <text>
        <r>
          <rPr>
            <sz val="9"/>
            <color indexed="81"/>
            <rFont val="Tahoma"/>
            <family val="2"/>
          </rPr>
          <t xml:space="preserve">
La suma del % de peso físico de las subactividades debe de dar el 100% de la actividad.</t>
        </r>
      </text>
    </comment>
    <comment ref="A205" authorId="0" shapeId="0" xr:uid="{C78D1E8D-82C0-4399-9B95-F6BFA339A94F}">
      <text>
        <r>
          <rPr>
            <sz val="9"/>
            <color indexed="81"/>
            <rFont val="Tahoma"/>
            <family val="2"/>
          </rPr>
          <t xml:space="preserve">
La suma del % de peso físico de las subactividades debe de dar el 100% de la actividad.</t>
        </r>
      </text>
    </comment>
    <comment ref="A206" authorId="0" shapeId="0" xr:uid="{413D0DC0-8464-4661-8CDD-A8221D43FAFC}">
      <text>
        <r>
          <rPr>
            <sz val="9"/>
            <color indexed="81"/>
            <rFont val="Tahoma"/>
            <family val="2"/>
          </rPr>
          <t xml:space="preserve">
La suma del % de peso físico de las subactividades debe de dar el 100% de la actividad.</t>
        </r>
      </text>
    </comment>
    <comment ref="A207" authorId="0" shapeId="0" xr:uid="{376A68F7-050A-4412-A682-7011446CB450}">
      <text>
        <r>
          <rPr>
            <sz val="9"/>
            <color indexed="81"/>
            <rFont val="Tahoma"/>
            <family val="2"/>
          </rPr>
          <t xml:space="preserve">
La suma del % de peso físico de las subactividades debe de dar el 100% de la actividad.</t>
        </r>
      </text>
    </comment>
    <comment ref="A208" authorId="0" shapeId="0" xr:uid="{14468CC6-74BE-47DB-9D9F-A77987DCAEA8}">
      <text>
        <r>
          <rPr>
            <sz val="9"/>
            <color indexed="81"/>
            <rFont val="Tahoma"/>
            <family val="2"/>
          </rPr>
          <t xml:space="preserve">
La suma del % de peso físico de las subactividades debe de dar el 100% de la actividad.</t>
        </r>
      </text>
    </comment>
    <comment ref="A209" authorId="0" shapeId="0" xr:uid="{00000000-0006-0000-0100-0000A1000000}">
      <text>
        <r>
          <rPr>
            <sz val="9"/>
            <color indexed="81"/>
            <rFont val="Tahoma"/>
            <family val="2"/>
          </rPr>
          <t xml:space="preserve">
Suma de la ejecución de las subactividades en cada período</t>
        </r>
      </text>
    </comment>
    <comment ref="A210" authorId="0" shapeId="0" xr:uid="{00000000-0006-0000-0100-0000A2000000}">
      <text>
        <r>
          <rPr>
            <sz val="9"/>
            <color indexed="81"/>
            <rFont val="Tahoma"/>
            <family val="2"/>
          </rPr>
          <t xml:space="preserve">
Suma del total del período anterior + el total del período actual</t>
        </r>
      </text>
    </comment>
    <comment ref="E214" authorId="0" shapeId="0" xr:uid="{00000000-0006-0000-0100-0000A3000000}">
      <text>
        <r>
          <rPr>
            <sz val="9"/>
            <color indexed="81"/>
            <rFont val="Tahoma"/>
            <family val="2"/>
          </rPr>
          <t xml:space="preserve">
Valor total incluido los aportes en dinero y en especie, de todos los participantes</t>
        </r>
      </text>
    </comment>
    <comment ref="F214" authorId="0" shapeId="0" xr:uid="{00000000-0006-0000-0100-0000A4000000}">
      <text>
        <r>
          <rPr>
            <sz val="9"/>
            <color indexed="81"/>
            <rFont val="Tahoma"/>
            <family val="2"/>
          </rPr>
          <t xml:space="preserve">
Valor total en dinero aportado por corantioquia</t>
        </r>
      </text>
    </comment>
    <comment ref="F216" authorId="0" shapeId="0" xr:uid="{00000000-0006-0000-0100-0000A5000000}">
      <text>
        <r>
          <rPr>
            <sz val="9"/>
            <color indexed="81"/>
            <rFont val="Tahoma"/>
            <family val="2"/>
          </rPr>
          <t xml:space="preserve">
Verificar que la suma de los valores desembolsados en cada periodo sea igual al valor total aportado por Corantioquia, y que ello concuerde tanto en excel como en word, considerar que en el word se consignan valores enteros, y puede que en el presente libro se trabaja con valores con decimales, por tanto, por el manejo de decimales puede haber diferencias en pesos entre la suma de los valores parciales y el valor total en el word, verificar muy bien la información y realizar las correcciones necesarias </t>
        </r>
      </text>
    </comment>
    <comment ref="AD216" authorId="0" shapeId="0" xr:uid="{00000000-0006-0000-0100-0000A6000000}">
      <text>
        <r>
          <rPr>
            <sz val="9"/>
            <color indexed="81"/>
            <rFont val="Tahoma"/>
            <family val="2"/>
          </rPr>
          <t xml:space="preserve">Verificar la programación financiera de la presente hoja de excel, con la programación financiera que se plasma en el documento (word) de los estudios previos o del Otrosí, de acuerdo al caso, las cuales deben concordar.
Se recomienda que en el documento word de los estudios previos queden los porcentajes de ejecución física y financiera, y no la expresión de los valores en pesos.
Considerar que en el proceso contractual los asesores jurídicos deben diligenciar la expresión de los valores en pesos en documentos en word, por tanto, se debe verificar que si se pasan los valores del excel al word como números enteros, por factores de decimales, si corresponda al valor del presupuesto total y no queden con pesos por encima o por debajo. </t>
        </r>
      </text>
    </comment>
    <comment ref="E217" authorId="0" shapeId="0" xr:uid="{00000000-0006-0000-0100-0000A7000000}">
      <text>
        <r>
          <rPr>
            <sz val="9"/>
            <color indexed="81"/>
            <rFont val="Tahoma"/>
            <family val="2"/>
          </rPr>
          <t xml:space="preserve">
Peso %:
 Valor aportado por corantioquia en cada periodo / el valor (total) aportado por corantioquia</t>
        </r>
      </text>
    </comment>
    <comment ref="E218" authorId="0" shapeId="0" xr:uid="{00000000-0006-0000-0100-0000A8000000}">
      <text>
        <r>
          <rPr>
            <sz val="9"/>
            <color indexed="81"/>
            <rFont val="Tahoma"/>
            <family val="2"/>
          </rPr>
          <t xml:space="preserve">
Suma del (%) del período anterior + el (%) del período actual</t>
        </r>
      </text>
    </comment>
    <comment ref="E220" authorId="0" shapeId="0" xr:uid="{00000000-0006-0000-0100-0000A9000000}">
      <text>
        <r>
          <rPr>
            <sz val="9"/>
            <color indexed="81"/>
            <rFont val="Tahoma"/>
            <family val="2"/>
          </rPr>
          <t xml:space="preserve">
Esta información se compara con los datos disponibles en el PGAR.
Peso %:
 Valor desembolsado por corantioquia en cada periodo / el valor (total) aportado por corantioquia</t>
        </r>
      </text>
    </comment>
    <comment ref="E221" authorId="0" shapeId="0" xr:uid="{00000000-0006-0000-0100-0000AA000000}">
      <text>
        <r>
          <rPr>
            <sz val="9"/>
            <color indexed="81"/>
            <rFont val="Tahoma"/>
            <family val="2"/>
          </rPr>
          <t xml:space="preserve">
Esta información se compara con los datos disponibles en el PGAR.
Suma del (%) del período anterior + el (%) del período actual</t>
        </r>
      </text>
    </comment>
    <comment ref="C223" authorId="0" shapeId="0" xr:uid="{00000000-0006-0000-0100-0000AB000000}">
      <text>
        <r>
          <rPr>
            <sz val="9"/>
            <color indexed="81"/>
            <rFont val="Tahoma"/>
            <family val="2"/>
          </rPr>
          <t xml:space="preserve">
Diligenciar esta información solo en caso de Otrosí de adición de recursos o prórroga </t>
        </r>
      </text>
    </comment>
    <comment ref="E224" authorId="0" shapeId="0" xr:uid="{00000000-0006-0000-0100-0000AC000000}">
      <text>
        <r>
          <rPr>
            <sz val="9"/>
            <color indexed="81"/>
            <rFont val="Tahoma"/>
            <family val="2"/>
          </rPr>
          <t xml:space="preserve">
Valor aportado por corantioquia (solo en dinero) de manera inicial + las adiciones</t>
        </r>
      </text>
    </comment>
    <comment ref="F226" authorId="0" shapeId="0" xr:uid="{00000000-0006-0000-0100-0000AD000000}">
      <text>
        <r>
          <rPr>
            <sz val="9"/>
            <color indexed="81"/>
            <rFont val="Tahoma"/>
            <family val="2"/>
          </rPr>
          <t xml:space="preserve">
Diligenciar la información de los valores que efectivamente se han desembolsado, de acuerdo con la información en el PGAR</t>
        </r>
      </text>
    </comment>
    <comment ref="F229" authorId="0" shapeId="0" xr:uid="{00000000-0006-0000-0100-0000AE000000}">
      <text>
        <r>
          <rPr>
            <sz val="9"/>
            <color indexed="81"/>
            <rFont val="Tahoma"/>
            <family val="2"/>
          </rPr>
          <t xml:space="preserve">
Plasmar la planeación de los valores pendientes de ejecución o desembolso</t>
        </r>
      </text>
    </comment>
    <comment ref="C232" authorId="0" shapeId="0" xr:uid="{00000000-0006-0000-0100-0000AF000000}">
      <text>
        <r>
          <rPr>
            <sz val="9"/>
            <color indexed="81"/>
            <rFont val="Tahoma"/>
            <family val="2"/>
          </rPr>
          <t xml:space="preserve">
Suma del porcentaje acumulado de los valores ya ejecutados y el porcentaje acumulado de los valores por ejecutar</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00000000-0006-0000-0300-000001000000}">
      <text>
        <r>
          <rPr>
            <sz val="9"/>
            <color indexed="81"/>
            <rFont val="Tahoma"/>
            <family val="2"/>
          </rPr>
          <t>La información se alimenta de la hoja 
"PLAN DE EJECUCIÓN FÍSICA Y DE INVERSIONES"</t>
        </r>
      </text>
    </comment>
    <comment ref="A6" authorId="0" shapeId="0" xr:uid="{00000000-0006-0000-0300-000002000000}">
      <text>
        <r>
          <rPr>
            <sz val="9"/>
            <color indexed="81"/>
            <rFont val="Tahoma"/>
            <family val="2"/>
          </rPr>
          <t>La información se alimenta de la hoja 
"PLAN DE EJECUCIÓN FÍSICA Y DE INVERSIONES"</t>
        </r>
      </text>
    </comment>
    <comment ref="J8" authorId="0" shapeId="0" xr:uid="{00000000-0006-0000-0300-000003000000}">
      <text>
        <r>
          <rPr>
            <sz val="9"/>
            <color indexed="81"/>
            <rFont val="Tahoma"/>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1" shapeId="0" xr:uid="{00000000-0006-0000-0300-000004000000}">
      <text>
        <r>
          <rPr>
            <sz val="9"/>
            <color indexed="81"/>
            <rFont val="Tahoma"/>
            <family val="2"/>
          </rPr>
          <t xml:space="preserve">
Respecto al ítem</t>
        </r>
      </text>
    </comment>
    <comment ref="C9" authorId="1" shapeId="0" xr:uid="{00000000-0006-0000-0300-000005000000}">
      <text>
        <r>
          <rPr>
            <sz val="9"/>
            <color indexed="81"/>
            <rFont val="Tahoma"/>
            <family val="2"/>
          </rPr>
          <t xml:space="preserve">
(%) de dedicación respecto a la unidad de medida, justificar adecuamente en caso que sea inferior al 100% y no sea aporte en especie</t>
        </r>
      </text>
    </comment>
    <comment ref="E9" authorId="1" shapeId="0" xr:uid="{00000000-0006-0000-0300-000006000000}">
      <text>
        <r>
          <rPr>
            <sz val="9"/>
            <color indexed="81"/>
            <rFont val="Tahoma"/>
            <family val="2"/>
          </rPr>
          <t xml:space="preserve">
Respecto a la unidad de medida</t>
        </r>
      </text>
    </comment>
    <comment ref="G9" authorId="0" shapeId="0" xr:uid="{00000000-0006-0000-0300-000007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I9" authorId="0" shapeId="0" xr:uid="{00000000-0006-0000-0300-000008000000}">
      <text>
        <r>
          <rPr>
            <sz val="9"/>
            <color indexed="81"/>
            <rFont val="Tahoma"/>
            <family val="2"/>
          </rPr>
          <t xml:space="preserve">
(%) Porcentaje de participación respecto al SUBTOTAL PERSONAL</t>
        </r>
      </text>
    </comment>
    <comment ref="F83" authorId="0" shapeId="0" xr:uid="{00000000-0006-0000-0300-000009000000}">
      <text>
        <r>
          <rPr>
            <sz val="9"/>
            <color indexed="81"/>
            <rFont val="Tahoma"/>
            <family val="2"/>
          </rPr>
          <t xml:space="preserve">
Los valores unitarios se deben expresar en valores mayores de cero (0)</t>
        </r>
      </text>
    </comment>
    <comment ref="H83" authorId="0" shapeId="0" xr:uid="{00000000-0006-0000-0300-00000A000000}">
      <text>
        <r>
          <rPr>
            <sz val="9"/>
            <color indexed="81"/>
            <rFont val="Tahoma"/>
            <family val="2"/>
          </rPr>
          <t xml:space="preserve">
cantidad X valor unitario</t>
        </r>
      </text>
    </comment>
    <comment ref="I83" authorId="0" shapeId="0" xr:uid="{00000000-0006-0000-0300-00000B000000}">
      <text>
        <r>
          <rPr>
            <sz val="9"/>
            <color indexed="81"/>
            <rFont val="Tahoma"/>
            <family val="2"/>
          </rPr>
          <t xml:space="preserve">
(%) Porcentaje de participación respecto al SUBTOTAL COSTOS (diferentes a los costos del personal)</t>
        </r>
      </text>
    </comment>
    <comment ref="G130" authorId="0" shapeId="0" xr:uid="{00000000-0006-0000-0300-00000C000000}">
      <text>
        <r>
          <rPr>
            <sz val="9"/>
            <color indexed="81"/>
            <rFont val="Tahoma"/>
            <family val="2"/>
          </rPr>
          <t xml:space="preserve">
Diligenciar si aplica</t>
        </r>
      </text>
    </comment>
    <comment ref="G131" authorId="0" shapeId="0" xr:uid="{00000000-0006-0000-0300-00000D000000}">
      <text>
        <r>
          <rPr>
            <sz val="9"/>
            <color indexed="81"/>
            <rFont val="Tahoma"/>
            <family val="2"/>
          </rPr>
          <t xml:space="preserve">
Diligenciar si aplica</t>
        </r>
      </text>
    </comment>
    <comment ref="G132" authorId="0" shapeId="0" xr:uid="{00000000-0006-0000-0300-00000E000000}">
      <text>
        <r>
          <rPr>
            <sz val="9"/>
            <color indexed="81"/>
            <rFont val="Tahoma"/>
            <family val="2"/>
          </rPr>
          <t xml:space="preserve">
Diligenciar si aplica</t>
        </r>
      </text>
    </comment>
    <comment ref="H133" authorId="0" shapeId="0" xr:uid="{00000000-0006-0000-0300-00000F000000}">
      <text>
        <r>
          <rPr>
            <sz val="9"/>
            <color indexed="81"/>
            <rFont val="Tahoma"/>
            <family val="2"/>
          </rPr>
          <t xml:space="preserve">
Valor expresado en moneda legal colombiana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B5" authorId="0" shapeId="0" xr:uid="{00000000-0006-0000-0400-000001000000}">
      <text>
        <r>
          <rPr>
            <sz val="9"/>
            <color indexed="81"/>
            <rFont val="Tahoma"/>
            <family val="2"/>
          </rPr>
          <t>La información se alimenta de la hoja 
"PLAN DE EJECUCIÓN FÍSICA Y DE INVERSIONES - PRESTACIÓN DE SERVICIOS PERSONALES"</t>
        </r>
      </text>
    </comment>
    <comment ref="B6" authorId="0" shapeId="0" xr:uid="{00000000-0006-0000-0400-000002000000}">
      <text>
        <r>
          <rPr>
            <sz val="9"/>
            <color indexed="81"/>
            <rFont val="Tahoma"/>
            <family val="2"/>
          </rPr>
          <t>La información se alimenta de la hoja 
"PLAN DE EJECUCIÓN FÍSICA Y DE INVERSIONES - PRESTACIÓN DE SERVICIOS PERSONALES"</t>
        </r>
      </text>
    </comment>
    <comment ref="C8" authorId="1" shapeId="0" xr:uid="{00000000-0006-0000-0400-000003000000}">
      <text>
        <r>
          <rPr>
            <sz val="9"/>
            <color indexed="81"/>
            <rFont val="Tahoma"/>
            <family val="2"/>
          </rPr>
          <t xml:space="preserve">
Respecto a la unidad de medida</t>
        </r>
      </text>
    </comment>
    <comment ref="E8" authorId="0" shapeId="0" xr:uid="{00000000-0006-0000-0400-000004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11" authorId="0" shapeId="0" xr:uid="{00000000-0006-0000-0400-000005000000}">
      <text>
        <r>
          <rPr>
            <sz val="9"/>
            <color indexed="81"/>
            <rFont val="Tahoma"/>
            <family val="2"/>
          </rPr>
          <t xml:space="preserve">
Valor expresado en moneda legal colombiana</t>
        </r>
      </text>
    </comment>
    <comment ref="A12" authorId="0" shapeId="0" xr:uid="{00000000-0006-0000-0400-000006000000}">
      <text>
        <r>
          <rPr>
            <sz val="9"/>
            <color indexed="81"/>
            <rFont val="Tahoma"/>
            <family val="2"/>
          </rPr>
          <t xml:space="preserve">Solo aplica en caso que la persona natural sea responsable de IVA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Usuario</author>
  </authors>
  <commentList>
    <comment ref="A5" authorId="0" shapeId="0" xr:uid="{00000000-0006-0000-0500-000001000000}">
      <text>
        <r>
          <rPr>
            <sz val="9"/>
            <color indexed="81"/>
            <rFont val="Tahoma"/>
            <family val="2"/>
          </rPr>
          <t>La información se alimenta de la hoja 
"PLAN DE EJECUCIÓN FÍSICA Y DE INVERSIONES"</t>
        </r>
      </text>
    </comment>
    <comment ref="C5" authorId="0" shapeId="0" xr:uid="{00000000-0006-0000-0500-000002000000}">
      <text>
        <r>
          <rPr>
            <u/>
            <sz val="9"/>
            <color indexed="81"/>
            <rFont val="Tahoma"/>
            <family val="2"/>
          </rPr>
          <t>Convenios solidarios</t>
        </r>
        <r>
          <rPr>
            <sz val="9"/>
            <color indexed="81"/>
            <rFont val="Tahoma"/>
            <family val="2"/>
          </rPr>
          <t xml:space="preserve">: Los suscritos con JAC, Asocomunales y/o grupos étnicos.
</t>
        </r>
        <r>
          <rPr>
            <u/>
            <sz val="9"/>
            <color indexed="81"/>
            <rFont val="Tahoma"/>
            <family val="2"/>
          </rPr>
          <t>Convenios interadministrativos</t>
        </r>
        <r>
          <rPr>
            <sz val="9"/>
            <color indexed="81"/>
            <rFont val="Tahoma"/>
            <family val="2"/>
          </rPr>
          <t xml:space="preserve">: Los suscritos con otras entidades públicas.
</t>
        </r>
        <r>
          <rPr>
            <u/>
            <sz val="9"/>
            <color indexed="81"/>
            <rFont val="Tahoma"/>
            <family val="2"/>
          </rPr>
          <t>Convenios de asociación o administrativos</t>
        </r>
        <r>
          <rPr>
            <sz val="9"/>
            <color indexed="81"/>
            <rFont val="Tahoma"/>
            <family val="2"/>
          </rPr>
          <t xml:space="preserve">: Los suscritos con ESAL (Entidades Sin Ánimo de Lucro).
</t>
        </r>
      </text>
    </comment>
    <comment ref="A6" authorId="0" shapeId="0" xr:uid="{00000000-0006-0000-0500-000003000000}">
      <text>
        <r>
          <rPr>
            <sz val="9"/>
            <color indexed="81"/>
            <rFont val="Tahoma"/>
            <family val="2"/>
          </rPr>
          <t xml:space="preserve">La información se alimenta de la hoja 
"PLAN DE EJECUCIÓN FÍSICA Y DE INVERSIONES"
</t>
        </r>
      </text>
    </comment>
    <comment ref="O8" authorId="0" shapeId="0" xr:uid="{00000000-0006-0000-0500-000004000000}">
      <text>
        <r>
          <rPr>
            <sz val="9"/>
            <color indexed="81"/>
            <rFont val="Tahoma"/>
            <family val="2"/>
          </rPr>
          <t>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t>
        </r>
      </text>
    </comment>
    <comment ref="B9" authorId="0" shapeId="0" xr:uid="{00000000-0006-0000-0500-000005000000}">
      <text>
        <r>
          <rPr>
            <sz val="9"/>
            <color indexed="81"/>
            <rFont val="Tahoma"/>
            <family val="2"/>
          </rPr>
          <t xml:space="preserve">
Respecto al ítem</t>
        </r>
      </text>
    </comment>
    <comment ref="C9" authorId="1" shapeId="0" xr:uid="{00000000-0006-0000-0500-000006000000}">
      <text>
        <r>
          <rPr>
            <sz val="9"/>
            <color indexed="81"/>
            <rFont val="Tahoma"/>
            <family val="2"/>
          </rPr>
          <t xml:space="preserve">
(%) de dedicación respecto a la unidad de medida, justificar adecuamente en caso que sea inferior al 100% y no sea aporte en especie</t>
        </r>
      </text>
    </comment>
    <comment ref="E9" authorId="0" shapeId="0" xr:uid="{00000000-0006-0000-0500-000007000000}">
      <text>
        <r>
          <rPr>
            <sz val="9"/>
            <color indexed="81"/>
            <rFont val="Tahoma"/>
            <family val="2"/>
          </rPr>
          <t xml:space="preserve">
Respecto a la unidad de medida</t>
        </r>
      </text>
    </comment>
    <comment ref="G9" authorId="0" shapeId="0" xr:uid="{00000000-0006-0000-0500-000008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I9" authorId="0" shapeId="0" xr:uid="{00000000-0006-0000-0500-000009000000}">
      <text>
        <r>
          <rPr>
            <sz val="9"/>
            <color indexed="81"/>
            <rFont val="Tahoma"/>
            <family val="2"/>
          </rPr>
          <t xml:space="preserve">
(%) Porcentaje de participación respecto al SUBTOTAL PERSONAL</t>
        </r>
      </text>
    </comment>
    <comment ref="L9" authorId="0" shapeId="0" xr:uid="{00000000-0006-0000-0500-00000A000000}">
      <text>
        <r>
          <rPr>
            <sz val="9"/>
            <color indexed="81"/>
            <rFont val="Tahoma"/>
            <family val="2"/>
          </rPr>
          <t xml:space="preserve">
Diligenciar el nombre del conveniante.
Incluir columnas a la derecha, en caso de requerirlo.</t>
        </r>
      </text>
    </comment>
    <comment ref="F103" authorId="0" shapeId="0" xr:uid="{00000000-0006-0000-0500-00000B000000}">
      <text>
        <r>
          <rPr>
            <sz val="9"/>
            <color indexed="81"/>
            <rFont val="Tahoma"/>
            <family val="2"/>
          </rPr>
          <t xml:space="preserve">
Los valores unitarios se deben expresar en valores mayores de cero (0)</t>
        </r>
      </text>
    </comment>
    <comment ref="H103" authorId="0" shapeId="0" xr:uid="{00000000-0006-0000-0500-00000C000000}">
      <text>
        <r>
          <rPr>
            <sz val="9"/>
            <color indexed="81"/>
            <rFont val="Tahoma"/>
            <family val="2"/>
          </rPr>
          <t xml:space="preserve">
cantidad X valor unitario</t>
        </r>
      </text>
    </comment>
    <comment ref="I103" authorId="0" shapeId="0" xr:uid="{00000000-0006-0000-0500-00000D000000}">
      <text>
        <r>
          <rPr>
            <sz val="9"/>
            <color indexed="81"/>
            <rFont val="Tahoma"/>
            <family val="2"/>
          </rPr>
          <t xml:space="preserve">
(%) Porcentaje de participación respecto al SUBTOTAL COSTOS (diferentes a los costos del personal)</t>
        </r>
      </text>
    </comment>
    <comment ref="L103" authorId="0" shapeId="0" xr:uid="{00000000-0006-0000-0500-00000E000000}">
      <text>
        <r>
          <rPr>
            <sz val="9"/>
            <color indexed="81"/>
            <rFont val="Tahoma"/>
            <family val="2"/>
          </rPr>
          <t xml:space="preserve">
Diligenciar el nombre del conveniante.
Incluir columnas a la derecha, en caso de requerirlo.</t>
        </r>
      </text>
    </comment>
    <comment ref="L153" authorId="0" shapeId="0" xr:uid="{00000000-0006-0000-0500-00000F000000}">
      <text>
        <r>
          <rPr>
            <sz val="9"/>
            <color indexed="81"/>
            <rFont val="Tahoma"/>
            <family val="2"/>
          </rPr>
          <t xml:space="preserve">
Diligenciar el nombre del conveniante.
Incluir columnas a la derecha, en caso de requerirlo.</t>
        </r>
      </text>
    </comment>
    <comment ref="A156" authorId="0" shapeId="0" xr:uid="{00000000-0006-0000-0500-000010000000}">
      <text>
        <r>
          <rPr>
            <sz val="9"/>
            <color indexed="81"/>
            <rFont val="Tahoma"/>
            <family val="2"/>
          </rPr>
          <t xml:space="preserve">
De quien no ejecuta. 
Se recomienda realizar el análisis respectivo en caso que el conveniante - ejecutor contemple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Teniendo en cuenta que nuestra competencia se circunscribe al convenio a celebrar, y la forma de ejecuión del mismo por parte del conveniante ejecutor, sea directamente o por intermedio de un tercero, es discrecional a él. </t>
        </r>
      </text>
    </comment>
    <comment ref="A157" authorId="0" shapeId="0" xr:uid="{00000000-0006-0000-0500-000011000000}">
      <text>
        <r>
          <rPr>
            <b/>
            <sz val="9"/>
            <color indexed="81"/>
            <rFont val="Tahoma"/>
            <family val="2"/>
          </rPr>
          <t xml:space="preserve">
</t>
        </r>
        <r>
          <rPr>
            <sz val="9"/>
            <color indexed="81"/>
            <rFont val="Tahoma"/>
            <family val="2"/>
          </rPr>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r>
      </text>
    </comment>
    <comment ref="G157" authorId="0" shapeId="0" xr:uid="{00000000-0006-0000-0500-000012000000}">
      <text>
        <r>
          <rPr>
            <sz val="9"/>
            <color indexed="81"/>
            <rFont val="Tahoma"/>
            <family val="2"/>
          </rPr>
          <t xml:space="preserve">
Diligenciar el porcentaje si aplica
Porcentaje que viene del análisis realizado en la hoja gastos de administración</t>
        </r>
      </text>
    </comment>
    <comment ref="H157" authorId="0" shapeId="0" xr:uid="{00000000-0006-0000-0500-000013000000}">
      <text>
        <r>
          <rPr>
            <sz val="9"/>
            <color indexed="81"/>
            <rFont val="Tahoma"/>
            <family val="2"/>
          </rPr>
          <t xml:space="preserve">
Porcentaje sobre los aportes en dinero, de quien no ejecuta</t>
        </r>
      </text>
    </comment>
    <comment ref="H158" authorId="0" shapeId="0" xr:uid="{00000000-0006-0000-0500-000014000000}">
      <text>
        <r>
          <rPr>
            <sz val="9"/>
            <color indexed="81"/>
            <rFont val="Tahoma"/>
            <family val="2"/>
          </rPr>
          <t xml:space="preserve">
Valor expresado en moneda legal colombiana</t>
        </r>
      </text>
    </comment>
    <comment ref="E162" authorId="2" shapeId="0" xr:uid="{00000000-0006-0000-0500-000015000000}">
      <text>
        <r>
          <rPr>
            <sz val="9"/>
            <color indexed="81"/>
            <rFont val="Tahoma"/>
            <family val="2"/>
          </rPr>
          <t xml:space="preserve">
(%) Porcentaje de participación respecto al SUBTOTAL </t>
        </r>
      </text>
    </comment>
    <comment ref="F162" authorId="0" shapeId="0" xr:uid="{00000000-0006-0000-0500-000016000000}">
      <text>
        <r>
          <rPr>
            <sz val="9"/>
            <color indexed="81"/>
            <rFont val="Tahoma"/>
            <family val="2"/>
          </rPr>
          <t xml:space="preserve">
(%) Porcentaje de participación respecto al TOTAL </t>
        </r>
      </text>
    </comment>
    <comment ref="A171" authorId="0" shapeId="0" xr:uid="{00000000-0006-0000-0500-000017000000}">
      <text>
        <r>
          <rPr>
            <sz val="9"/>
            <color indexed="81"/>
            <rFont val="Tahoma"/>
            <family val="2"/>
          </rPr>
          <t xml:space="preserve">Realizar el análisis teniendo en cuenta la clasificación más detallada que le aplique. Es decir, si se presupuesto a nivel de subactividades, aquí se relaciona la información a nivel de subactividades, sin otro tipo de agrupación, lo mismo aplica si se presupuesto a nivel de actividades o alcances; este es un insumo primordial para la programación física y financiera del proceso, ya que el porcentaje de peso físico debe concordar con el financiero.
</t>
        </r>
      </text>
    </comment>
    <comment ref="F172" authorId="0" shapeId="0" xr:uid="{00000000-0006-0000-0500-000018000000}">
      <text>
        <r>
          <rPr>
            <sz val="9"/>
            <color indexed="81"/>
            <rFont val="Tahoma"/>
            <family val="2"/>
          </rPr>
          <t xml:space="preserve">
(%) Porcentaje de participación respecto al TOTAL (incluido AU e IVA)</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5" authorId="0" shapeId="0" xr:uid="{00000000-0006-0000-0600-000001000000}">
      <text>
        <r>
          <rPr>
            <sz val="9"/>
            <color indexed="81"/>
            <rFont val="Tahoma"/>
            <family val="2"/>
          </rPr>
          <t>La información se alimenta de la hoja 
"PLAN DE EJECUCIÓN FÍSICA Y DE INVERSIONES"</t>
        </r>
      </text>
    </comment>
    <comment ref="A6" authorId="0" shapeId="0" xr:uid="{00000000-0006-0000-0600-000002000000}">
      <text>
        <r>
          <rPr>
            <sz val="9"/>
            <color indexed="81"/>
            <rFont val="Tahoma"/>
            <family val="2"/>
          </rPr>
          <t>La información se alimenta de la hoja 
"PLAN DE EJECUCIÓN FÍSICA Y DE INVERSIONES"</t>
        </r>
      </text>
    </comment>
    <comment ref="D12" authorId="0" shapeId="0" xr:uid="{00000000-0006-0000-0600-000003000000}">
      <text>
        <r>
          <rPr>
            <sz val="9"/>
            <color indexed="81"/>
            <rFont val="Tahoma"/>
            <family val="2"/>
          </rPr>
          <t xml:space="preserve">
Normalmente este valor se deriva del estudio de mercado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00000000-0006-0000-0700-000001000000}">
      <text>
        <r>
          <rPr>
            <sz val="9"/>
            <color indexed="81"/>
            <rFont val="Tahoma"/>
            <family val="2"/>
          </rPr>
          <t>La información se alimenta de la hoja 
"PLAN DE EJECUCIÓN FÍSICA Y DE INVERSIONES"</t>
        </r>
      </text>
    </comment>
    <comment ref="A6" authorId="0" shapeId="0" xr:uid="{00000000-0006-0000-0700-000002000000}">
      <text>
        <r>
          <rPr>
            <sz val="9"/>
            <color indexed="81"/>
            <rFont val="Tahoma"/>
            <family val="2"/>
          </rPr>
          <t>La información se alimenta de la hoja 
"PLAN DE EJECUCIÓN FÍSICA Y DE INVERSIONES"</t>
        </r>
      </text>
    </comment>
    <comment ref="I12" authorId="0" shapeId="0" xr:uid="{00000000-0006-0000-0700-000003000000}">
      <text>
        <r>
          <rPr>
            <sz val="9"/>
            <color indexed="81"/>
            <rFont val="Tahoma"/>
            <family val="2"/>
          </rPr>
          <t xml:space="preserve">
Diligenciar solo si se trata de un convenio</t>
        </r>
      </text>
    </comment>
    <comment ref="K13" authorId="0" shapeId="0" xr:uid="{00000000-0006-0000-0700-000004000000}">
      <text>
        <r>
          <rPr>
            <sz val="9"/>
            <color indexed="81"/>
            <rFont val="Tahoma"/>
            <family val="2"/>
          </rPr>
          <t xml:space="preserve">
Diligenciar el nombre del conveniante.
Incluir columnas a la derecha, en caso de requerirlo.</t>
        </r>
      </text>
    </comment>
    <comment ref="B14" authorId="1" shapeId="0" xr:uid="{00000000-0006-0000-0700-000005000000}">
      <text>
        <r>
          <rPr>
            <sz val="9"/>
            <color indexed="81"/>
            <rFont val="Tahoma"/>
            <family val="2"/>
          </rPr>
          <t xml:space="preserve">
Respecto al ítem</t>
        </r>
      </text>
    </comment>
    <comment ref="C14" authorId="1" shapeId="0" xr:uid="{00000000-0006-0000-0700-000006000000}">
      <text>
        <r>
          <rPr>
            <sz val="9"/>
            <color indexed="81"/>
            <rFont val="Tahoma"/>
            <family val="2"/>
          </rPr>
          <t xml:space="preserve">
(%) de dedicación respecto a la unidad de medida, justificar adecuamente en caso que sea inferior al 100% y no sea aporte en especie</t>
        </r>
      </text>
    </comment>
    <comment ref="E14" authorId="1" shapeId="0" xr:uid="{00000000-0006-0000-0700-000007000000}">
      <text>
        <r>
          <rPr>
            <sz val="9"/>
            <color indexed="81"/>
            <rFont val="Tahoma"/>
            <family val="2"/>
          </rPr>
          <t xml:space="preserve">
Respecto a la unidad de medida</t>
        </r>
      </text>
    </comment>
    <comment ref="G14" authorId="0" shapeId="0" xr:uid="{00000000-0006-0000-0700-000008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42" authorId="0" shapeId="0" xr:uid="{00000000-0006-0000-0700-000009000000}">
      <text>
        <r>
          <rPr>
            <sz val="9"/>
            <color indexed="81"/>
            <rFont val="Tahoma"/>
            <family val="2"/>
          </rPr>
          <t xml:space="preserve">
Normalmente este valor se deriva del estudio de mercado</t>
        </r>
      </text>
    </comment>
    <comment ref="A237" authorId="0" shapeId="0" xr:uid="{00000000-0006-0000-0700-00000A000000}">
      <text>
        <r>
          <rPr>
            <sz val="9"/>
            <color indexed="81"/>
            <rFont val="Tahoma"/>
            <family val="2"/>
          </rPr>
          <t xml:space="preserve">
Sobre los aportes en dinero de quien no ejecuta</t>
        </r>
      </text>
    </comment>
    <comment ref="G237" authorId="0" shapeId="0" xr:uid="{00000000-0006-0000-0700-00000B000000}">
      <text>
        <r>
          <rPr>
            <sz val="9"/>
            <color indexed="81"/>
            <rFont val="Tahoma"/>
            <family val="2"/>
          </rPr>
          <t xml:space="preserve">
Diligenciar el porcentaje si aplica</t>
        </r>
      </text>
    </comment>
    <comment ref="A238" authorId="0" shapeId="0" xr:uid="{00000000-0006-0000-0700-00000C000000}">
      <text>
        <r>
          <rPr>
            <sz val="9"/>
            <color indexed="81"/>
            <rFont val="Tahoma"/>
            <family val="2"/>
          </rPr>
          <t xml:space="preserve">
Sobre los aportes en dinero de quien no ejecuta</t>
        </r>
      </text>
    </comment>
    <comment ref="G238" authorId="0" shapeId="0" xr:uid="{00000000-0006-0000-0700-00000D000000}">
      <text>
        <r>
          <rPr>
            <sz val="9"/>
            <color indexed="81"/>
            <rFont val="Tahoma"/>
            <family val="2"/>
          </rPr>
          <t xml:space="preserve">
Diligenciar el porcentaje si aplica</t>
        </r>
      </text>
    </comment>
    <comment ref="A239" authorId="0" shapeId="0" xr:uid="{00000000-0006-0000-0700-00000E000000}">
      <text>
        <r>
          <rPr>
            <sz val="9"/>
            <color indexed="81"/>
            <rFont val="Tahoma"/>
            <family val="2"/>
          </rPr>
          <t xml:space="preserve">
La base gravable del </t>
        </r>
        <r>
          <rPr>
            <b/>
            <u/>
            <sz val="9"/>
            <color indexed="81"/>
            <rFont val="Tahoma"/>
            <family val="2"/>
          </rPr>
          <t>IVA</t>
        </r>
        <r>
          <rPr>
            <sz val="9"/>
            <color indexed="81"/>
            <rFont val="Tahoma"/>
            <family val="2"/>
          </rPr>
          <t xml:space="preserve"> en los contratos de obra si son de</t>
        </r>
        <r>
          <rPr>
            <u/>
            <sz val="9"/>
            <color indexed="81"/>
            <rFont val="Tahoma"/>
            <family val="2"/>
          </rPr>
          <t xml:space="preserve"> </t>
        </r>
        <r>
          <rPr>
            <b/>
            <u/>
            <sz val="9"/>
            <color indexed="81"/>
            <rFont val="Tahoma"/>
            <family val="2"/>
          </rPr>
          <t>construcción</t>
        </r>
        <r>
          <rPr>
            <sz val="9"/>
            <color indexed="81"/>
            <rFont val="Tahoma"/>
            <family val="2"/>
          </rPr>
          <t xml:space="preserve"> son los </t>
        </r>
        <r>
          <rPr>
            <b/>
            <u/>
            <sz val="9"/>
            <color indexed="81"/>
            <rFont val="Tahoma"/>
            <family val="2"/>
          </rPr>
          <t>honorarios</t>
        </r>
        <r>
          <rPr>
            <sz val="9"/>
            <color indexed="81"/>
            <rFont val="Tahoma"/>
            <family val="2"/>
          </rPr>
          <t xml:space="preserve">, o en su defecto la </t>
        </r>
        <r>
          <rPr>
            <b/>
            <u/>
            <sz val="9"/>
            <color indexed="81"/>
            <rFont val="Tahoma"/>
            <family val="2"/>
          </rPr>
          <t>utilidad</t>
        </r>
        <r>
          <rPr>
            <sz val="9"/>
            <color indexed="81"/>
            <rFont val="Tahoma"/>
            <family val="2"/>
          </rPr>
          <t xml:space="preserve"> del contratista (artículo 1.3.1.7.9 del decreto 1625 de 2016)
La base gravable del </t>
        </r>
        <r>
          <rPr>
            <b/>
            <u/>
            <sz val="9"/>
            <color indexed="81"/>
            <rFont val="Tahoma"/>
            <family val="2"/>
          </rPr>
          <t>IVA</t>
        </r>
        <r>
          <rPr>
            <sz val="9"/>
            <color indexed="81"/>
            <rFont val="Tahoma"/>
            <family val="2"/>
          </rPr>
          <t xml:space="preserve"> en los contratos de obra si son de </t>
        </r>
        <r>
          <rPr>
            <b/>
            <u/>
            <sz val="9"/>
            <color indexed="81"/>
            <rFont val="Tahoma"/>
            <family val="2"/>
          </rPr>
          <t>mantenimiento</t>
        </r>
        <r>
          <rPr>
            <sz val="9"/>
            <color indexed="81"/>
            <rFont val="Tahoma"/>
            <family val="2"/>
          </rPr>
          <t xml:space="preserve"> son sobre el </t>
        </r>
        <r>
          <rPr>
            <b/>
            <u/>
            <sz val="9"/>
            <color indexed="81"/>
            <rFont val="Tahoma"/>
            <family val="2"/>
          </rPr>
          <t>total de la operación</t>
        </r>
        <r>
          <rPr>
            <sz val="9"/>
            <color indexed="81"/>
            <rFont val="Tahoma"/>
            <family val="2"/>
          </rPr>
          <t xml:space="preserve">
Los </t>
        </r>
        <r>
          <rPr>
            <b/>
            <u/>
            <sz val="9"/>
            <color indexed="81"/>
            <rFont val="Tahoma"/>
            <family val="2"/>
          </rPr>
          <t>contratos de Obras Públicas</t>
        </r>
        <r>
          <rPr>
            <sz val="9"/>
            <color indexed="81"/>
            <rFont val="Tahoma"/>
            <family val="2"/>
          </rPr>
          <t xml:space="preserve"> que celebren las personas naturales o jurídicas con las </t>
        </r>
        <r>
          <rPr>
            <b/>
            <u/>
            <sz val="9"/>
            <color indexed="81"/>
            <rFont val="Tahoma"/>
            <family val="2"/>
          </rPr>
          <t>Entidades Territoriales y/o Entidades Descentralizadas del Orden Departamental y Municipal estarán excluidos del IVA</t>
        </r>
        <r>
          <rPr>
            <sz val="9"/>
            <color indexed="81"/>
            <rFont val="Tahoma"/>
            <family val="2"/>
          </rPr>
          <t xml:space="preserve"> (artículo 100 de la ley 21 de 1992)</t>
        </r>
      </text>
    </comment>
    <comment ref="G239" authorId="0" shapeId="0" xr:uid="{00000000-0006-0000-0700-00000F000000}">
      <text>
        <r>
          <rPr>
            <sz val="9"/>
            <color indexed="81"/>
            <rFont val="Tahoma"/>
            <family val="2"/>
          </rPr>
          <t xml:space="preserve">
Diligenciar el porcentaje si aplica</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5" authorId="0" shapeId="0" xr:uid="{00000000-0006-0000-0800-000001000000}">
      <text>
        <r>
          <rPr>
            <sz val="9"/>
            <color indexed="81"/>
            <rFont val="Tahoma"/>
            <family val="2"/>
          </rPr>
          <t>La información se alimenta de la hoja 
"PLAN DE EJECUCIÓN FÍSICA Y DE INVERSIONES"</t>
        </r>
      </text>
    </comment>
    <comment ref="A6" authorId="0" shapeId="0" xr:uid="{00000000-0006-0000-0800-000002000000}">
      <text>
        <r>
          <rPr>
            <sz val="9"/>
            <color indexed="81"/>
            <rFont val="Tahoma"/>
            <family val="2"/>
          </rPr>
          <t>La información se alimenta de la hoja 
"PLAN DE EJECUCIÓN FÍSICA Y DE INVERSIONES"</t>
        </r>
      </text>
    </comment>
    <comment ref="I12" authorId="0" shapeId="0" xr:uid="{00000000-0006-0000-0800-000003000000}">
      <text>
        <r>
          <rPr>
            <sz val="9"/>
            <color indexed="81"/>
            <rFont val="Tahoma"/>
            <family val="2"/>
          </rPr>
          <t xml:space="preserve">
Diligenciar solo si se trata de un convenio</t>
        </r>
      </text>
    </comment>
    <comment ref="K13" authorId="0" shapeId="0" xr:uid="{00000000-0006-0000-0800-000004000000}">
      <text>
        <r>
          <rPr>
            <sz val="9"/>
            <color indexed="81"/>
            <rFont val="Tahoma"/>
            <family val="2"/>
          </rPr>
          <t xml:space="preserve">
Diligenciar el nombre del conveniante.
Incluir columnas a la derecha, en caso de requerirlo.</t>
        </r>
      </text>
    </comment>
    <comment ref="B15" authorId="1" shapeId="0" xr:uid="{00000000-0006-0000-0800-000005000000}">
      <text>
        <r>
          <rPr>
            <sz val="9"/>
            <color indexed="81"/>
            <rFont val="Tahoma"/>
            <family val="2"/>
          </rPr>
          <t xml:space="preserve">
Respecto al ítem</t>
        </r>
      </text>
    </comment>
    <comment ref="C15" authorId="1" shapeId="0" xr:uid="{00000000-0006-0000-0800-000006000000}">
      <text>
        <r>
          <rPr>
            <sz val="9"/>
            <color indexed="81"/>
            <rFont val="Tahoma"/>
            <family val="2"/>
          </rPr>
          <t xml:space="preserve">
(%) de dedicación respecto a la unidad de medida, justificar adecuamente en caso que sea inferior al 100% y no sea aporte en especie</t>
        </r>
      </text>
    </comment>
    <comment ref="E15" authorId="1" shapeId="0" xr:uid="{00000000-0006-0000-0800-000007000000}">
      <text>
        <r>
          <rPr>
            <sz val="9"/>
            <color indexed="81"/>
            <rFont val="Tahoma"/>
            <family val="2"/>
          </rPr>
          <t xml:space="preserve">
Respecto a la unidad de medida</t>
        </r>
      </text>
    </comment>
    <comment ref="G15" authorId="0" shapeId="0" xr:uid="{00000000-0006-0000-0800-000008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29" authorId="0" shapeId="0" xr:uid="{00000000-0006-0000-0800-000009000000}">
      <text>
        <r>
          <rPr>
            <sz val="9"/>
            <color indexed="81"/>
            <rFont val="Tahoma"/>
            <family val="2"/>
          </rPr>
          <t xml:space="preserve">
Normalmente este valor se deriva del estudio de mercado</t>
        </r>
      </text>
    </comment>
    <comment ref="A48" authorId="0" shapeId="0" xr:uid="{00000000-0006-0000-0800-00000A000000}">
      <text>
        <r>
          <rPr>
            <sz val="9"/>
            <color indexed="81"/>
            <rFont val="Tahoma"/>
            <family val="2"/>
          </rPr>
          <t xml:space="preserve">
Sobre los aportes en dinero de quien no ejecuta</t>
        </r>
      </text>
    </comment>
    <comment ref="G48" authorId="0" shapeId="0" xr:uid="{00000000-0006-0000-0800-00000B000000}">
      <text>
        <r>
          <rPr>
            <sz val="9"/>
            <color indexed="81"/>
            <rFont val="Tahoma"/>
            <family val="2"/>
          </rPr>
          <t xml:space="preserve">
Diligenciar el porcentaje si aplica</t>
        </r>
      </text>
    </comment>
    <comment ref="A49" authorId="0" shapeId="0" xr:uid="{00000000-0006-0000-0800-00000C000000}">
      <text>
        <r>
          <rPr>
            <sz val="9"/>
            <color indexed="81"/>
            <rFont val="Tahoma"/>
            <family val="2"/>
          </rPr>
          <t xml:space="preserve">
Sobre los aportes en dinero de quien no ejecuta</t>
        </r>
      </text>
    </comment>
    <comment ref="G49" authorId="0" shapeId="0" xr:uid="{00000000-0006-0000-0800-00000D000000}">
      <text>
        <r>
          <rPr>
            <sz val="9"/>
            <color indexed="81"/>
            <rFont val="Tahoma"/>
            <family val="2"/>
          </rPr>
          <t xml:space="preserve">
Diligenciar el porcentaje si aplica</t>
        </r>
      </text>
    </comment>
    <comment ref="G50" authorId="0" shapeId="0" xr:uid="{00000000-0006-0000-0800-00000E000000}">
      <text>
        <r>
          <rPr>
            <sz val="9"/>
            <color indexed="81"/>
            <rFont val="Tahoma"/>
            <family val="2"/>
          </rPr>
          <t xml:space="preserve">
Diligenciar el porcentaje si aplica</t>
        </r>
      </text>
    </comment>
    <comment ref="B57" authorId="1" shapeId="0" xr:uid="{00000000-0006-0000-0800-00000F000000}">
      <text>
        <r>
          <rPr>
            <sz val="9"/>
            <color indexed="81"/>
            <rFont val="Tahoma"/>
            <family val="2"/>
          </rPr>
          <t xml:space="preserve">
Respecto al ítem</t>
        </r>
      </text>
    </comment>
    <comment ref="C57" authorId="1" shapeId="0" xr:uid="{00000000-0006-0000-0800-000010000000}">
      <text>
        <r>
          <rPr>
            <sz val="9"/>
            <color indexed="81"/>
            <rFont val="Tahoma"/>
            <family val="2"/>
          </rPr>
          <t xml:space="preserve">
(%) de dedicación respecto a la unidad de medida, justificar adecuamente en caso que sea inferior al 100% y no sea aporte en especie</t>
        </r>
      </text>
    </comment>
    <comment ref="E57" authorId="1" shapeId="0" xr:uid="{00000000-0006-0000-0800-000011000000}">
      <text>
        <r>
          <rPr>
            <sz val="9"/>
            <color indexed="81"/>
            <rFont val="Tahoma"/>
            <family val="2"/>
          </rPr>
          <t xml:space="preserve">
Respecto a la unidad de medida</t>
        </r>
      </text>
    </comment>
    <comment ref="G57" authorId="0" shapeId="0" xr:uid="{00000000-0006-0000-0800-000012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71" authorId="0" shapeId="0" xr:uid="{00000000-0006-0000-0800-000013000000}">
      <text>
        <r>
          <rPr>
            <sz val="9"/>
            <color indexed="81"/>
            <rFont val="Tahoma"/>
            <family val="2"/>
          </rPr>
          <t xml:space="preserve">
Normalmente este valor se deriva del estudio de mercado</t>
        </r>
      </text>
    </comment>
    <comment ref="A90" authorId="0" shapeId="0" xr:uid="{00000000-0006-0000-0800-000014000000}">
      <text>
        <r>
          <rPr>
            <sz val="9"/>
            <color indexed="81"/>
            <rFont val="Tahoma"/>
            <family val="2"/>
          </rPr>
          <t xml:space="preserve">
Sobre los aportes en dinero de quien no ejecuta</t>
        </r>
      </text>
    </comment>
    <comment ref="G90" authorId="0" shapeId="0" xr:uid="{00000000-0006-0000-0800-000015000000}">
      <text>
        <r>
          <rPr>
            <sz val="9"/>
            <color indexed="81"/>
            <rFont val="Tahoma"/>
            <family val="2"/>
          </rPr>
          <t xml:space="preserve">
Diligenciar el porcentaje si aplica</t>
        </r>
      </text>
    </comment>
    <comment ref="A91" authorId="0" shapeId="0" xr:uid="{00000000-0006-0000-0800-000016000000}">
      <text>
        <r>
          <rPr>
            <sz val="9"/>
            <color indexed="81"/>
            <rFont val="Tahoma"/>
            <family val="2"/>
          </rPr>
          <t xml:space="preserve">
Sobre los aportes en dinero de quien no ejecuta</t>
        </r>
      </text>
    </comment>
    <comment ref="G91" authorId="0" shapeId="0" xr:uid="{00000000-0006-0000-0800-000017000000}">
      <text>
        <r>
          <rPr>
            <sz val="9"/>
            <color indexed="81"/>
            <rFont val="Tahoma"/>
            <family val="2"/>
          </rPr>
          <t xml:space="preserve">
Diligenciar el porcentaje si aplica</t>
        </r>
      </text>
    </comment>
    <comment ref="G92" authorId="0" shapeId="0" xr:uid="{00000000-0006-0000-0800-000018000000}">
      <text>
        <r>
          <rPr>
            <sz val="9"/>
            <color indexed="81"/>
            <rFont val="Tahoma"/>
            <family val="2"/>
          </rPr>
          <t xml:space="preserve">
Diligenciar el porcentaje si aplica</t>
        </r>
      </text>
    </comment>
    <comment ref="B99" authorId="1" shapeId="0" xr:uid="{00000000-0006-0000-0800-000019000000}">
      <text>
        <r>
          <rPr>
            <sz val="9"/>
            <color indexed="81"/>
            <rFont val="Tahoma"/>
            <family val="2"/>
          </rPr>
          <t xml:space="preserve">
Respecto al ítem</t>
        </r>
      </text>
    </comment>
    <comment ref="C99" authorId="1" shapeId="0" xr:uid="{00000000-0006-0000-0800-00001A000000}">
      <text>
        <r>
          <rPr>
            <sz val="9"/>
            <color indexed="81"/>
            <rFont val="Tahoma"/>
            <family val="2"/>
          </rPr>
          <t xml:space="preserve">
(%) de dedicación respecto a la unidad de medida, justificar adecuamente en caso que sea inferior al 100% y no sea aporte en especie</t>
        </r>
      </text>
    </comment>
    <comment ref="E99" authorId="1" shapeId="0" xr:uid="{00000000-0006-0000-0800-00001B000000}">
      <text>
        <r>
          <rPr>
            <sz val="9"/>
            <color indexed="81"/>
            <rFont val="Tahoma"/>
            <family val="2"/>
          </rPr>
          <t xml:space="preserve">
Respecto a la unidad de medida</t>
        </r>
      </text>
    </comment>
    <comment ref="G99" authorId="0" shapeId="0" xr:uid="{00000000-0006-0000-0800-00001C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113" authorId="0" shapeId="0" xr:uid="{00000000-0006-0000-0800-00001D000000}">
      <text>
        <r>
          <rPr>
            <sz val="9"/>
            <color indexed="81"/>
            <rFont val="Tahoma"/>
            <family val="2"/>
          </rPr>
          <t xml:space="preserve">
Normalmente este valor se deriva del estudio de mercado</t>
        </r>
      </text>
    </comment>
    <comment ref="A132" authorId="0" shapeId="0" xr:uid="{00000000-0006-0000-0800-00001E000000}">
      <text>
        <r>
          <rPr>
            <sz val="9"/>
            <color indexed="81"/>
            <rFont val="Tahoma"/>
            <family val="2"/>
          </rPr>
          <t xml:space="preserve">
Sobre los aportes en dinero de quien no ejecuta</t>
        </r>
      </text>
    </comment>
    <comment ref="G132" authorId="0" shapeId="0" xr:uid="{00000000-0006-0000-0800-00001F000000}">
      <text>
        <r>
          <rPr>
            <sz val="9"/>
            <color indexed="81"/>
            <rFont val="Tahoma"/>
            <family val="2"/>
          </rPr>
          <t xml:space="preserve">
Diligenciar el porcentaje si aplica</t>
        </r>
      </text>
    </comment>
    <comment ref="A133" authorId="0" shapeId="0" xr:uid="{00000000-0006-0000-0800-000020000000}">
      <text>
        <r>
          <rPr>
            <sz val="9"/>
            <color indexed="81"/>
            <rFont val="Tahoma"/>
            <family val="2"/>
          </rPr>
          <t xml:space="preserve">
Sobre los aportes en dinero de quien no ejecuta</t>
        </r>
      </text>
    </comment>
    <comment ref="G133" authorId="0" shapeId="0" xr:uid="{00000000-0006-0000-0800-000021000000}">
      <text>
        <r>
          <rPr>
            <sz val="9"/>
            <color indexed="81"/>
            <rFont val="Tahoma"/>
            <family val="2"/>
          </rPr>
          <t xml:space="preserve">
Diligenciar el porcentaje si aplica</t>
        </r>
      </text>
    </comment>
    <comment ref="G134" authorId="0" shapeId="0" xr:uid="{00000000-0006-0000-0800-000022000000}">
      <text>
        <r>
          <rPr>
            <sz val="9"/>
            <color indexed="81"/>
            <rFont val="Tahoma"/>
            <family val="2"/>
          </rPr>
          <t xml:space="preserve">
Diligenciar el porcentaje si aplica</t>
        </r>
      </text>
    </comment>
    <comment ref="B141" authorId="1" shapeId="0" xr:uid="{00000000-0006-0000-0800-000023000000}">
      <text>
        <r>
          <rPr>
            <sz val="9"/>
            <color indexed="81"/>
            <rFont val="Tahoma"/>
            <family val="2"/>
          </rPr>
          <t xml:space="preserve">
Respecto al ítem</t>
        </r>
      </text>
    </comment>
    <comment ref="C141" authorId="1" shapeId="0" xr:uid="{00000000-0006-0000-0800-000024000000}">
      <text>
        <r>
          <rPr>
            <sz val="9"/>
            <color indexed="81"/>
            <rFont val="Tahoma"/>
            <family val="2"/>
          </rPr>
          <t xml:space="preserve">
(%) de dedicación respecto a la unidad de medida, justificar adecuamente en caso que sea inferior al 100% y no sea aporte en especie</t>
        </r>
      </text>
    </comment>
    <comment ref="E141" authorId="1" shapeId="0" xr:uid="{00000000-0006-0000-0800-000025000000}">
      <text>
        <r>
          <rPr>
            <sz val="9"/>
            <color indexed="81"/>
            <rFont val="Tahoma"/>
            <family val="2"/>
          </rPr>
          <t xml:space="preserve">
Respecto a la unidad de medida</t>
        </r>
      </text>
    </comment>
    <comment ref="G141" authorId="0" shapeId="0" xr:uid="{00000000-0006-0000-0800-000026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155" authorId="0" shapeId="0" xr:uid="{00000000-0006-0000-0800-000027000000}">
      <text>
        <r>
          <rPr>
            <sz val="9"/>
            <color indexed="81"/>
            <rFont val="Tahoma"/>
            <family val="2"/>
          </rPr>
          <t xml:space="preserve">
Normalmente este valor se deriva del estudio de mercado</t>
        </r>
      </text>
    </comment>
    <comment ref="A174" authorId="0" shapeId="0" xr:uid="{00000000-0006-0000-0800-000028000000}">
      <text>
        <r>
          <rPr>
            <sz val="9"/>
            <color indexed="81"/>
            <rFont val="Tahoma"/>
            <family val="2"/>
          </rPr>
          <t xml:space="preserve">
Sobre los aportes en dinero de quien no ejecuta</t>
        </r>
      </text>
    </comment>
    <comment ref="G174" authorId="0" shapeId="0" xr:uid="{00000000-0006-0000-0800-000029000000}">
      <text>
        <r>
          <rPr>
            <sz val="9"/>
            <color indexed="81"/>
            <rFont val="Tahoma"/>
            <family val="2"/>
          </rPr>
          <t xml:space="preserve">
Diligenciar el porcentaje si aplica</t>
        </r>
      </text>
    </comment>
    <comment ref="A175" authorId="0" shapeId="0" xr:uid="{00000000-0006-0000-0800-00002A000000}">
      <text>
        <r>
          <rPr>
            <sz val="9"/>
            <color indexed="81"/>
            <rFont val="Tahoma"/>
            <family val="2"/>
          </rPr>
          <t xml:space="preserve">
Sobre los aportes en dinero de quien no ejecuta</t>
        </r>
      </text>
    </comment>
    <comment ref="G175" authorId="0" shapeId="0" xr:uid="{00000000-0006-0000-0800-00002B000000}">
      <text>
        <r>
          <rPr>
            <sz val="9"/>
            <color indexed="81"/>
            <rFont val="Tahoma"/>
            <family val="2"/>
          </rPr>
          <t xml:space="preserve">
Diligenciar el porcentaje si aplica</t>
        </r>
      </text>
    </comment>
    <comment ref="G176" authorId="0" shapeId="0" xr:uid="{00000000-0006-0000-0800-00002C000000}">
      <text>
        <r>
          <rPr>
            <sz val="9"/>
            <color indexed="81"/>
            <rFont val="Tahoma"/>
            <family val="2"/>
          </rPr>
          <t xml:space="preserve">
Diligenciar el porcentaje si aplica</t>
        </r>
      </text>
    </comment>
    <comment ref="B183" authorId="1" shapeId="0" xr:uid="{00000000-0006-0000-0800-00002D000000}">
      <text>
        <r>
          <rPr>
            <sz val="9"/>
            <color indexed="81"/>
            <rFont val="Tahoma"/>
            <family val="2"/>
          </rPr>
          <t xml:space="preserve">
Respecto al ítem</t>
        </r>
      </text>
    </comment>
    <comment ref="C183" authorId="1" shapeId="0" xr:uid="{00000000-0006-0000-0800-00002E000000}">
      <text>
        <r>
          <rPr>
            <sz val="9"/>
            <color indexed="81"/>
            <rFont val="Tahoma"/>
            <family val="2"/>
          </rPr>
          <t xml:space="preserve">
(%) de dedicación respecto a la unidad de medida, justificar adecuamente en caso que sea inferior al 100% y no sea aporte en especie</t>
        </r>
      </text>
    </comment>
    <comment ref="E183" authorId="1" shapeId="0" xr:uid="{00000000-0006-0000-0800-00002F000000}">
      <text>
        <r>
          <rPr>
            <sz val="9"/>
            <color indexed="81"/>
            <rFont val="Tahoma"/>
            <family val="2"/>
          </rPr>
          <t xml:space="preserve">
Respecto a la unidad de medida</t>
        </r>
      </text>
    </comment>
    <comment ref="G183" authorId="0" shapeId="0" xr:uid="{00000000-0006-0000-0800-000030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197" authorId="0" shapeId="0" xr:uid="{00000000-0006-0000-0800-000031000000}">
      <text>
        <r>
          <rPr>
            <sz val="9"/>
            <color indexed="81"/>
            <rFont val="Tahoma"/>
            <family val="2"/>
          </rPr>
          <t xml:space="preserve">
Normalmente este valor se deriva del estudio de mercado</t>
        </r>
      </text>
    </comment>
    <comment ref="A216" authorId="0" shapeId="0" xr:uid="{00000000-0006-0000-0800-000032000000}">
      <text>
        <r>
          <rPr>
            <sz val="9"/>
            <color indexed="81"/>
            <rFont val="Tahoma"/>
            <family val="2"/>
          </rPr>
          <t xml:space="preserve">
Sobre los aportes en dinero de quien no ejecuta</t>
        </r>
      </text>
    </comment>
    <comment ref="G216" authorId="0" shapeId="0" xr:uid="{00000000-0006-0000-0800-000033000000}">
      <text>
        <r>
          <rPr>
            <sz val="9"/>
            <color indexed="81"/>
            <rFont val="Tahoma"/>
            <family val="2"/>
          </rPr>
          <t xml:space="preserve">
Diligenciar el porcentaje si aplica</t>
        </r>
      </text>
    </comment>
    <comment ref="A217" authorId="0" shapeId="0" xr:uid="{00000000-0006-0000-0800-000034000000}">
      <text>
        <r>
          <rPr>
            <sz val="9"/>
            <color indexed="81"/>
            <rFont val="Tahoma"/>
            <family val="2"/>
          </rPr>
          <t xml:space="preserve">
Sobre los aportes en dinero de quien no ejecuta</t>
        </r>
      </text>
    </comment>
    <comment ref="G217" authorId="0" shapeId="0" xr:uid="{00000000-0006-0000-0800-000035000000}">
      <text>
        <r>
          <rPr>
            <sz val="9"/>
            <color indexed="81"/>
            <rFont val="Tahoma"/>
            <family val="2"/>
          </rPr>
          <t xml:space="preserve">
Diligenciar el porcentaje si aplica</t>
        </r>
      </text>
    </comment>
    <comment ref="G218" authorId="0" shapeId="0" xr:uid="{00000000-0006-0000-0800-000036000000}">
      <text>
        <r>
          <rPr>
            <sz val="9"/>
            <color indexed="81"/>
            <rFont val="Tahoma"/>
            <family val="2"/>
          </rPr>
          <t xml:space="preserve">
Diligenciar el porcentaje si aplica</t>
        </r>
      </text>
    </comment>
    <comment ref="B225" authorId="1" shapeId="0" xr:uid="{00000000-0006-0000-0800-000037000000}">
      <text>
        <r>
          <rPr>
            <sz val="9"/>
            <color indexed="81"/>
            <rFont val="Tahoma"/>
            <family val="2"/>
          </rPr>
          <t xml:space="preserve">
Respecto al ítem</t>
        </r>
      </text>
    </comment>
    <comment ref="C225" authorId="1" shapeId="0" xr:uid="{00000000-0006-0000-0800-000038000000}">
      <text>
        <r>
          <rPr>
            <sz val="9"/>
            <color indexed="81"/>
            <rFont val="Tahoma"/>
            <family val="2"/>
          </rPr>
          <t xml:space="preserve">
(%) de dedicación respecto a la unidad de medida, justificar adecuamente en caso que sea inferior al 100% y no sea aporte en especie</t>
        </r>
      </text>
    </comment>
    <comment ref="E225" authorId="1" shapeId="0" xr:uid="{00000000-0006-0000-0800-000039000000}">
      <text>
        <r>
          <rPr>
            <sz val="9"/>
            <color indexed="81"/>
            <rFont val="Tahoma"/>
            <family val="2"/>
          </rPr>
          <t xml:space="preserve">
Respecto a la unidad de medida</t>
        </r>
      </text>
    </comment>
    <comment ref="G225" authorId="0" shapeId="0" xr:uid="{00000000-0006-0000-0800-00003A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F239" authorId="0" shapeId="0" xr:uid="{00000000-0006-0000-0800-00003B000000}">
      <text>
        <r>
          <rPr>
            <sz val="9"/>
            <color indexed="81"/>
            <rFont val="Tahoma"/>
            <family val="2"/>
          </rPr>
          <t xml:space="preserve">
Normalmente este valor se deriva del estudio de mercado</t>
        </r>
      </text>
    </comment>
    <comment ref="A258" authorId="0" shapeId="0" xr:uid="{00000000-0006-0000-0800-00003C000000}">
      <text>
        <r>
          <rPr>
            <sz val="9"/>
            <color indexed="81"/>
            <rFont val="Tahoma"/>
            <family val="2"/>
          </rPr>
          <t xml:space="preserve">
Sobre los aportes en dinero de quien no ejecuta</t>
        </r>
      </text>
    </comment>
    <comment ref="G258" authorId="0" shapeId="0" xr:uid="{00000000-0006-0000-0800-00003D000000}">
      <text>
        <r>
          <rPr>
            <sz val="9"/>
            <color indexed="81"/>
            <rFont val="Tahoma"/>
            <family val="2"/>
          </rPr>
          <t xml:space="preserve">
Diligenciar el porcentaje si aplica</t>
        </r>
      </text>
    </comment>
    <comment ref="A259" authorId="0" shapeId="0" xr:uid="{00000000-0006-0000-0800-00003E000000}">
      <text>
        <r>
          <rPr>
            <sz val="9"/>
            <color indexed="81"/>
            <rFont val="Tahoma"/>
            <family val="2"/>
          </rPr>
          <t xml:space="preserve">
Sobre los aportes en dinero de quien no ejecuta</t>
        </r>
      </text>
    </comment>
    <comment ref="G259" authorId="0" shapeId="0" xr:uid="{00000000-0006-0000-0800-00003F000000}">
      <text>
        <r>
          <rPr>
            <sz val="9"/>
            <color indexed="81"/>
            <rFont val="Tahoma"/>
            <family val="2"/>
          </rPr>
          <t xml:space="preserve">
Diligenciar el porcentaje si aplica</t>
        </r>
      </text>
    </comment>
    <comment ref="G260" authorId="0" shapeId="0" xr:uid="{00000000-0006-0000-0800-000040000000}">
      <text>
        <r>
          <rPr>
            <sz val="9"/>
            <color indexed="81"/>
            <rFont val="Tahoma"/>
            <family val="2"/>
          </rPr>
          <t xml:space="preserve">
Diligenciar el porcentaje si aplica</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Usuario</author>
  </authors>
  <commentList>
    <comment ref="A5" authorId="0" shapeId="0" xr:uid="{00000000-0006-0000-0A00-000001000000}">
      <text>
        <r>
          <rPr>
            <sz val="9"/>
            <color indexed="81"/>
            <rFont val="Tahoma"/>
            <family val="2"/>
          </rPr>
          <t>La información se alimenta de la hoja 
"PLAN DE EJECUCIÓN FÍSICA Y DE INVERSIONES"</t>
        </r>
      </text>
    </comment>
    <comment ref="A6" authorId="0" shapeId="0" xr:uid="{00000000-0006-0000-0A00-000002000000}">
      <text>
        <r>
          <rPr>
            <sz val="9"/>
            <color indexed="81"/>
            <rFont val="Tahoma"/>
            <family val="2"/>
          </rPr>
          <t>La información se alimenta de la hoja 
"PLAN DE EJECUCIÓN FÍSICA Y DE INVERSIONES"</t>
        </r>
      </text>
    </comment>
    <comment ref="B8" authorId="1" shapeId="0" xr:uid="{00000000-0006-0000-0A00-000003000000}">
      <text>
        <r>
          <rPr>
            <sz val="9"/>
            <color indexed="81"/>
            <rFont val="Tahoma"/>
            <family val="2"/>
          </rPr>
          <t>Aplica para los aportes en dinero de la corporación. O para los aportes en dinero de la corporación y el conveniante si se va a subcontratar.</t>
        </r>
      </text>
    </comment>
    <comment ref="F11" authorId="0" shapeId="0" xr:uid="{00000000-0006-0000-0A00-000004000000}">
      <text>
        <r>
          <rPr>
            <sz val="9"/>
            <color indexed="81"/>
            <rFont val="Tahoma"/>
            <family val="2"/>
          </rPr>
          <t xml:space="preserve">
(%) Porcentaje de participación respecto a los costos directos del proceso</t>
        </r>
      </text>
    </comment>
    <comment ref="A63" authorId="0" shapeId="0" xr:uid="{00000000-0006-0000-0A00-000005000000}">
      <text>
        <r>
          <rPr>
            <sz val="9"/>
            <color indexed="81"/>
            <rFont val="Tahoma"/>
            <family val="2"/>
          </rPr>
          <t xml:space="preserve">
De quien no ejecuta</t>
        </r>
      </text>
    </comment>
    <comment ref="D64" authorId="0" shapeId="0" xr:uid="{00000000-0006-0000-0A00-000006000000}">
      <text>
        <r>
          <rPr>
            <sz val="9"/>
            <color indexed="81"/>
            <rFont val="Tahoma"/>
            <family val="2"/>
          </rPr>
          <t xml:space="preserve">
Diligenciar el porcentaje si aplica
</t>
        </r>
      </text>
    </comment>
    <comment ref="E64" authorId="0" shapeId="0" xr:uid="{00000000-0006-0000-0A00-000007000000}">
      <text>
        <r>
          <rPr>
            <sz val="9"/>
            <color indexed="81"/>
            <rFont val="Tahoma"/>
            <family val="2"/>
          </rPr>
          <t xml:space="preserve">
Porcentaje sobre los aportes en dinero, de quien no ejecuta</t>
        </r>
      </text>
    </comment>
    <comment ref="D65" authorId="0" shapeId="0" xr:uid="{00000000-0006-0000-0A00-000008000000}">
      <text>
        <r>
          <rPr>
            <sz val="9"/>
            <color indexed="81"/>
            <rFont val="Tahoma"/>
            <family val="2"/>
          </rPr>
          <t xml:space="preserve">
Diligenciar el porcentaje si aplica
</t>
        </r>
      </text>
    </comment>
    <comment ref="D66" authorId="0" shapeId="0" xr:uid="{00000000-0006-0000-0A00-000009000000}">
      <text>
        <r>
          <rPr>
            <sz val="9"/>
            <color indexed="81"/>
            <rFont val="Tahoma"/>
            <family val="2"/>
          </rPr>
          <t xml:space="preserve">
Diligenciar el porcentaje si aplica
</t>
        </r>
      </text>
    </comment>
    <comment ref="E67" authorId="0" shapeId="0" xr:uid="{00000000-0006-0000-0A00-00000A000000}">
      <text>
        <r>
          <rPr>
            <sz val="9"/>
            <color indexed="81"/>
            <rFont val="Tahoma"/>
            <family val="2"/>
          </rPr>
          <t xml:space="preserve">
Valor expresado en moneda legal colombiana</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C5" authorId="0" shapeId="0" xr:uid="{00000000-0006-0000-0B00-000001000000}">
      <text>
        <r>
          <rPr>
            <sz val="9"/>
            <color indexed="81"/>
            <rFont val="Tahoma"/>
            <family val="2"/>
          </rPr>
          <t>La información se alimenta de la hoja 
"PLAN DE EJECUCIÓN FÍSICA Y DE INVERSIONES"</t>
        </r>
      </text>
    </comment>
    <comment ref="C6" authorId="0" shapeId="0" xr:uid="{00000000-0006-0000-0B00-000002000000}">
      <text>
        <r>
          <rPr>
            <sz val="9"/>
            <color indexed="81"/>
            <rFont val="Tahoma"/>
            <family val="2"/>
          </rPr>
          <t>La información se alimenta de la hoja 
"PLAN DE EJECUCIÓN FÍSICA Y DE INVERSIONES"</t>
        </r>
      </text>
    </comment>
    <comment ref="O270" authorId="0" shapeId="0" xr:uid="{00000000-0006-0000-0B00-000003000000}">
      <text>
        <r>
          <rPr>
            <sz val="9"/>
            <color indexed="81"/>
            <rFont val="Tahoma"/>
            <family val="2"/>
          </rPr>
          <t xml:space="preserve">
Para escoger la muestra de los datos con los cuales sacar el promedio de porcentaje de participación</t>
        </r>
      </text>
    </comment>
    <comment ref="P270" authorId="0" shapeId="0" xr:uid="{00000000-0006-0000-0B00-000004000000}">
      <text>
        <r>
          <rPr>
            <sz val="9"/>
            <color indexed="81"/>
            <rFont val="Tahoma"/>
            <family val="2"/>
          </rPr>
          <t xml:space="preserve">
Los bienes relevantes serán aquellos cuyo Porcentaje de participación sea igual o superior al PROMEDIO (PORCENTAJE DE PARTICIPACIÓN) DE LOS BIENES QUE REPRESENTAN EL 80 % DE MAYOR PARTICIPACIÓN</t>
        </r>
      </text>
    </comment>
    <comment ref="H527" authorId="0" shapeId="0" xr:uid="{00000000-0006-0000-0B00-000005000000}">
      <text>
        <r>
          <rPr>
            <sz val="9"/>
            <color indexed="81"/>
            <rFont val="Tahoma"/>
            <family val="2"/>
          </rPr>
          <t>Consultar: http://pbn.vuce.gov.co/consultas/index.php
Para diligenciar la opción</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6" authorId="0" shapeId="0" xr:uid="{00000000-0006-0000-0D00-000001000000}">
      <text>
        <r>
          <rPr>
            <sz val="9"/>
            <color indexed="81"/>
            <rFont val="Tahoma"/>
            <family val="2"/>
          </rPr>
          <t>La información se alimenta de la hoja 
"PLAN DE EJECUCIÓN FÍSICA Y DE INVERSIONES"</t>
        </r>
      </text>
    </comment>
    <comment ref="A7" authorId="0" shapeId="0" xr:uid="{00000000-0006-0000-0D00-000002000000}">
      <text>
        <r>
          <rPr>
            <sz val="9"/>
            <color indexed="81"/>
            <rFont val="Tahoma"/>
            <family val="2"/>
          </rPr>
          <t>La información se alimenta de la hoja 
"PLAN DE EJECUCIÓN FÍSICA Y DE INVERSIONES"</t>
        </r>
      </text>
    </comment>
    <comment ref="B10" authorId="1" shapeId="0" xr:uid="{00000000-0006-0000-0D00-000003000000}">
      <text>
        <r>
          <rPr>
            <sz val="9"/>
            <color indexed="81"/>
            <rFont val="Tahoma"/>
            <family val="2"/>
          </rPr>
          <t xml:space="preserve">
Respecto al ítem</t>
        </r>
      </text>
    </comment>
    <comment ref="C10" authorId="1" shapeId="0" xr:uid="{00000000-0006-0000-0D00-000004000000}">
      <text>
        <r>
          <rPr>
            <sz val="9"/>
            <color indexed="81"/>
            <rFont val="Tahoma"/>
            <family val="2"/>
          </rPr>
          <t xml:space="preserve">
(%) de dedicación respecto a la unidad de medida, justificar adecuamente en caso que sea inferior al 100% y no sea aporte en especie</t>
        </r>
      </text>
    </comment>
    <comment ref="E10" authorId="1" shapeId="0" xr:uid="{00000000-0006-0000-0D00-000005000000}">
      <text>
        <r>
          <rPr>
            <sz val="9"/>
            <color indexed="81"/>
            <rFont val="Tahoma"/>
            <family val="2"/>
          </rPr>
          <t xml:space="preserve">
Respecto a la unidad de medida</t>
        </r>
      </text>
    </comment>
    <comment ref="G10" authorId="0" shapeId="0" xr:uid="{00000000-0006-0000-0D00-000006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OneScreen</author>
  </authors>
  <commentList>
    <comment ref="A6" authorId="0" shapeId="0" xr:uid="{00000000-0006-0000-0E00-000001000000}">
      <text>
        <r>
          <rPr>
            <sz val="9"/>
            <color indexed="81"/>
            <rFont val="Tahoma"/>
            <family val="2"/>
          </rPr>
          <t>La información se alimenta de la hoja 
"PLAN DE EJECUCIÓN FÍSICA Y DE INVERSIONES"</t>
        </r>
      </text>
    </comment>
    <comment ref="A7" authorId="0" shapeId="0" xr:uid="{00000000-0006-0000-0E00-000002000000}">
      <text>
        <r>
          <rPr>
            <sz val="9"/>
            <color indexed="81"/>
            <rFont val="Tahoma"/>
            <family val="2"/>
          </rPr>
          <t>La información se alimenta de la hoja 
"PLAN DE EJECUCIÓN FÍSICA Y DE INVERSIONES"</t>
        </r>
      </text>
    </comment>
    <comment ref="B11" authorId="1" shapeId="0" xr:uid="{00000000-0006-0000-0E00-000003000000}">
      <text>
        <r>
          <rPr>
            <sz val="9"/>
            <color indexed="81"/>
            <rFont val="Tahoma"/>
            <family val="2"/>
          </rPr>
          <t xml:space="preserve">
Respecto al ítem</t>
        </r>
      </text>
    </comment>
    <comment ref="C11" authorId="1" shapeId="0" xr:uid="{00000000-0006-0000-0E00-000004000000}">
      <text>
        <r>
          <rPr>
            <sz val="9"/>
            <color indexed="81"/>
            <rFont val="Tahoma"/>
            <family val="2"/>
          </rPr>
          <t xml:space="preserve">
(%) de dedicación respecto a la unidad de medida, justificar adecuamente en caso que sea inferior al 100% y no sea aporte en especie</t>
        </r>
      </text>
    </comment>
    <comment ref="E11" authorId="1" shapeId="0" xr:uid="{00000000-0006-0000-0E00-000005000000}">
      <text>
        <r>
          <rPr>
            <sz val="9"/>
            <color indexed="81"/>
            <rFont val="Tahoma"/>
            <family val="2"/>
          </rPr>
          <t xml:space="preserve">
Respecto a la unidad de medida</t>
        </r>
      </text>
    </comment>
    <comment ref="G11" authorId="0" shapeId="0" xr:uid="{00000000-0006-0000-0E00-000006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B31" authorId="1" shapeId="0" xr:uid="{00000000-0006-0000-0E00-000007000000}">
      <text>
        <r>
          <rPr>
            <sz val="9"/>
            <color indexed="81"/>
            <rFont val="Tahoma"/>
            <family val="2"/>
          </rPr>
          <t xml:space="preserve">
Respecto al ítem</t>
        </r>
      </text>
    </comment>
    <comment ref="C31" authorId="1" shapeId="0" xr:uid="{00000000-0006-0000-0E00-000008000000}">
      <text>
        <r>
          <rPr>
            <sz val="9"/>
            <color indexed="81"/>
            <rFont val="Tahoma"/>
            <family val="2"/>
          </rPr>
          <t xml:space="preserve">
(%) de dedicación respecto a la unidad de medida, justificar adecuamente en caso que sea inferior al 100% y no sea aporte en especie</t>
        </r>
      </text>
    </comment>
    <comment ref="E31" authorId="1" shapeId="0" xr:uid="{00000000-0006-0000-0E00-000009000000}">
      <text>
        <r>
          <rPr>
            <sz val="9"/>
            <color indexed="81"/>
            <rFont val="Tahoma"/>
            <family val="2"/>
          </rPr>
          <t xml:space="preserve">
Respecto a la unidad de medida</t>
        </r>
      </text>
    </comment>
    <comment ref="G31" authorId="0" shapeId="0" xr:uid="{00000000-0006-0000-0E00-00000A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 ref="B51" authorId="1" shapeId="0" xr:uid="{00000000-0006-0000-0E00-00000B000000}">
      <text>
        <r>
          <rPr>
            <sz val="9"/>
            <color indexed="81"/>
            <rFont val="Tahoma"/>
            <family val="2"/>
          </rPr>
          <t xml:space="preserve">
Respecto al ítem</t>
        </r>
      </text>
    </comment>
    <comment ref="C51" authorId="1" shapeId="0" xr:uid="{00000000-0006-0000-0E00-00000C000000}">
      <text>
        <r>
          <rPr>
            <sz val="9"/>
            <color indexed="81"/>
            <rFont val="Tahoma"/>
            <family val="2"/>
          </rPr>
          <t xml:space="preserve">
(%) de dedicación respecto a la unidad de medida, justificar adecuamente en caso que sea inferior al 100% y no sea aporte en especie</t>
        </r>
      </text>
    </comment>
    <comment ref="E51" authorId="1" shapeId="0" xr:uid="{00000000-0006-0000-0E00-00000D000000}">
      <text>
        <r>
          <rPr>
            <sz val="9"/>
            <color indexed="81"/>
            <rFont val="Tahoma"/>
            <family val="2"/>
          </rPr>
          <t xml:space="preserve">
Respecto a la unidad de medida</t>
        </r>
      </text>
    </comment>
    <comment ref="G51" authorId="0" shapeId="0" xr:uid="{00000000-0006-0000-0E00-00000E000000}">
      <text>
        <r>
          <rPr>
            <sz val="9"/>
            <color indexed="81"/>
            <rFont val="Tahoma"/>
            <family val="2"/>
          </rPr>
          <t xml:space="preserve">
El factor prestacional solo se establece con fines metodológicos para establecer un valor comparativo en caso que el ejecutor del proceso contractual no realice una contratación civil, sino una contratación laboral.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10" authorId="0" shapeId="0" xr:uid="{00000000-0006-0000-0F00-000001000000}">
      <text>
        <r>
          <rPr>
            <sz val="9"/>
            <color indexed="81"/>
            <rFont val="Tahoma"/>
            <family val="2"/>
          </rPr>
          <t>La información se alimenta de la hoja 
"PLAN DE EJECUCIÓN FÍSICA Y DE INVERSIONES"</t>
        </r>
      </text>
    </comment>
    <comment ref="A11" authorId="0" shapeId="0" xr:uid="{00000000-0006-0000-0F00-000002000000}">
      <text>
        <r>
          <rPr>
            <sz val="9"/>
            <color indexed="81"/>
            <rFont val="Tahoma"/>
            <family val="2"/>
          </rPr>
          <t>La información se alimenta de la hoja 
"PLAN DE EJECUCIÓN FÍSICA Y DE INVERSIONES"</t>
        </r>
      </text>
    </comment>
    <comment ref="A13" authorId="0" shapeId="0" xr:uid="{00000000-0006-0000-0F00-000003000000}">
      <text>
        <r>
          <rPr>
            <sz val="9"/>
            <color indexed="81"/>
            <rFont val="Tahoma"/>
            <family val="2"/>
          </rPr>
          <t xml:space="preserve">
Para cada proceso elegir si se va a realizar la estimación, por el presupuesto total, por lotes, por unidad o por lote - unidad. Solo utilizar una de las cuatro opciones</t>
        </r>
      </text>
    </comment>
    <comment ref="A14" authorId="0" shapeId="0" xr:uid="{00000000-0006-0000-0F00-000004000000}">
      <text>
        <r>
          <rPr>
            <sz val="9"/>
            <color indexed="81"/>
            <rFont val="Tahoma"/>
            <family val="2"/>
          </rPr>
          <t xml:space="preserve">
La estimación del PAB siempre se hace con los valores antes de IVA</t>
        </r>
      </text>
    </comment>
    <comment ref="B14" authorId="0" shapeId="0" xr:uid="{00000000-0006-0000-0F00-000005000000}">
      <text>
        <r>
          <rPr>
            <sz val="9"/>
            <color indexed="81"/>
            <rFont val="Tahoma"/>
            <family val="2"/>
          </rPr>
          <t xml:space="preserve">
 Se le solicitará aclaración a los proponentes cuyas ofertas sean menores o iguales en un X% (porcentaje base) del costo total estimado por la Entidad Estatal.</t>
        </r>
      </text>
    </comment>
    <comment ref="D14" authorId="0" shapeId="0" xr:uid="{00000000-0006-0000-0F00-000006000000}">
      <text>
        <r>
          <rPr>
            <sz val="9"/>
            <color indexed="81"/>
            <rFont val="Tahoma"/>
            <family val="2"/>
          </rPr>
          <t xml:space="preserve">
Se le solicitará aclaración a los proponentes cuyas ofertas sean menores o iguales a $X.</t>
        </r>
      </text>
    </comment>
    <comment ref="A17" authorId="0" shapeId="0" xr:uid="{00000000-0006-0000-0F00-000007000000}">
      <text>
        <r>
          <rPr>
            <sz val="9"/>
            <color indexed="81"/>
            <rFont val="Tahoma"/>
            <family val="2"/>
          </rPr>
          <t xml:space="preserve">
Para cada proceso elegir si se va a realizar la estimación, por el presupuesto total, por lotes, por unidad o por lote - unidad. Solo utilizar una de las cuatro opciones</t>
        </r>
      </text>
    </comment>
    <comment ref="B18" authorId="0" shapeId="0" xr:uid="{00000000-0006-0000-0F00-000008000000}">
      <text>
        <r>
          <rPr>
            <sz val="9"/>
            <color indexed="81"/>
            <rFont val="Tahoma"/>
            <family val="2"/>
          </rPr>
          <t xml:space="preserve">
La estimación del PAB siempre se hace con los valores antes de IVA</t>
        </r>
      </text>
    </comment>
    <comment ref="C18" authorId="0" shapeId="0" xr:uid="{00000000-0006-0000-0F00-000009000000}">
      <text>
        <r>
          <rPr>
            <sz val="9"/>
            <color indexed="81"/>
            <rFont val="Tahoma"/>
            <family val="2"/>
          </rPr>
          <t xml:space="preserve">
 Se le solicitará aclaración a los proponentes cuyos valor total por lote sea menor o igual en un X% (porcentaje base) del costo total estimado por la Entidad Estatal.</t>
        </r>
      </text>
    </comment>
    <comment ref="E18" authorId="0" shapeId="0" xr:uid="{00000000-0006-0000-0F00-00000A000000}">
      <text>
        <r>
          <rPr>
            <sz val="9"/>
            <color indexed="81"/>
            <rFont val="Tahoma"/>
            <family val="2"/>
          </rPr>
          <t xml:space="preserve">
Se le solicitará aclaración a los proponentes cuyas ofertas por el lote respectivo sean menores o iguales a $X.</t>
        </r>
      </text>
    </comment>
    <comment ref="A25" authorId="0" shapeId="0" xr:uid="{00000000-0006-0000-0F00-00000B000000}">
      <text>
        <r>
          <rPr>
            <sz val="9"/>
            <color indexed="81"/>
            <rFont val="Tahoma"/>
            <family val="2"/>
          </rPr>
          <t xml:space="preserve">
Para cada proceso elegir si se va a realizar la estimación, por el presupuesto total, por lotes, por unidad o por lote - unidad. Solo utilizar una de las cuatro opciones</t>
        </r>
      </text>
    </comment>
    <comment ref="B26" authorId="0" shapeId="0" xr:uid="{00000000-0006-0000-0F00-00000C000000}">
      <text>
        <r>
          <rPr>
            <sz val="9"/>
            <color indexed="81"/>
            <rFont val="Tahoma"/>
            <family val="2"/>
          </rPr>
          <t xml:space="preserve">
La estimación del PAB siempre se hace con los valores antes de IVA</t>
        </r>
      </text>
    </comment>
    <comment ref="C26" authorId="0" shapeId="0" xr:uid="{00000000-0006-0000-0F00-00000D000000}">
      <text>
        <r>
          <rPr>
            <sz val="9"/>
            <color indexed="81"/>
            <rFont val="Tahoma"/>
            <family val="2"/>
          </rPr>
          <t xml:space="preserve">
 Se le solicitará aclaración a los proponentes cuyos valores unitarios ofertados sean menores o iguales en un X% (porcentaje base) del costo total estimado por la Entidad Estatal.</t>
        </r>
      </text>
    </comment>
    <comment ref="E26" authorId="0" shapeId="0" xr:uid="{00000000-0006-0000-0F00-00000E000000}">
      <text>
        <r>
          <rPr>
            <sz val="9"/>
            <color indexed="81"/>
            <rFont val="Tahoma"/>
            <family val="2"/>
          </rPr>
          <t xml:space="preserve">
Se le solicitará aclaración a los proponentes cuyas ofertas sean menores o iguales a $X.</t>
        </r>
      </text>
    </comment>
    <comment ref="A40" authorId="0" shapeId="0" xr:uid="{00000000-0006-0000-0F00-00000F000000}">
      <text>
        <r>
          <rPr>
            <sz val="9"/>
            <color indexed="81"/>
            <rFont val="Tahoma"/>
            <family val="2"/>
          </rPr>
          <t xml:space="preserve">
Para cada proceso elegir si se va a realizar la estimación, por el presupuesto total, por lotes, por unidad o por lote - unidad. Solo utilizar una de las cuatro opciones</t>
        </r>
      </text>
    </comment>
    <comment ref="B42" authorId="0" shapeId="0" xr:uid="{00000000-0006-0000-0F00-000010000000}">
      <text>
        <r>
          <rPr>
            <sz val="9"/>
            <color indexed="81"/>
            <rFont val="Tahoma"/>
            <family val="2"/>
          </rPr>
          <t xml:space="preserve">
La estimación del PAB siempre se hace con los valores antes de IVA</t>
        </r>
      </text>
    </comment>
    <comment ref="C42" authorId="0" shapeId="0" xr:uid="{00000000-0006-0000-0F00-000011000000}">
      <text>
        <r>
          <rPr>
            <sz val="9"/>
            <color indexed="81"/>
            <rFont val="Tahoma"/>
            <family val="2"/>
          </rPr>
          <t xml:space="preserve">
 Se le solicitará aclaración a los proponentes cuyos valores unitarios ofertados sean menores o iguales en un X% (porcentaje base) del costo total estimado por la Entidad Estatal.</t>
        </r>
      </text>
    </comment>
    <comment ref="E42" authorId="0" shapeId="0" xr:uid="{00000000-0006-0000-0F00-000012000000}">
      <text>
        <r>
          <rPr>
            <sz val="9"/>
            <color indexed="81"/>
            <rFont val="Tahoma"/>
            <family val="2"/>
          </rPr>
          <t xml:space="preserve">
Se le solicitará aclaración a los proponentes cuyas ofertas sean menores o iguales a $X.</t>
        </r>
      </text>
    </comment>
    <comment ref="B55" authorId="0" shapeId="0" xr:uid="{00000000-0006-0000-0F00-000013000000}">
      <text>
        <r>
          <rPr>
            <sz val="9"/>
            <color indexed="81"/>
            <rFont val="Tahoma"/>
            <family val="2"/>
          </rPr>
          <t xml:space="preserve">
La estimación del PAB siempre se hace con los valores antes de IVA</t>
        </r>
      </text>
    </comment>
    <comment ref="C55" authorId="0" shapeId="0" xr:uid="{00000000-0006-0000-0F00-000014000000}">
      <text>
        <r>
          <rPr>
            <sz val="9"/>
            <color indexed="81"/>
            <rFont val="Tahoma"/>
            <family val="2"/>
          </rPr>
          <t xml:space="preserve">
 Se le solicitará aclaración a los proponentes cuyos valores unitarios ofertados sean menores o iguales en un X% (porcentaje base) del costo total estimado por la Entidad Estatal.</t>
        </r>
      </text>
    </comment>
    <comment ref="E55" authorId="0" shapeId="0" xr:uid="{00000000-0006-0000-0F00-000015000000}">
      <text>
        <r>
          <rPr>
            <sz val="9"/>
            <color indexed="81"/>
            <rFont val="Tahoma"/>
            <family val="2"/>
          </rPr>
          <t xml:space="preserve">
Se le solicitará aclaración a los proponentes cuyas ofertas sean menores o iguales a $X.</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000-000001000000}">
      <text>
        <r>
          <rPr>
            <sz val="9"/>
            <color indexed="81"/>
            <rFont val="Tahoma"/>
            <family val="2"/>
          </rPr>
          <t>La información se alimenta de la hoja 
"PLAN DE EJECUCIÓN FÍSICA Y DE INVERSIONES"</t>
        </r>
      </text>
    </comment>
    <comment ref="A7" authorId="0" shapeId="0" xr:uid="{00000000-0006-0000-1000-000002000000}">
      <text>
        <r>
          <rPr>
            <sz val="9"/>
            <color indexed="81"/>
            <rFont val="Tahoma"/>
            <family val="2"/>
          </rPr>
          <t>La información se alimenta de la hoja 
"PLAN DE EJECUCIÓN FÍSICA Y DE INVERSIONES"</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8" authorId="0" shapeId="0" xr:uid="{00000000-0006-0000-1100-000001000000}">
      <text>
        <r>
          <rPr>
            <sz val="9"/>
            <color indexed="81"/>
            <rFont val="Tahoma"/>
            <family val="2"/>
          </rPr>
          <t>La información se alimenta de la hoja 
"PLAN DE EJECUCIÓN FÍSICA Y DE INVERSIONES"</t>
        </r>
      </text>
    </comment>
    <comment ref="A9" authorId="0" shapeId="0" xr:uid="{00000000-0006-0000-1100-000002000000}">
      <text>
        <r>
          <rPr>
            <sz val="9"/>
            <color indexed="81"/>
            <rFont val="Tahoma"/>
            <family val="2"/>
          </rPr>
          <t>La información se alimenta de la hoja 
"PLAN DE EJECUCIÓN FÍSICA Y DE INVERSIONES"</t>
        </r>
      </text>
    </comment>
    <comment ref="A11" authorId="0" shapeId="0" xr:uid="{00000000-0006-0000-1100-000003000000}">
      <text>
        <r>
          <rPr>
            <sz val="9"/>
            <color indexed="81"/>
            <rFont val="Tahoma"/>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C24" authorId="0" shapeId="0" xr:uid="{00000000-0006-0000-1100-000004000000}">
      <text>
        <r>
          <rPr>
            <sz val="9"/>
            <color indexed="81"/>
            <rFont val="Tahoma"/>
            <family val="2"/>
          </rPr>
          <t xml:space="preserve">
Bajo la aplicación de la metodología comparación relativa, la Corporación estima que será artificialmente baja toda oferta cuyo valor total antes de IVA sea menor o igual al valor mínimo aceptable</t>
        </r>
      </text>
    </comment>
    <comment ref="A26" authorId="0" shapeId="0" xr:uid="{00000000-0006-0000-1100-000005000000}">
      <text>
        <r>
          <rPr>
            <sz val="9"/>
            <color indexed="81"/>
            <rFont val="Tahoma"/>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C40" authorId="0" shapeId="0" xr:uid="{00000000-0006-0000-1100-000006000000}">
      <text>
        <r>
          <rPr>
            <sz val="9"/>
            <color indexed="81"/>
            <rFont val="Tahoma"/>
            <family val="2"/>
          </rPr>
          <t xml:space="preserve">
Bajo la aplicación de la metodología comparación relativa, la Corporación estima que será artificialmente baja toda oferta cuyo valor total antes de IVA de cada lote, sea menor o igual al valor mínimo aceptable de dicho lote.</t>
        </r>
      </text>
    </comment>
    <comment ref="F40" authorId="0" shapeId="0" xr:uid="{00000000-0006-0000-1100-000007000000}">
      <text>
        <r>
          <rPr>
            <sz val="9"/>
            <color indexed="81"/>
            <rFont val="Tahoma"/>
            <family val="2"/>
          </rPr>
          <t xml:space="preserve">
Bajo la aplicación de la metodología comparación relativa, la Corporación estima que será artificialmente baja toda oferta cuyo valor total antes de IVA de cada lote, sea menor o igual al valor mínimo aceptable de dicho lote.</t>
        </r>
      </text>
    </comment>
    <comment ref="A42" authorId="0" shapeId="0" xr:uid="{00000000-0006-0000-1100-000008000000}">
      <text>
        <r>
          <rPr>
            <sz val="9"/>
            <color indexed="81"/>
            <rFont val="Tahoma"/>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N43" authorId="0" shapeId="0" xr:uid="{00000000-0006-0000-1100-000009000000}">
      <text>
        <r>
          <rPr>
            <sz val="9"/>
            <color indexed="81"/>
            <rFont val="Tahoma"/>
            <family val="2"/>
          </rPr>
          <t xml:space="preserve">
Bajo la aplicación de la metodología de comparación relativa, la Corporación estima que será artificialmente baja toda oferta cuyo valor unitario antes de IVA de cada ítem, sea menor o igual al valor mínimo aceptable de dicho ítem</t>
        </r>
      </text>
    </comment>
    <comment ref="A55" authorId="0" shapeId="0" xr:uid="{00000000-0006-0000-1100-00000A000000}">
      <text>
        <r>
          <rPr>
            <sz val="9"/>
            <color indexed="81"/>
            <rFont val="Tahoma"/>
            <family val="2"/>
          </rPr>
          <t xml:space="preserve">
Para cada proceso elegir si se va a realizar la estimación, por el presupuesto total, por lotes, por unidad o por lote - unidad. Solo utilizar una de las cuatro opciones
La elección estará acorde a lo planteado en el acta del PAB.</t>
        </r>
      </text>
    </comment>
    <comment ref="N57" authorId="0" shapeId="0" xr:uid="{00000000-0006-0000-1100-00000B000000}">
      <text>
        <r>
          <rPr>
            <sz val="9"/>
            <color indexed="81"/>
            <rFont val="Tahoma"/>
            <family val="2"/>
          </rPr>
          <t xml:space="preserve">
Bajo la aplicación de la metodología de comparación relativa, la Corporación estima que será artificialmente baja toda oferta cuyo valor unitario antes de IVA de cada ítem dentro de cada lote, sea menor o igual al valor mínimo aceptable de dicho ítem del correspondiente lote</t>
        </r>
      </text>
    </comment>
    <comment ref="N70" authorId="0" shapeId="0" xr:uid="{00000000-0006-0000-1100-00000C000000}">
      <text>
        <r>
          <rPr>
            <sz val="9"/>
            <color indexed="81"/>
            <rFont val="Tahoma"/>
            <family val="2"/>
          </rPr>
          <t xml:space="preserve">
Bajo la aplicación de la metodología de comparación relativa, la Corporación estima que será artificialmente baja toda oferta cuyo valor unitario antes de IVA de cada ítem dentro de cada lote, sea menor o igual al valor mínimo aceptable de dicho ítem del correspondiente lote</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B16" authorId="0" shapeId="0" xr:uid="{00000000-0006-0000-1200-000001000000}">
      <text>
        <r>
          <rPr>
            <sz val="9"/>
            <color indexed="81"/>
            <rFont val="Tahoma"/>
            <family val="2"/>
          </rPr>
          <t xml:space="preserve">
Seleccionar
</t>
        </r>
      </text>
    </comment>
    <comment ref="D16" authorId="0" shapeId="0" xr:uid="{00000000-0006-0000-1200-000002000000}">
      <text>
        <r>
          <rPr>
            <sz val="9"/>
            <color indexed="81"/>
            <rFont val="Tahoma"/>
            <family val="2"/>
          </rPr>
          <t xml:space="preserve">
Seleccionar
</t>
        </r>
      </text>
    </comment>
    <comment ref="F16" authorId="0" shapeId="0" xr:uid="{00000000-0006-0000-1200-000003000000}">
      <text>
        <r>
          <rPr>
            <sz val="9"/>
            <color indexed="81"/>
            <rFont val="Tahoma"/>
            <family val="2"/>
          </rPr>
          <t xml:space="preserve">
Seleccionar
</t>
        </r>
      </text>
    </comment>
    <comment ref="B17" authorId="0" shapeId="0" xr:uid="{00000000-0006-0000-1200-000004000000}">
      <text>
        <r>
          <rPr>
            <sz val="9"/>
            <color indexed="81"/>
            <rFont val="Tahoma"/>
            <family val="2"/>
          </rPr>
          <t xml:space="preserve">
Seleccionar
</t>
        </r>
      </text>
    </comment>
    <comment ref="D17" authorId="0" shapeId="0" xr:uid="{00000000-0006-0000-1200-000005000000}">
      <text>
        <r>
          <rPr>
            <b/>
            <sz val="9"/>
            <color indexed="81"/>
            <rFont val="Tahoma"/>
            <family val="2"/>
          </rPr>
          <t>Marcela Buitrago Monsalve:</t>
        </r>
        <r>
          <rPr>
            <sz val="9"/>
            <color indexed="81"/>
            <rFont val="Tahoma"/>
            <family val="2"/>
          </rPr>
          <t xml:space="preserve">
Seleccionar
</t>
        </r>
      </text>
    </comment>
    <comment ref="F17" authorId="0" shapeId="0" xr:uid="{00000000-0006-0000-1200-000006000000}">
      <text>
        <r>
          <rPr>
            <b/>
            <sz val="9"/>
            <color indexed="81"/>
            <rFont val="Tahoma"/>
            <family val="2"/>
          </rPr>
          <t>Marcela Buitrago Monsalve:</t>
        </r>
        <r>
          <rPr>
            <sz val="9"/>
            <color indexed="81"/>
            <rFont val="Tahoma"/>
            <family val="2"/>
          </rPr>
          <t xml:space="preserve">
Seleccionar
</t>
        </r>
      </text>
    </comment>
    <comment ref="B18" authorId="0" shapeId="0" xr:uid="{00000000-0006-0000-1200-000007000000}">
      <text>
        <r>
          <rPr>
            <sz val="9"/>
            <color indexed="81"/>
            <rFont val="Tahoma"/>
            <family val="2"/>
          </rPr>
          <t xml:space="preserve">
Seleccionar
</t>
        </r>
      </text>
    </comment>
    <comment ref="D18" authorId="0" shapeId="0" xr:uid="{00000000-0006-0000-1200-000008000000}">
      <text>
        <r>
          <rPr>
            <b/>
            <sz val="9"/>
            <color indexed="81"/>
            <rFont val="Tahoma"/>
            <family val="2"/>
          </rPr>
          <t>Marcela Buitrago Monsalve:</t>
        </r>
        <r>
          <rPr>
            <sz val="9"/>
            <color indexed="81"/>
            <rFont val="Tahoma"/>
            <family val="2"/>
          </rPr>
          <t xml:space="preserve">
Seleccionar
</t>
        </r>
      </text>
    </comment>
    <comment ref="F18" authorId="0" shapeId="0" xr:uid="{00000000-0006-0000-1200-000009000000}">
      <text>
        <r>
          <rPr>
            <b/>
            <sz val="9"/>
            <color indexed="81"/>
            <rFont val="Tahoma"/>
            <family val="2"/>
          </rPr>
          <t>Marcela Buitrago Monsalve:</t>
        </r>
        <r>
          <rPr>
            <sz val="9"/>
            <color indexed="81"/>
            <rFont val="Tahoma"/>
            <family val="2"/>
          </rPr>
          <t xml:space="preserve">
Seleccionar
</t>
        </r>
      </text>
    </comment>
    <comment ref="B19" authorId="0" shapeId="0" xr:uid="{00000000-0006-0000-1200-00000A000000}">
      <text>
        <r>
          <rPr>
            <sz val="9"/>
            <color indexed="81"/>
            <rFont val="Tahoma"/>
            <family val="2"/>
          </rPr>
          <t xml:space="preserve">
Seleccionar
</t>
        </r>
      </text>
    </comment>
    <comment ref="D19" authorId="0" shapeId="0" xr:uid="{00000000-0006-0000-1200-00000B000000}">
      <text>
        <r>
          <rPr>
            <b/>
            <sz val="9"/>
            <color indexed="81"/>
            <rFont val="Tahoma"/>
            <family val="2"/>
          </rPr>
          <t>Marcela Buitrago Monsalve:</t>
        </r>
        <r>
          <rPr>
            <sz val="9"/>
            <color indexed="81"/>
            <rFont val="Tahoma"/>
            <family val="2"/>
          </rPr>
          <t xml:space="preserve">
Seleccionar
</t>
        </r>
      </text>
    </comment>
    <comment ref="F19" authorId="0" shapeId="0" xr:uid="{00000000-0006-0000-1200-00000C000000}">
      <text>
        <r>
          <rPr>
            <b/>
            <sz val="9"/>
            <color indexed="81"/>
            <rFont val="Tahoma"/>
            <family val="2"/>
          </rPr>
          <t>Marcela Buitrago Monsalve:</t>
        </r>
        <r>
          <rPr>
            <sz val="9"/>
            <color indexed="81"/>
            <rFont val="Tahoma"/>
            <family val="2"/>
          </rPr>
          <t xml:space="preserve">
Seleccionar
</t>
        </r>
      </text>
    </comment>
    <comment ref="B20" authorId="0" shapeId="0" xr:uid="{00000000-0006-0000-1200-00000D000000}">
      <text>
        <r>
          <rPr>
            <sz val="9"/>
            <color indexed="81"/>
            <rFont val="Tahoma"/>
            <family val="2"/>
          </rPr>
          <t xml:space="preserve">
Seleccionar
</t>
        </r>
      </text>
    </comment>
    <comment ref="D20" authorId="0" shapeId="0" xr:uid="{00000000-0006-0000-1200-00000E000000}">
      <text>
        <r>
          <rPr>
            <b/>
            <sz val="9"/>
            <color indexed="81"/>
            <rFont val="Tahoma"/>
            <family val="2"/>
          </rPr>
          <t>Marcela Buitrago Monsalve:</t>
        </r>
        <r>
          <rPr>
            <sz val="9"/>
            <color indexed="81"/>
            <rFont val="Tahoma"/>
            <family val="2"/>
          </rPr>
          <t xml:space="preserve">
Seleccionar
</t>
        </r>
      </text>
    </comment>
    <comment ref="F20" authorId="0" shapeId="0" xr:uid="{00000000-0006-0000-1200-00000F000000}">
      <text>
        <r>
          <rPr>
            <b/>
            <sz val="9"/>
            <color indexed="81"/>
            <rFont val="Tahoma"/>
            <family val="2"/>
          </rPr>
          <t>Marcela Buitrago Monsalve:</t>
        </r>
        <r>
          <rPr>
            <sz val="9"/>
            <color indexed="81"/>
            <rFont val="Tahoma"/>
            <family val="2"/>
          </rPr>
          <t xml:space="preserve">
Seleccionar
</t>
        </r>
      </text>
    </comment>
    <comment ref="B21" authorId="0" shapeId="0" xr:uid="{00000000-0006-0000-1200-000010000000}">
      <text>
        <r>
          <rPr>
            <sz val="9"/>
            <color indexed="81"/>
            <rFont val="Tahoma"/>
            <family val="2"/>
          </rPr>
          <t xml:space="preserve">
Seleccionar
</t>
        </r>
      </text>
    </comment>
    <comment ref="D21" authorId="0" shapeId="0" xr:uid="{00000000-0006-0000-1200-000011000000}">
      <text>
        <r>
          <rPr>
            <b/>
            <sz val="9"/>
            <color indexed="81"/>
            <rFont val="Tahoma"/>
            <family val="2"/>
          </rPr>
          <t>Marcela Buitrago Monsalve:</t>
        </r>
        <r>
          <rPr>
            <sz val="9"/>
            <color indexed="81"/>
            <rFont val="Tahoma"/>
            <family val="2"/>
          </rPr>
          <t xml:space="preserve">
Seleccionar
</t>
        </r>
      </text>
    </comment>
    <comment ref="F21" authorId="0" shapeId="0" xr:uid="{00000000-0006-0000-1200-000012000000}">
      <text>
        <r>
          <rPr>
            <b/>
            <sz val="9"/>
            <color indexed="81"/>
            <rFont val="Tahoma"/>
            <family val="2"/>
          </rPr>
          <t>Marcela Buitrago Monsalve:</t>
        </r>
        <r>
          <rPr>
            <sz val="9"/>
            <color indexed="81"/>
            <rFont val="Tahoma"/>
            <family val="2"/>
          </rPr>
          <t xml:space="preserve">
Seleccionar
</t>
        </r>
      </text>
    </comment>
    <comment ref="B22" authorId="0" shapeId="0" xr:uid="{00000000-0006-0000-1200-000013000000}">
      <text>
        <r>
          <rPr>
            <sz val="9"/>
            <color indexed="81"/>
            <rFont val="Tahoma"/>
            <family val="2"/>
          </rPr>
          <t xml:space="preserve">
Seleccionar
</t>
        </r>
      </text>
    </comment>
    <comment ref="D22" authorId="0" shapeId="0" xr:uid="{00000000-0006-0000-1200-000014000000}">
      <text>
        <r>
          <rPr>
            <b/>
            <sz val="9"/>
            <color indexed="81"/>
            <rFont val="Tahoma"/>
            <family val="2"/>
          </rPr>
          <t>Marcela Buitrago Monsalve:</t>
        </r>
        <r>
          <rPr>
            <sz val="9"/>
            <color indexed="81"/>
            <rFont val="Tahoma"/>
            <family val="2"/>
          </rPr>
          <t xml:space="preserve">
Seleccionar
</t>
        </r>
      </text>
    </comment>
    <comment ref="F22" authorId="0" shapeId="0" xr:uid="{00000000-0006-0000-1200-000015000000}">
      <text>
        <r>
          <rPr>
            <b/>
            <sz val="9"/>
            <color indexed="81"/>
            <rFont val="Tahoma"/>
            <family val="2"/>
          </rPr>
          <t>Marcela Buitrago Monsalve:</t>
        </r>
        <r>
          <rPr>
            <sz val="9"/>
            <color indexed="81"/>
            <rFont val="Tahoma"/>
            <family val="2"/>
          </rPr>
          <t xml:space="preserve">
Seleccionar
</t>
        </r>
      </text>
    </comment>
    <comment ref="B27" authorId="0" shapeId="0" xr:uid="{00000000-0006-0000-1200-000016000000}">
      <text>
        <r>
          <rPr>
            <sz val="9"/>
            <color indexed="81"/>
            <rFont val="Tahoma"/>
            <family val="2"/>
          </rPr>
          <t xml:space="preserve">
Seleccionar
</t>
        </r>
      </text>
    </comment>
    <comment ref="D27" authorId="0" shapeId="0" xr:uid="{00000000-0006-0000-1200-000017000000}">
      <text>
        <r>
          <rPr>
            <sz val="9"/>
            <color indexed="81"/>
            <rFont val="Tahoma"/>
            <family val="2"/>
          </rPr>
          <t xml:space="preserve">
Seleccionar
</t>
        </r>
      </text>
    </comment>
    <comment ref="F27" authorId="0" shapeId="0" xr:uid="{00000000-0006-0000-1200-000018000000}">
      <text>
        <r>
          <rPr>
            <sz val="9"/>
            <color indexed="81"/>
            <rFont val="Tahoma"/>
            <family val="2"/>
          </rPr>
          <t xml:space="preserve">
Seleccionar
</t>
        </r>
      </text>
    </comment>
    <comment ref="B28" authorId="0" shapeId="0" xr:uid="{00000000-0006-0000-1200-000019000000}">
      <text>
        <r>
          <rPr>
            <sz val="9"/>
            <color indexed="81"/>
            <rFont val="Tahoma"/>
            <family val="2"/>
          </rPr>
          <t xml:space="preserve">
Seleccionar
</t>
        </r>
      </text>
    </comment>
    <comment ref="D28" authorId="0" shapeId="0" xr:uid="{00000000-0006-0000-1200-00001A000000}">
      <text>
        <r>
          <rPr>
            <sz val="9"/>
            <color indexed="81"/>
            <rFont val="Tahoma"/>
            <family val="2"/>
          </rPr>
          <t xml:space="preserve">
Seleccionar
</t>
        </r>
      </text>
    </comment>
    <comment ref="F28" authorId="0" shapeId="0" xr:uid="{00000000-0006-0000-1200-00001B000000}">
      <text>
        <r>
          <rPr>
            <sz val="9"/>
            <color indexed="81"/>
            <rFont val="Tahoma"/>
            <family val="2"/>
          </rPr>
          <t xml:space="preserve">
Seleccionar
</t>
        </r>
      </text>
    </comment>
    <comment ref="B29" authorId="0" shapeId="0" xr:uid="{00000000-0006-0000-1200-00001C000000}">
      <text>
        <r>
          <rPr>
            <sz val="9"/>
            <color indexed="81"/>
            <rFont val="Tahoma"/>
            <family val="2"/>
          </rPr>
          <t xml:space="preserve">
Seleccionar
</t>
        </r>
      </text>
    </comment>
    <comment ref="D29" authorId="0" shapeId="0" xr:uid="{00000000-0006-0000-1200-00001D000000}">
      <text>
        <r>
          <rPr>
            <sz val="9"/>
            <color indexed="81"/>
            <rFont val="Tahoma"/>
            <family val="2"/>
          </rPr>
          <t xml:space="preserve">
Seleccionar
</t>
        </r>
      </text>
    </comment>
    <comment ref="F29" authorId="0" shapeId="0" xr:uid="{00000000-0006-0000-1200-00001E000000}">
      <text>
        <r>
          <rPr>
            <sz val="9"/>
            <color indexed="81"/>
            <rFont val="Tahoma"/>
            <family val="2"/>
          </rPr>
          <t xml:space="preserve">
Seleccionar
</t>
        </r>
      </text>
    </comment>
    <comment ref="B30" authorId="0" shapeId="0" xr:uid="{00000000-0006-0000-1200-00001F000000}">
      <text>
        <r>
          <rPr>
            <sz val="9"/>
            <color indexed="81"/>
            <rFont val="Tahoma"/>
            <family val="2"/>
          </rPr>
          <t xml:space="preserve">
Seleccionar
</t>
        </r>
      </text>
    </comment>
    <comment ref="D30" authorId="0" shapeId="0" xr:uid="{00000000-0006-0000-1200-000020000000}">
      <text>
        <r>
          <rPr>
            <sz val="9"/>
            <color indexed="81"/>
            <rFont val="Tahoma"/>
            <family val="2"/>
          </rPr>
          <t xml:space="preserve">
Seleccionar
</t>
        </r>
      </text>
    </comment>
    <comment ref="F30" authorId="0" shapeId="0" xr:uid="{00000000-0006-0000-1200-000021000000}">
      <text>
        <r>
          <rPr>
            <sz val="9"/>
            <color indexed="81"/>
            <rFont val="Tahoma"/>
            <family val="2"/>
          </rPr>
          <t xml:space="preserve">
Seleccionar
</t>
        </r>
      </text>
    </comment>
    <comment ref="B31" authorId="0" shapeId="0" xr:uid="{00000000-0006-0000-1200-000022000000}">
      <text>
        <r>
          <rPr>
            <sz val="9"/>
            <color indexed="81"/>
            <rFont val="Tahoma"/>
            <family val="2"/>
          </rPr>
          <t xml:space="preserve">
Seleccionar
</t>
        </r>
      </text>
    </comment>
    <comment ref="D31" authorId="0" shapeId="0" xr:uid="{00000000-0006-0000-1200-000023000000}">
      <text>
        <r>
          <rPr>
            <sz val="9"/>
            <color indexed="81"/>
            <rFont val="Tahoma"/>
            <family val="2"/>
          </rPr>
          <t xml:space="preserve">
Seleccionar
</t>
        </r>
      </text>
    </comment>
    <comment ref="F31" authorId="0" shapeId="0" xr:uid="{00000000-0006-0000-1200-000024000000}">
      <text>
        <r>
          <rPr>
            <sz val="9"/>
            <color indexed="81"/>
            <rFont val="Tahoma"/>
            <family val="2"/>
          </rPr>
          <t xml:space="preserve">
Seleccionar
</t>
        </r>
      </text>
    </comment>
    <comment ref="B32" authorId="0" shapeId="0" xr:uid="{00000000-0006-0000-1200-000025000000}">
      <text>
        <r>
          <rPr>
            <sz val="9"/>
            <color indexed="81"/>
            <rFont val="Tahoma"/>
            <family val="2"/>
          </rPr>
          <t xml:space="preserve">
Seleccionar
</t>
        </r>
      </text>
    </comment>
    <comment ref="D32" authorId="0" shapeId="0" xr:uid="{00000000-0006-0000-1200-000026000000}">
      <text>
        <r>
          <rPr>
            <sz val="9"/>
            <color indexed="81"/>
            <rFont val="Tahoma"/>
            <family val="2"/>
          </rPr>
          <t xml:space="preserve">
Seleccionar
</t>
        </r>
      </text>
    </comment>
    <comment ref="F32" authorId="0" shapeId="0" xr:uid="{00000000-0006-0000-1200-000027000000}">
      <text>
        <r>
          <rPr>
            <sz val="9"/>
            <color indexed="81"/>
            <rFont val="Tahoma"/>
            <family val="2"/>
          </rPr>
          <t xml:space="preserve">
Seleccionar
</t>
        </r>
      </text>
    </comment>
    <comment ref="B33" authorId="0" shapeId="0" xr:uid="{00000000-0006-0000-1200-000028000000}">
      <text>
        <r>
          <rPr>
            <sz val="9"/>
            <color indexed="81"/>
            <rFont val="Tahoma"/>
            <family val="2"/>
          </rPr>
          <t xml:space="preserve">
Seleccionar
</t>
        </r>
      </text>
    </comment>
    <comment ref="D33" authorId="0" shapeId="0" xr:uid="{00000000-0006-0000-1200-000029000000}">
      <text>
        <r>
          <rPr>
            <sz val="9"/>
            <color indexed="81"/>
            <rFont val="Tahoma"/>
            <family val="2"/>
          </rPr>
          <t xml:space="preserve">
Seleccionar
</t>
        </r>
      </text>
    </comment>
    <comment ref="F33" authorId="0" shapeId="0" xr:uid="{00000000-0006-0000-1200-00002A000000}">
      <text>
        <r>
          <rPr>
            <sz val="9"/>
            <color indexed="81"/>
            <rFont val="Tahoma"/>
            <family val="2"/>
          </rPr>
          <t xml:space="preserve">
Seleccionar
</t>
        </r>
      </text>
    </comment>
    <comment ref="B38" authorId="0" shapeId="0" xr:uid="{00000000-0006-0000-1200-00002B000000}">
      <text>
        <r>
          <rPr>
            <sz val="9"/>
            <color indexed="81"/>
            <rFont val="Tahoma"/>
            <family val="2"/>
          </rPr>
          <t xml:space="preserve">
Seleccionar
</t>
        </r>
      </text>
    </comment>
    <comment ref="D38" authorId="0" shapeId="0" xr:uid="{00000000-0006-0000-1200-00002C000000}">
      <text>
        <r>
          <rPr>
            <sz val="9"/>
            <color indexed="81"/>
            <rFont val="Tahoma"/>
            <family val="2"/>
          </rPr>
          <t xml:space="preserve">
Seleccionar
</t>
        </r>
      </text>
    </comment>
    <comment ref="F38" authorId="0" shapeId="0" xr:uid="{00000000-0006-0000-1200-00002D000000}">
      <text>
        <r>
          <rPr>
            <sz val="9"/>
            <color indexed="81"/>
            <rFont val="Tahoma"/>
            <family val="2"/>
          </rPr>
          <t xml:space="preserve">
Seleccionar
</t>
        </r>
      </text>
    </comment>
    <comment ref="B39" authorId="0" shapeId="0" xr:uid="{00000000-0006-0000-1200-00002E000000}">
      <text>
        <r>
          <rPr>
            <sz val="9"/>
            <color indexed="81"/>
            <rFont val="Tahoma"/>
            <family val="2"/>
          </rPr>
          <t xml:space="preserve">
Seleccionar
</t>
        </r>
      </text>
    </comment>
    <comment ref="D39" authorId="0" shapeId="0" xr:uid="{00000000-0006-0000-1200-00002F000000}">
      <text>
        <r>
          <rPr>
            <sz val="9"/>
            <color indexed="81"/>
            <rFont val="Tahoma"/>
            <family val="2"/>
          </rPr>
          <t xml:space="preserve">
Seleccionar
</t>
        </r>
      </text>
    </comment>
    <comment ref="F39" authorId="0" shapeId="0" xr:uid="{00000000-0006-0000-1200-000030000000}">
      <text>
        <r>
          <rPr>
            <sz val="9"/>
            <color indexed="81"/>
            <rFont val="Tahoma"/>
            <family val="2"/>
          </rPr>
          <t xml:space="preserve">
Seleccionar
</t>
        </r>
      </text>
    </comment>
    <comment ref="B40" authorId="0" shapeId="0" xr:uid="{00000000-0006-0000-1200-000031000000}">
      <text>
        <r>
          <rPr>
            <sz val="9"/>
            <color indexed="81"/>
            <rFont val="Tahoma"/>
            <family val="2"/>
          </rPr>
          <t xml:space="preserve">
Seleccionar
</t>
        </r>
      </text>
    </comment>
    <comment ref="D40" authorId="0" shapeId="0" xr:uid="{00000000-0006-0000-1200-000032000000}">
      <text>
        <r>
          <rPr>
            <sz val="9"/>
            <color indexed="81"/>
            <rFont val="Tahoma"/>
            <family val="2"/>
          </rPr>
          <t xml:space="preserve">
Seleccionar
</t>
        </r>
      </text>
    </comment>
    <comment ref="F40" authorId="0" shapeId="0" xr:uid="{00000000-0006-0000-1200-000033000000}">
      <text>
        <r>
          <rPr>
            <sz val="9"/>
            <color indexed="81"/>
            <rFont val="Tahoma"/>
            <family val="2"/>
          </rPr>
          <t xml:space="preserve">
Seleccionar
</t>
        </r>
      </text>
    </comment>
    <comment ref="B41" authorId="0" shapeId="0" xr:uid="{00000000-0006-0000-1200-000034000000}">
      <text>
        <r>
          <rPr>
            <sz val="9"/>
            <color indexed="81"/>
            <rFont val="Tahoma"/>
            <family val="2"/>
          </rPr>
          <t xml:space="preserve">
Seleccionar
</t>
        </r>
      </text>
    </comment>
    <comment ref="D41" authorId="0" shapeId="0" xr:uid="{00000000-0006-0000-1200-000035000000}">
      <text>
        <r>
          <rPr>
            <sz val="9"/>
            <color indexed="81"/>
            <rFont val="Tahoma"/>
            <family val="2"/>
          </rPr>
          <t xml:space="preserve">
Seleccionar
</t>
        </r>
      </text>
    </comment>
    <comment ref="F41" authorId="0" shapeId="0" xr:uid="{00000000-0006-0000-1200-000036000000}">
      <text>
        <r>
          <rPr>
            <sz val="9"/>
            <color indexed="81"/>
            <rFont val="Tahoma"/>
            <family val="2"/>
          </rPr>
          <t xml:space="preserve">
Seleccionar
</t>
        </r>
      </text>
    </comment>
    <comment ref="B42" authorId="0" shapeId="0" xr:uid="{00000000-0006-0000-1200-000037000000}">
      <text>
        <r>
          <rPr>
            <sz val="9"/>
            <color indexed="81"/>
            <rFont val="Tahoma"/>
            <family val="2"/>
          </rPr>
          <t xml:space="preserve">
Seleccionar
</t>
        </r>
      </text>
    </comment>
    <comment ref="D42" authorId="0" shapeId="0" xr:uid="{00000000-0006-0000-1200-000038000000}">
      <text>
        <r>
          <rPr>
            <sz val="9"/>
            <color indexed="81"/>
            <rFont val="Tahoma"/>
            <family val="2"/>
          </rPr>
          <t xml:space="preserve">
Seleccionar
</t>
        </r>
      </text>
    </comment>
    <comment ref="F42" authorId="0" shapeId="0" xr:uid="{00000000-0006-0000-1200-000039000000}">
      <text>
        <r>
          <rPr>
            <sz val="9"/>
            <color indexed="81"/>
            <rFont val="Tahoma"/>
            <family val="2"/>
          </rPr>
          <t xml:space="preserve">
Seleccionar
</t>
        </r>
      </text>
    </comment>
    <comment ref="B43" authorId="0" shapeId="0" xr:uid="{00000000-0006-0000-1200-00003A000000}">
      <text>
        <r>
          <rPr>
            <sz val="9"/>
            <color indexed="81"/>
            <rFont val="Tahoma"/>
            <family val="2"/>
          </rPr>
          <t xml:space="preserve">
Seleccionar
</t>
        </r>
      </text>
    </comment>
    <comment ref="D43" authorId="0" shapeId="0" xr:uid="{00000000-0006-0000-1200-00003B000000}">
      <text>
        <r>
          <rPr>
            <sz val="9"/>
            <color indexed="81"/>
            <rFont val="Tahoma"/>
            <family val="2"/>
          </rPr>
          <t xml:space="preserve">
Seleccionar
</t>
        </r>
      </text>
    </comment>
    <comment ref="F43" authorId="0" shapeId="0" xr:uid="{00000000-0006-0000-1200-00003C000000}">
      <text>
        <r>
          <rPr>
            <sz val="9"/>
            <color indexed="81"/>
            <rFont val="Tahoma"/>
            <family val="2"/>
          </rPr>
          <t xml:space="preserve">
Seleccionar
</t>
        </r>
      </text>
    </comment>
    <comment ref="B44" authorId="0" shapeId="0" xr:uid="{00000000-0006-0000-1200-00003D000000}">
      <text>
        <r>
          <rPr>
            <sz val="9"/>
            <color indexed="81"/>
            <rFont val="Tahoma"/>
            <family val="2"/>
          </rPr>
          <t xml:space="preserve">
Seleccionar
</t>
        </r>
      </text>
    </comment>
    <comment ref="D44" authorId="0" shapeId="0" xr:uid="{00000000-0006-0000-1200-00003E000000}">
      <text>
        <r>
          <rPr>
            <sz val="9"/>
            <color indexed="81"/>
            <rFont val="Tahoma"/>
            <family val="2"/>
          </rPr>
          <t xml:space="preserve">
Seleccionar
</t>
        </r>
      </text>
    </comment>
    <comment ref="F44" authorId="0" shapeId="0" xr:uid="{00000000-0006-0000-1200-00003F000000}">
      <text>
        <r>
          <rPr>
            <sz val="9"/>
            <color indexed="81"/>
            <rFont val="Tahoma"/>
            <family val="2"/>
          </rPr>
          <t xml:space="preserve">
Seleccionar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RGRACIANO</author>
  </authors>
  <commentList>
    <comment ref="C10" authorId="0" shapeId="0" xr:uid="{00000000-0006-0000-1300-000001000000}">
      <text>
        <r>
          <rPr>
            <sz val="9"/>
            <color indexed="81"/>
            <rFont val="Tahoma"/>
            <family val="2"/>
          </rPr>
          <t xml:space="preserve">
Indicar el numeral dentro del Pliego de Condiciones, donde se encuentra el margen mínimo de mejora de la oferta</t>
        </r>
      </text>
    </comment>
    <comment ref="D13" authorId="1" shapeId="0" xr:uid="{00000000-0006-0000-1300-000002000000}">
      <text>
        <r>
          <rPr>
            <sz val="8"/>
            <color indexed="81"/>
            <rFont val="Tahoma"/>
            <family val="2"/>
          </rPr>
          <t>El precio de arranque inicia con la propuesta económica con el precio más bajo.</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s>
  <commentList>
    <comment ref="B5" authorId="0" shapeId="0" xr:uid="{8DB1167E-52B9-462F-A7DF-4FBC08E8BC41}">
      <text>
        <r>
          <rPr>
            <b/>
            <sz val="9"/>
            <color indexed="81"/>
            <rFont val="Tahoma"/>
            <family val="2"/>
          </rPr>
          <t>2022</t>
        </r>
      </text>
    </comment>
    <comment ref="B6" authorId="0" shapeId="0" xr:uid="{16777158-2862-4F7B-AC05-7486F3E97D3D}">
      <text>
        <r>
          <rPr>
            <b/>
            <sz val="9"/>
            <color indexed="81"/>
            <rFont val="Tahoma"/>
            <family val="2"/>
          </rPr>
          <t>190-MEM2201-77</t>
        </r>
        <r>
          <rPr>
            <sz val="9"/>
            <color indexed="81"/>
            <rFont val="Tahoma"/>
            <family val="2"/>
          </rPr>
          <t xml:space="preserve">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Marlo Giovanny Florez Mejia</author>
    <author>Marcela Buitrago Monsalve</author>
  </authors>
  <commentList>
    <comment ref="D6" authorId="0" shapeId="0" xr:uid="{8505BDED-9FBD-4D4F-B262-EB76F8723C96}">
      <text>
        <r>
          <rPr>
            <b/>
            <sz val="9"/>
            <color indexed="81"/>
            <rFont val="Tahoma"/>
            <family val="2"/>
          </rPr>
          <t>190-MEM2112-8667</t>
        </r>
        <r>
          <rPr>
            <sz val="9"/>
            <color indexed="81"/>
            <rFont val="Tahoma"/>
            <family val="2"/>
          </rPr>
          <t xml:space="preserve">
</t>
        </r>
      </text>
    </comment>
    <comment ref="D7" authorId="0" shapeId="0" xr:uid="{88298A7F-820C-41D1-8DBD-CD2DAEE97AAF}">
      <text>
        <r>
          <rPr>
            <b/>
            <sz val="9"/>
            <color indexed="81"/>
            <rFont val="Tahoma"/>
            <family val="2"/>
          </rPr>
          <t>2022: $</t>
        </r>
        <r>
          <rPr>
            <sz val="9"/>
            <color indexed="81"/>
            <rFont val="Tahoma"/>
            <family val="2"/>
          </rPr>
          <t>1.000.000</t>
        </r>
      </text>
    </comment>
    <comment ref="D8" authorId="0" shapeId="0" xr:uid="{4E896328-4855-4C7E-90A2-6B59F2C1DB0F}">
      <text>
        <r>
          <rPr>
            <b/>
            <sz val="9"/>
            <color indexed="81"/>
            <rFont val="Tahoma"/>
            <family val="2"/>
          </rPr>
          <t>2022:</t>
        </r>
        <r>
          <rPr>
            <sz val="9"/>
            <color indexed="81"/>
            <rFont val="Tahoma"/>
            <family val="2"/>
          </rPr>
          <t xml:space="preserve"> $117.172
</t>
        </r>
      </text>
    </comment>
    <comment ref="G11" authorId="1" shapeId="0" xr:uid="{00000000-0006-0000-1800-000001000000}">
      <text>
        <r>
          <rPr>
            <sz val="9"/>
            <color indexed="81"/>
            <rFont val="Tahoma"/>
            <family val="2"/>
          </rPr>
          <t xml:space="preserve">
Al auxilio de transporte tiene derecho todo trabajador que tenga un sueldo de hasta dos salarios mínimos mensuales (Ley 15 de 1959).</t>
        </r>
      </text>
    </comment>
    <comment ref="B25" authorId="1" shapeId="0" xr:uid="{00000000-0006-0000-1800-000002000000}">
      <text>
        <r>
          <rPr>
            <b/>
            <sz val="9"/>
            <color indexed="81"/>
            <rFont val="Tahoma"/>
            <family val="2"/>
          </rPr>
          <t>Marcela Buitrago Monsalve:</t>
        </r>
        <r>
          <rPr>
            <sz val="9"/>
            <color indexed="81"/>
            <rFont val="Tahoma"/>
            <family val="2"/>
          </rPr>
          <t xml:space="preserve">
 Sobre cesantías</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900-000001000000}">
      <text>
        <r>
          <rPr>
            <b/>
            <sz val="9"/>
            <color indexed="81"/>
            <rFont val="Tahoma"/>
            <family val="2"/>
          </rPr>
          <t>Marcela Buitrago Monsalve:</t>
        </r>
        <r>
          <rPr>
            <sz val="9"/>
            <color indexed="81"/>
            <rFont val="Tahoma"/>
            <family val="2"/>
          </rPr>
          <t xml:space="preserve">
Departamento administrativo de la función pública</t>
        </r>
      </text>
    </comment>
    <comment ref="C11" authorId="0" shapeId="0" xr:uid="{00000000-0006-0000-1900-000002000000}">
      <text>
        <r>
          <rPr>
            <sz val="9"/>
            <color indexed="81"/>
            <rFont val="Tahoma"/>
            <family val="2"/>
          </rPr>
          <t xml:space="preserve">
Salario 2021 con aumento del 7,26% 
(acuerdo colectivo inflación + 1,64 puntos
 = 5,62% + 1,64% = 7,26%)  </t>
        </r>
      </text>
    </comment>
    <comment ref="D11" authorId="0" shapeId="0" xr:uid="{00000000-0006-0000-1900-000003000000}">
      <text>
        <r>
          <rPr>
            <sz val="9"/>
            <color indexed="81"/>
            <rFont val="Tahoma"/>
            <family val="2"/>
          </rPr>
          <t xml:space="preserve">
Factor prestacional del 67%</t>
        </r>
      </text>
    </comment>
    <comment ref="E11" authorId="0" shapeId="0" xr:uid="{00000000-0006-0000-1900-000004000000}">
      <text>
        <r>
          <rPr>
            <sz val="9"/>
            <color indexed="81"/>
            <rFont val="Tahoma"/>
            <family val="2"/>
          </rPr>
          <t xml:space="preserve">
Promedio 21 día laborables al mes</t>
        </r>
      </text>
    </comment>
    <comment ref="F11" authorId="0" shapeId="0" xr:uid="{00000000-0006-0000-1900-000005000000}">
      <text>
        <r>
          <rPr>
            <sz val="9"/>
            <color indexed="81"/>
            <rFont val="Tahoma"/>
            <family val="2"/>
          </rPr>
          <t xml:space="preserve">
Promedio 8,8 horas laborables al día</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s>
  <commentList>
    <comment ref="A6" authorId="0" shapeId="0" xr:uid="{00000000-0006-0000-1A00-000001000000}">
      <text>
        <r>
          <rPr>
            <sz val="9"/>
            <color indexed="81"/>
            <rFont val="Tahoma"/>
            <family val="2"/>
          </rPr>
          <t xml:space="preserve">
Subdirección Participación y Cultura</t>
        </r>
      </text>
    </comment>
    <comment ref="A50" authorId="0" shapeId="0" xr:uid="{00000000-0006-0000-1A00-000002000000}">
      <text>
        <r>
          <rPr>
            <sz val="9"/>
            <color indexed="81"/>
            <rFont val="Tahoma"/>
            <family val="2"/>
          </rPr>
          <t xml:space="preserve">
Inflación anual vigencia anterior certificada por el DANE</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Marcela Buitrago Monsalve</author>
    <author>Marlo Giovanny Florez Mejia</author>
  </authors>
  <commentList>
    <comment ref="A6" authorId="0" shapeId="0" xr:uid="{00000000-0006-0000-1C00-000001000000}">
      <text>
        <r>
          <rPr>
            <sz val="9"/>
            <color indexed="81"/>
            <rFont val="Tahoma"/>
            <family val="2"/>
          </rPr>
          <t>Dirección general</t>
        </r>
      </text>
    </comment>
    <comment ref="B6" authorId="1" shapeId="0" xr:uid="{7FF97774-B091-465E-81AF-35C461D1A16B}">
      <text>
        <r>
          <rPr>
            <b/>
            <sz val="9"/>
            <color indexed="81"/>
            <rFont val="Tahoma"/>
            <family val="2"/>
          </rPr>
          <t>040-CIR2205-12</t>
        </r>
        <r>
          <rPr>
            <sz val="9"/>
            <color indexed="81"/>
            <rFont val="Tahoma"/>
            <family val="2"/>
          </rPr>
          <t xml:space="preserve">
</t>
        </r>
      </text>
    </comment>
    <comment ref="B8" authorId="1" shapeId="0" xr:uid="{1103EC54-6C69-4AA9-958A-344D15903D04}">
      <text>
        <r>
          <rPr>
            <b/>
            <sz val="9"/>
            <color indexed="81"/>
            <rFont val="Tahoma"/>
            <family val="2"/>
          </rPr>
          <t>2022:</t>
        </r>
        <r>
          <rPr>
            <sz val="9"/>
            <color indexed="81"/>
            <rFont val="Tahoma"/>
            <family val="2"/>
          </rPr>
          <t xml:space="preserve"> $1.000.000
</t>
        </r>
      </text>
    </comment>
    <comment ref="B9" authorId="1" shapeId="0" xr:uid="{49B6A594-8BA1-4340-ADA4-8C3E2007ABEE}">
      <text>
        <r>
          <rPr>
            <b/>
            <sz val="9"/>
            <color indexed="81"/>
            <rFont val="Tahoma"/>
            <family val="2"/>
          </rPr>
          <t>2022:</t>
        </r>
        <r>
          <rPr>
            <sz val="9"/>
            <color indexed="81"/>
            <rFont val="Tahoma"/>
            <family val="2"/>
          </rPr>
          <t xml:space="preserve"> $192.367.938.015</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Usuario</author>
  </authors>
  <commentList>
    <comment ref="C10" authorId="0" shapeId="0" xr:uid="{00000000-0006-0000-1F00-000001000000}">
      <text>
        <r>
          <rPr>
            <sz val="9"/>
            <color indexed="81"/>
            <rFont val="Tahoma"/>
            <family val="2"/>
          </rPr>
          <t xml:space="preserve">
32% - 2020
31% - 2021
30% - 2020</t>
        </r>
      </text>
    </comment>
    <comment ref="C14" authorId="0" shapeId="0" xr:uid="{00000000-0006-0000-1F00-000002000000}">
      <text>
        <r>
          <rPr>
            <sz val="9"/>
            <color indexed="81"/>
            <rFont val="Tahoma"/>
            <family val="2"/>
          </rPr>
          <t xml:space="preserve">
Anotar el porcentaje corrrespondiente:
0,5% - Contrato con valor entre 1 y 2000 SMMLV
1,0% - Contrato con valor entre 2001 y 6000 SMMLV
2,0% - Contrato con valor superior a 6000 SMMLV</t>
        </r>
      </text>
    </comment>
    <comment ref="C17" authorId="0" shapeId="0" xr:uid="{00000000-0006-0000-1F00-000003000000}">
      <text>
        <r>
          <rPr>
            <sz val="9"/>
            <color indexed="81"/>
            <rFont val="Tahoma"/>
            <family val="2"/>
          </rPr>
          <t xml:space="preserve">
32% - 2020
31% - 2021
30% - 2020</t>
        </r>
      </text>
    </comment>
    <comment ref="C21" authorId="0" shapeId="0" xr:uid="{00000000-0006-0000-1F00-000004000000}">
      <text>
        <r>
          <rPr>
            <sz val="9"/>
            <color indexed="81"/>
            <rFont val="Tahoma"/>
            <family val="2"/>
          </rPr>
          <t xml:space="preserve">
Anotar el porcentaje corrrespondiente:
0,5% - Contrato con valor entre 1 y 2000 SMMLV
1,0% - Contrato con valor entre 2001 y 6000 SMMLV
2,0% - Contrato con valor superior a 6000 SMMLV</t>
        </r>
      </text>
    </comment>
    <comment ref="C25" authorId="0" shapeId="0" xr:uid="{00000000-0006-0000-1F00-000005000000}">
      <text>
        <r>
          <rPr>
            <sz val="9"/>
            <color indexed="81"/>
            <rFont val="Tahoma"/>
            <family val="2"/>
          </rPr>
          <t xml:space="preserve">
32% - 2020
31% - 2021
30% - 2020</t>
        </r>
      </text>
    </comment>
    <comment ref="C34" authorId="0" shapeId="0" xr:uid="{00000000-0006-0000-1F00-000006000000}">
      <text>
        <r>
          <rPr>
            <sz val="9"/>
            <color indexed="81"/>
            <rFont val="Tahoma"/>
            <family val="2"/>
          </rPr>
          <t xml:space="preserve">
Aún no se ha adoptado a nivel departamental</t>
        </r>
      </text>
    </comment>
    <comment ref="C37" authorId="0" shapeId="0" xr:uid="{00000000-0006-0000-1F00-000007000000}">
      <text>
        <r>
          <rPr>
            <sz val="9"/>
            <color indexed="81"/>
            <rFont val="Tahoma"/>
            <family val="2"/>
          </rPr>
          <t xml:space="preserve">
32% - 2020
31% - 2021
30% - 2020</t>
        </r>
      </text>
    </comment>
    <comment ref="C41" authorId="0" shapeId="0" xr:uid="{00000000-0006-0000-1F00-000008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2" authorId="0" shapeId="0" xr:uid="{00000000-0006-0000-1F00-000009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3" authorId="0" shapeId="0" xr:uid="{00000000-0006-0000-1F00-00000A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4" authorId="0" shapeId="0" xr:uid="{00000000-0006-0000-1F00-00000B000000}">
      <text>
        <r>
          <rPr>
            <sz val="9"/>
            <color indexed="81"/>
            <rFont val="Tahoma"/>
            <family val="2"/>
          </rPr>
          <t xml:space="preserve">
Diligenciar, con la tarifa estipulada por la entidad territorial en el acto administrativo (acuerdo) mediante el cual se adoptó la Estampilla en su jurisdicción</t>
        </r>
      </text>
    </comment>
    <comment ref="C45" authorId="0" shapeId="0" xr:uid="{00000000-0006-0000-1F00-00000C000000}">
      <text>
        <r>
          <rPr>
            <sz val="9"/>
            <color indexed="81"/>
            <rFont val="Tahoma"/>
            <family val="2"/>
          </rPr>
          <t xml:space="preserve">
Diligenciar, con la tarifa estipulada por la entidad territorial en el acto administrativo (acuerdo) mediante el cual se adoptó la Estampilla en su jurisdicción</t>
        </r>
      </text>
    </comment>
  </commentList>
</comments>
</file>

<file path=xl/sharedStrings.xml><?xml version="1.0" encoding="utf-8"?>
<sst xmlns="http://schemas.openxmlformats.org/spreadsheetml/2006/main" count="2790" uniqueCount="1551">
  <si>
    <t>SISTEMA DE GESTIÓN INTEGRAL - SGI</t>
  </si>
  <si>
    <t>INSTRUCTIVO - COMPONENTE FINANCIERO EP</t>
  </si>
  <si>
    <t>CÓDIGO: F-PGC-21</t>
  </si>
  <si>
    <t>VERSIÓN: 04</t>
  </si>
  <si>
    <t>Color</t>
  </si>
  <si>
    <t>Hoja</t>
  </si>
  <si>
    <t>Celda</t>
  </si>
  <si>
    <t>Gris</t>
  </si>
  <si>
    <t>Informativa</t>
  </si>
  <si>
    <t>Azul</t>
  </si>
  <si>
    <t>Protegida</t>
  </si>
  <si>
    <t>Vinotinto</t>
  </si>
  <si>
    <t>Formatos</t>
  </si>
  <si>
    <t>Morado</t>
  </si>
  <si>
    <t>Variables</t>
  </si>
  <si>
    <t>Para un mejor diligenciamiento de los formatos y uso de las variables y hojas informativas que se encuentran en este libro, se recomienda, antes de empezar a diligenciar, leer el instructivo, que se encuentra consignado en la presente hoja, igualmente, cada hoja contiene un número significativo de comentarios, los cuales, pretenden ayudar al diligenciamiento, se recomienda leerlos y aplicarlos de manera atenta. 
En caso de requerir apoyo, favor comunicarse con el asesor(a) financiero(a) asignado para el proceso.</t>
  </si>
  <si>
    <t>HOJAS INFORMATIVAS</t>
  </si>
  <si>
    <t>Nombre</t>
  </si>
  <si>
    <t>Descripción</t>
  </si>
  <si>
    <t>Cuantías de contratación (por pluralidad de oferentes)</t>
  </si>
  <si>
    <t>En la hoja se encuentran los valores establecidos anualmente, para identificar dentro de la contratación por pluralidad de oferentes, de acuerdo al valor del presupuesto, si se clasifica dentro de una mínima cuantía, menor cuantía o licitación pública, en los casos que aplique.</t>
  </si>
  <si>
    <t>Documentos de apoyo</t>
  </si>
  <si>
    <t>En la hoja se encuentran listas enunciativas de documentos de apoyo, que pueden presentar interés, al igual, que guíar el accionar en el ámbito general de la contratación pública y específico de la asesoría financiera a la misma.
Se deberá considerar que las listas no son exhaustivas, es decir, no contemplan todos los documentos de cada categoría, al igual, que depende de la actualización constante de la Subdirección Administrativa y Financiera.</t>
  </si>
  <si>
    <t>Impuestos y garantías</t>
  </si>
  <si>
    <t>En la hoja se encuentra una lista enunciativa de los impuestos y las garantías en los que puede incurrir el ejecutor, las cuales dependen de la especificidad del proceso. 
La lista es de carácter informativa en caso que se emitan consultas al respecto.</t>
  </si>
  <si>
    <t>Información anticipos y pagos anticipados</t>
  </si>
  <si>
    <t>En la hoja se encuentra una corta explicación sobre la consideración normativa de los anticipos y pagos anticipados, que tiene como objeto orientar respecto a este tema de frecuente consulta e inquietud; tema sobre el cual, se requiere tener claridad para la estipulación de la ejecución física y financiera de los procesos.</t>
  </si>
  <si>
    <t>Información procesos de obra pública y capacidad residual (K)</t>
  </si>
  <si>
    <t>En la hoja se encuentra una corta explicación sobre los procesos de obra, y el cálculo de la capacidad residual (K) en los casos que se requiera, que tiene como objeto suministrar información de interés general respecto a este tema de frecuente consulta e inquietud; tener en cuenta que este tema es de competencia tanto jurídica como técnica y financiera.</t>
  </si>
  <si>
    <t>Información IVA</t>
  </si>
  <si>
    <t>En la hoja se encuentra una corta explicación sobre las consideraciones respecto al IVA, que tiene como objeto orientar respecto a este tema de frecuente consulta e inquietud.</t>
  </si>
  <si>
    <t>Notas propuesta económica</t>
  </si>
  <si>
    <t>En la hoja se encuentra una lista enunciativa de notas, las cuales deberán ser elegidas de acuerdo a la especificidad del proceso contractual, con el fin de incluirlas en el formato de propuesta económica. 
Las notas tienen como objeto orientar a los oferentes en el diligenciamiento de dicho formato.</t>
  </si>
  <si>
    <t>Requisitos habilitantes capacidad financiera y organizacional</t>
  </si>
  <si>
    <t>En la hoja se encuentran los requisitos de capacidad financiera y organizacional vigentes</t>
  </si>
  <si>
    <t>FORMATOS (PARA DILIGENCIAR)</t>
  </si>
  <si>
    <t>DILIGENCIAR EN CASO DE:</t>
  </si>
  <si>
    <t>Contratos por contratación directa</t>
  </si>
  <si>
    <t>Contratos por pluralidad de oferentes</t>
  </si>
  <si>
    <t>Convenios</t>
  </si>
  <si>
    <t>DILIGENCIAR PARA EVALUACIÓN POR PARTE DEL COMITÉ DE CONTRATACIÓN (Asesor técnico)</t>
  </si>
  <si>
    <r>
      <t xml:space="preserve">Se recomienda que el asesor técnico para la planeación financiera del proceso contractual, empiece con el diligenciamiento paralelo de la memoria de cálculo con su debido estudio de mercado, para seguir con la estipulación de los gastos de administración, si aplican. En un segundo momento, se recomienda diligenciar, el presupuesto de acuerdo a la modalidad del proceso, y el plan de ejecución física y de inversiones. El técnico podrá anexar al presente libro las hojas que considere necesarias con el fin de suportar la estimación de los valores.
</t>
    </r>
    <r>
      <rPr>
        <b/>
        <sz val="10"/>
        <rFont val="Arial"/>
        <family val="2"/>
      </rPr>
      <t>NOTA:</t>
    </r>
    <r>
      <rPr>
        <sz val="10"/>
        <rFont val="Arial"/>
        <family val="2"/>
      </rPr>
      <t xml:space="preserve"> Se recomienda iniciar escribiendo en el formato del Plan de ejecución los datos básicos de modalidad de contratación y objeto a contratar, ya que está información alimenta a las demás hojas.</t>
    </r>
  </si>
  <si>
    <t>Plan de ejecución física y de inversiones</t>
  </si>
  <si>
    <t>Diligenciar la programación física y financiera del proceso, tanto en la étapa inicial, como en el caso de solicitud de Otrosí de adición de recursos o prórroga, o cuando el Otrosí de modificación implique cambios en el presupuesto.</t>
  </si>
  <si>
    <t>X</t>
  </si>
  <si>
    <t>Plan de ejecución física y de inversiones - Prestación de Servicios Personales</t>
  </si>
  <si>
    <t>Diligenciar exclusivamente para los contratos de Prestación de Servicios Personales que suscribe la Corporación con una persona natural. Este formato simplificado permite la programación física y financiera del proceso, tanto en la étapa inicial, como en el caso de solicitud de Otrosí de adición de recursos o prórroga, o cuando el Otrosí de modificación implique cambios en el presupuesto.</t>
  </si>
  <si>
    <t>Presupuesto - Modalidad contrato</t>
  </si>
  <si>
    <t>Diligenciar en caso que el proceso se tipifique dentro de las modalidades de contratos. El presupuesto es un documento donde se plasman los recursos económicos requeridos para llevar a cabo de manera exitosa el proceso contractual.</t>
  </si>
  <si>
    <t>Presupuesto - Modalidad contrato - Prestación de Servicios Personales</t>
  </si>
  <si>
    <t>Diligenciar exclusivamente para los contratos de Prestación de Servicios Personales que suscribe la Corporación con una persona natural. En este formato simplificado se plasma el presupuesto, donde se relacionan los recursos económicos requeridos para llevar a cabo de manera exitosa el proceso contractual.</t>
  </si>
  <si>
    <t>Presupuesto - Modalidad convenio</t>
  </si>
  <si>
    <t>Diligenciar en caso que el proceso se tipifique dentro de las modalidades de convenios. El presupuesto es un documento donde se plasman los recursos económicos requeridos para llevar a cabo de manera exitosa el proceso contractual.</t>
  </si>
  <si>
    <t>Memoria de cálculo - Opción 1</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</si>
  <si>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la compra de productos terminados, bienes con características homogéneas, o bienes y servicios que se valoren a todo costo, entre otras opciones, por ejemplo: compra de equipos o insumos.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</si>
  <si>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Se seleccionará el formato de memoria de cálculo que mejor se adapte a las características del proceso, alcance y/o actividad a valorar.</t>
  </si>
  <si>
    <t>Memoria de cálculo - Opción 2</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</si>
  <si>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los procesos de obra.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</si>
  <si>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Memoria de cálculo - Opción 3</t>
  </si>
  <si>
    <r>
      <t xml:space="preserve">Diligenciar de acuerdo a las características del proceso, alcance y/o actividad. La memoria de cálculo es un documento descriptivo donde se refleja de manera exhaustiva y detallada, todos y cada uno de los elementos que intervienen en el proceso, alcance y/o actividad que se está valorando. 
Esta memoria de cálculo es útil para procesos que requieran detallar todos los elementos del costo, por ejemplo, realización de talleres, donde se debe considerar los materiales, los refrigerios, alquiler de equipos, entre otros.
</t>
    </r>
    <r>
      <rPr>
        <b/>
        <sz val="10"/>
        <rFont val="Arial"/>
        <family val="2"/>
      </rPr>
      <t>Nota: Tener en cuenta que para valorar una variable o ítem se utiliza una sola memoria de cálculo y no las tres opciones, por ejemplo, si se quiere valorar la adquisición de 1 equipo de cómputo, dicha adquisición se deja consignada en solo una de las memorias de cálculo, no se tiene que utilizar las tres opciones para este mismo ítem.</t>
    </r>
  </si>
  <si>
    <t>Estudio de mercado</t>
  </si>
  <si>
    <t>Un estudio de mercado es el proceso mediante el cual, se recoge y análiza información que sirve para identificar las características, valores y condiciones del bien o servicio a adquirir, con el fin de obtenerlos acuerdo a las estipulaciones del mercado, bajo el principio de plena competencia. 
En la corporación el estudio de mercado se realiza mediante la identificación de valores por medio de cotizaciones debidamente radicadas, valores históricos de los bienes y servicios de interés, recolección de información de sitios de internet soportados con los debidos pantallazos, y demás información de diferentes fuentes con sus correspondientes medios de verificación. El estudio de mercado no se puede confundir con el estudio de sector, este último, requerido solo para algunos procesos contractuales.
En el estudio de mercado, pueden hacer parte, debidamente soportados o en todo caso que permita realizar la trazabilidad, los valores establecidos en otros procesos contractuales para los mismos bienes y servicios, de la misma vigencia o de anteriores vigencias, en caso de utilizar valores de vigencias anteriores se deberá realizar la respectiva actualización con la inflación anual de la o las vigencias pasadas.</t>
  </si>
  <si>
    <t>Determinación de gastos de administración</t>
  </si>
  <si>
    <t>Diligenciar para determinar el porcentaje de los gastos de administración o administración del proceso, de acuerdo a las características del mismo, considerando no tener duplicidad en ítems ya contemplados en el presupuesto general del proceso.</t>
  </si>
  <si>
    <t>Identificación de bienes nacionales relevantes</t>
  </si>
  <si>
    <t xml:space="preserve">Diligenciar para identificar los bienes nacionales relevantes en los procesos que apliquen. </t>
  </si>
  <si>
    <t>DILIGENCIAR COMO PARTE DE LOS DOCUMENTOS A SUBIR A LA PLATAFORMA SECOP (Asesor financiero)</t>
  </si>
  <si>
    <t>Propuesta económica - Opción 1</t>
  </si>
  <si>
    <t>Diligenciar con el objeto de suministrarle a los oferentes la estructura y condiciones de la presentación de las respectivas propuestas económicas, se recomienda su uso para procesos que se hayan planeado en el formato memoria de cálculo - opción 1.</t>
  </si>
  <si>
    <t>Propuesta económica - Opción 2</t>
  </si>
  <si>
    <t>Diligenciar con el objeto de suministrarle a los oferentes la estructura y condiciones de la presentación de las respectivas propuestas económicas, se recomienda su uso para procesos que se hayan planeado en el formato memoria de cálculo - opción 2.</t>
  </si>
  <si>
    <t>Propuesta económica - Opción 3</t>
  </si>
  <si>
    <t>Diligenciar con el objeto de suministrarle a los oferentes la estructura y condiciones de la presentación de las respectivas propuestas económicas, se recomienda su uso para procesos que se hayan planeado en el formato memoria de cálculo - opción 3.</t>
  </si>
  <si>
    <t>Estimación PAB comparación absoluta</t>
  </si>
  <si>
    <t>Diligenciar con el objeto realizar el acta del Precio Artificialmente Bajo (PAB). La cual, se elabora paralelamente con el formato de propuesta económica para el proceso.</t>
  </si>
  <si>
    <t>DILIGENCIAR PARA EVALUACIÓN FINANCIERA DE OFERENTES (Asesor financiero)</t>
  </si>
  <si>
    <t>Verificación de requisitos habilitantes de los proponentes sobre capacidad financiera y organizacional</t>
  </si>
  <si>
    <t>Diligenciar con el fin de consignar la verificación de los requisitos habilitantes de los proponentes, sobre capacidad financiera y organizacional, en los casos que apliquen.</t>
  </si>
  <si>
    <t>Estimación PAB comparación relativa</t>
  </si>
  <si>
    <t>Diligenciar solamente en el caso que sea necesario aplicar la metodología de comparación relativa, es decir, cuando se hayan presentado más de 5 ofertas, con el fin de evaluar los PAB de los oferentes.</t>
  </si>
  <si>
    <t>DILIGENCIAR EN CASO DE PROCESOS DE SELECCIÓN ABREVIADA POR SUBASTA INVERSA (Asesor financiero)</t>
  </si>
  <si>
    <t>Subasta inversa - Análisis de habilitados</t>
  </si>
  <si>
    <t>Diligenciar (de manera física o virtual) en caso de realizarse una subasta inversa</t>
  </si>
  <si>
    <t>Subasta inversa presencial - Análisis de lances</t>
  </si>
  <si>
    <t>Diligenciar (de manera física o virtual) en caso de realizarse una subasta inversa presencial</t>
  </si>
  <si>
    <t>Subasta inversa presencial - Lances de precios</t>
  </si>
  <si>
    <t>Imprimir para diligenciar de manera física por parte de los oferentes, en caso de realizarse una subasta inversa presencial</t>
  </si>
  <si>
    <t>Subasta inversa presencial - Declinación de lances</t>
  </si>
  <si>
    <t>VARIABLES (ESTIPULACIÓN DE VALORES DE CARÁCTER CORPORATIVO)</t>
  </si>
  <si>
    <t>Valores de gastos de desplazamiento y manutención</t>
  </si>
  <si>
    <t>Determinación de los valores de los gastos de desplazamiento (transporte) y manutención (alimentación y/o alojamiento) a reconocer en las comisiones que se requieran realizar en la ejecución del proceso contractual.</t>
  </si>
  <si>
    <t>Valores de honorarios (prestadores de servicios)</t>
  </si>
  <si>
    <t>Determinación de los valores para el reconocimiento de los honorarios a pagar en el caso de vinculación por contrato de prestación de servicios personales (contrato civil).</t>
  </si>
  <si>
    <t>Valores de jornales</t>
  </si>
  <si>
    <t>Determinación de los valores para el reconocimiento del pago, cuando el mismo se realiza de manera diaria al trabajador.</t>
  </si>
  <si>
    <t>Valores de salarios</t>
  </si>
  <si>
    <t>Determinación de los valores de los salarios percibidos por el personal con vinculación laboral a la corporación, estos valores se utilizan únicamente para cuantificar el aporte en especie corporativo de su personal, en los casos que aplique.</t>
  </si>
  <si>
    <t>Valores de alimentación</t>
  </si>
  <si>
    <t>Determinación de los valores a reconocer por el suministro de alimentación, tales como refrigerios y almuerzos, entre otros.</t>
  </si>
  <si>
    <t>Valores de distintivos corporativos</t>
  </si>
  <si>
    <t xml:space="preserve">Determinación de los valores a reconocer por el suministro de distintivos corporativos, tales como gorras, pavas, camisetas, chalecos, entre otros. </t>
  </si>
  <si>
    <r>
      <rPr>
        <b/>
        <u/>
        <sz val="10"/>
        <rFont val="Arial"/>
        <family val="2"/>
      </rPr>
      <t>Nota 1</t>
    </r>
    <r>
      <rPr>
        <sz val="10"/>
        <rFont val="Arial"/>
        <family val="2"/>
      </rPr>
      <t>: El presente libro en excel contiene los formatos y variables de frecuente y general uso para la planeación financiera de los procesos contractuales de la entidad, los mismos se diligenciarán y utilizarán de acuerdo a la especificidad del proceso, el diligenciamiento es de responsabilidad del técnico del proceso (a excepción de los formatos donde expresamente se señale que el diligenciamiento es por el asesor financiero), el cual, tendrá acompañamiento por parte del respectivo asesor financiero del proceso. 
En caso de no requerir una o varias hojas del presente libro, favor ocultarlas (no eliminarlas).</t>
    </r>
  </si>
  <si>
    <r>
      <rPr>
        <b/>
        <u/>
        <sz val="10"/>
        <rFont val="Arial"/>
        <family val="2"/>
      </rPr>
      <t>Nota 2</t>
    </r>
    <r>
      <rPr>
        <sz val="10"/>
        <rFont val="Arial"/>
        <family val="2"/>
      </rPr>
      <t xml:space="preserve">: En los contratos por pluralidad de oferentes al momento de subir el presente libro a la plataforma SECOP, el asesor jurídico y el asesor técnico deberán coordinar con el asesor financiero las hojas del presente libro a publicar y su debida protección, considerando que se recomienda dejar visibles las hojas que hayan sido diligenciadas o se hayan utilizado para el diligenciamiento del presupuesto y el soporte de las estimaciones del mismo, en los casos que se puedan, lo que implica que las demás hojas se deben ocultar, y el libro proteger, con el fin de evitar confusiones innecesarias a los posibles oferentes. 
Así mismo, con el fin de proporcionarles claridades a las oferentes, se publicará la hoja de propuesta económica que estos deben diligenciar aparte del libro con las hojas de la planeación del proceso, y se debe ocultar la hoja de la estimación del PAB por comparación absoluta.
</t>
    </r>
    <r>
      <rPr>
        <b/>
        <u/>
        <sz val="10"/>
        <rFont val="Arial"/>
        <family val="2"/>
      </rPr>
      <t>En todo caso, para la publicación de la información, se debe considerar lo dispuesto en el Decreto 1510 de 2013 artículos 19 y 20.</t>
    </r>
  </si>
  <si>
    <r>
      <rPr>
        <b/>
        <u/>
        <sz val="10"/>
        <rFont val="Arial"/>
        <family val="2"/>
      </rPr>
      <t>Nota 3</t>
    </r>
    <r>
      <rPr>
        <sz val="10"/>
        <rFont val="Arial"/>
        <family val="2"/>
      </rPr>
      <t xml:space="preserve">: La actualización del presente libro es responsabilidad de la Subdirección Administrativa y Financiera, quien actualizará los formatos en caso de alguna novedad, y actualizará las variables a inicio de cada año con la expedición del respectivo memorando, en caso de las variables que se actualicen por parte de otras dependencias, por ejemplo, costos de alimentación por parte de la Subdirección de Cultura y Participación, o Distintivos por parte de la Subdirección de Comunicaciones, la Subdirección Administrativa y Financiera actualizará la variable posterior a que la subdirección encargada emita el memorando, para estos casos, si hay cambio de vigencia (de un año a otro), se utilizará el valor que actualmente esté establecido por memorando, actualizado con la inflación anual de la o las vigencias pasadas, cifra a expresar redondeada a la centena más cercana. </t>
    </r>
  </si>
  <si>
    <t>Instructivo</t>
  </si>
  <si>
    <t>COMPONENTE FINANCIERO  EP - PLAN DE EJECUCIÓN FÍSICA Y DE INVERSIONES</t>
  </si>
  <si>
    <t>MODALIDAD DE CONTRATACIÓN:</t>
  </si>
  <si>
    <t>Licitación Pública</t>
  </si>
  <si>
    <t>OBJETO A CONTRATAR:</t>
  </si>
  <si>
    <t>“Adquirir el Programa de Seguros para la protección de los bienes e intereses, según los ramos y coberturas que requiera CORANTIOQUIA”.</t>
  </si>
  <si>
    <t>CONTRATISTA/CONVENIANTE:</t>
  </si>
  <si>
    <t>NOMBRE DEL TÉCNICO (A):</t>
  </si>
  <si>
    <t xml:space="preserve">DURACIÓN Y/O PLAZO DEL CONTRATO (MESES):  </t>
  </si>
  <si>
    <t>12 meses</t>
  </si>
  <si>
    <t xml:space="preserve">PERIODO DE PROGRAMACIÓN Y SEGUIMIENTO:  </t>
  </si>
  <si>
    <t>Mensual</t>
  </si>
  <si>
    <t>PROGRAMACIÓN FÍSICA</t>
  </si>
  <si>
    <t>% de importancia</t>
  </si>
  <si>
    <t>% de importancia subactividades</t>
  </si>
  <si>
    <t>Unidad de medida</t>
  </si>
  <si>
    <t xml:space="preserve">Cantidad Programada  </t>
  </si>
  <si>
    <t xml:space="preserve">Distribución física </t>
  </si>
  <si>
    <t>Período 1</t>
  </si>
  <si>
    <t>Período 2</t>
  </si>
  <si>
    <t>Período 3</t>
  </si>
  <si>
    <t>Período 4</t>
  </si>
  <si>
    <t>Período 5</t>
  </si>
  <si>
    <t>Período 6</t>
  </si>
  <si>
    <t>Período 7</t>
  </si>
  <si>
    <t>Período 8</t>
  </si>
  <si>
    <t>Período 9</t>
  </si>
  <si>
    <t>Período 10</t>
  </si>
  <si>
    <t>Período 11</t>
  </si>
  <si>
    <t>Período 12</t>
  </si>
  <si>
    <t>Período 13</t>
  </si>
  <si>
    <t>Período 14</t>
  </si>
  <si>
    <t>Período 15</t>
  </si>
  <si>
    <t>Período 16</t>
  </si>
  <si>
    <t>Período 17</t>
  </si>
  <si>
    <t>Período 18</t>
  </si>
  <si>
    <t>Período 19</t>
  </si>
  <si>
    <t>Período 20</t>
  </si>
  <si>
    <t>Período 21</t>
  </si>
  <si>
    <t>Período 22</t>
  </si>
  <si>
    <t>Período 23</t>
  </si>
  <si>
    <t>Período 24</t>
  </si>
  <si>
    <t>META/
PRODUCTO A OBTENER:</t>
  </si>
  <si>
    <t xml:space="preserve">Adquisición del Programa de Seguros </t>
  </si>
  <si>
    <t>Pólizas</t>
  </si>
  <si>
    <t>Alcance 1</t>
  </si>
  <si>
    <t xml:space="preserve">Amparar tanto los bienes muebles e inmuebles como aquellos que se encuentran bajo custodia de la Corporación, mediante la constitución de las pólizas requeridas </t>
  </si>
  <si>
    <t>Alcance 2</t>
  </si>
  <si>
    <t>Amparar contra el riesgo de muerte, incapacidad total y permanente, enfermedades graves y demás amparos descritos en las condiciones técnicas obligatorias a los funcionarios de CORANTIOQUIA</t>
  </si>
  <si>
    <t>Alcance 3</t>
  </si>
  <si>
    <t>Amparar la Responsabilidad Civil de los Servidores Públicos que están enunciados en las especificaciones técnicas a través de la constitución y expedición de la póliza Responsabilidad Civil de los Funcionarios Públicos</t>
  </si>
  <si>
    <t>Alcance 4</t>
  </si>
  <si>
    <t>Amparar las contingencias derivadas de los accidentes de tránsito que se produzcan en relación con los automotores de la Corporación, esto, mediante la expedición del Seguro Obligatorio de Accidentes de Tránsito – SOAT.</t>
  </si>
  <si>
    <t>Alcance 5</t>
  </si>
  <si>
    <t>Amparar el Cumplimiento, así como la Responsabilidad Civil Extracontractual de los contratos o convenios que en calidad de contratista suscriba la Corporación con otras entidades, en desarrollo de su objeto social.</t>
  </si>
  <si>
    <t>Subactividad 1.1.4</t>
  </si>
  <si>
    <t>Subactividad 1.1.5</t>
  </si>
  <si>
    <t>Actividad 1.2</t>
  </si>
  <si>
    <t>Subactividad 1.2.1</t>
  </si>
  <si>
    <t>Subactividad 1.2.2</t>
  </si>
  <si>
    <t>Subactividad 1.2.3</t>
  </si>
  <si>
    <t>Subactividad 1.2.4</t>
  </si>
  <si>
    <t>Subactividad 1.2.5</t>
  </si>
  <si>
    <t>Actividad 1.3</t>
  </si>
  <si>
    <t>Subactividad 1.3.1</t>
  </si>
  <si>
    <t>Subactividad 1.3.2</t>
  </si>
  <si>
    <t>Subactividad 1.3.3</t>
  </si>
  <si>
    <t>Subactividad 1.3.4</t>
  </si>
  <si>
    <t>Subactividad 1.3.5</t>
  </si>
  <si>
    <t>Actividad 1.4</t>
  </si>
  <si>
    <t>Subactividad 1.4.1</t>
  </si>
  <si>
    <t>Subactividad 1.4.2</t>
  </si>
  <si>
    <t>Subactividad 1.4.3</t>
  </si>
  <si>
    <t>Subactividad 1.4.4</t>
  </si>
  <si>
    <t>Subactividad 1.4.5</t>
  </si>
  <si>
    <t>Actividad 1.5</t>
  </si>
  <si>
    <t>Subactividad 1.5.1</t>
  </si>
  <si>
    <t>Subactividad 1.5.2</t>
  </si>
  <si>
    <t>Subactividad 1.5.3</t>
  </si>
  <si>
    <t>Subactividad 1.5.4</t>
  </si>
  <si>
    <t>Subactividad 1.5.5</t>
  </si>
  <si>
    <t>Actividad 1.6</t>
  </si>
  <si>
    <t>Subactividad 1.6.1</t>
  </si>
  <si>
    <t>Subactividad 1.6.2</t>
  </si>
  <si>
    <t>Subactividad 1.6.3</t>
  </si>
  <si>
    <t>Subactividad 1.6.4</t>
  </si>
  <si>
    <t>Subactividad 1.6.5</t>
  </si>
  <si>
    <t>Actividad 2.1</t>
  </si>
  <si>
    <t>Subactividad 2.1.1</t>
  </si>
  <si>
    <t>Subactividad 2.1.2</t>
  </si>
  <si>
    <t>Subactividad 2.1.3</t>
  </si>
  <si>
    <t>Subactividad 2.1.4</t>
  </si>
  <si>
    <t>Subactividad 2.1.5</t>
  </si>
  <si>
    <t>Actividad 2.2</t>
  </si>
  <si>
    <t>Subactividad 2.2.1</t>
  </si>
  <si>
    <t>Subactividad 2.2.2</t>
  </si>
  <si>
    <t>Subactividad 2.2.3</t>
  </si>
  <si>
    <t>Subactividad 2.2.4</t>
  </si>
  <si>
    <t>Subactividad 2.2.5</t>
  </si>
  <si>
    <t>Actividad 2.3</t>
  </si>
  <si>
    <t>Subactividad 2.3.1</t>
  </si>
  <si>
    <t>Subactividad 2.3.2</t>
  </si>
  <si>
    <t>Subactividad 2.3.3</t>
  </si>
  <si>
    <t>Subactividad 2.3.4</t>
  </si>
  <si>
    <t>Subactividad 2.3.5</t>
  </si>
  <si>
    <t>Actividad 2.4</t>
  </si>
  <si>
    <t>Subactividad 2.4.1</t>
  </si>
  <si>
    <t>Subactividad 2.4.2</t>
  </si>
  <si>
    <t>Subactividad 2.4.3</t>
  </si>
  <si>
    <t>Subactividad 2.4.4</t>
  </si>
  <si>
    <t>Subactividad 2.4.5</t>
  </si>
  <si>
    <t>Actividad 2.5</t>
  </si>
  <si>
    <t>Subactividad 2.5.1</t>
  </si>
  <si>
    <t>Subactividad 2.5.2</t>
  </si>
  <si>
    <t>Subactividad 2.5.3</t>
  </si>
  <si>
    <t>Subactividad 2.5.4</t>
  </si>
  <si>
    <t>Subactividad 2.5.5</t>
  </si>
  <si>
    <t>Actividad 3.1</t>
  </si>
  <si>
    <t>Subactividad 3.1.1</t>
  </si>
  <si>
    <t>Subactividad 3.1.2</t>
  </si>
  <si>
    <t>Subactividad 3.1.3</t>
  </si>
  <si>
    <t>Subactividad 3.1.4</t>
  </si>
  <si>
    <t>Subactividad 3.1.5</t>
  </si>
  <si>
    <t>Actividad 3.2</t>
  </si>
  <si>
    <t>Subactividad 3.2.1</t>
  </si>
  <si>
    <t>Subactividad 3.2.2</t>
  </si>
  <si>
    <t>Subactividad 3.2.3</t>
  </si>
  <si>
    <t>Subactividad 3.2.4</t>
  </si>
  <si>
    <t>Subactividad 3.2.5</t>
  </si>
  <si>
    <t>Actividad 3.3</t>
  </si>
  <si>
    <t>Subactividad 3.3.1</t>
  </si>
  <si>
    <t>Subactividad 3.3.2</t>
  </si>
  <si>
    <t>Subactividad 3.3.3</t>
  </si>
  <si>
    <t>Subactividad 3.3.4</t>
  </si>
  <si>
    <t>Subactividad 3.3.5</t>
  </si>
  <si>
    <t>Actividad 3.4</t>
  </si>
  <si>
    <t>Subactividad 3.4.1</t>
  </si>
  <si>
    <t>Subactividad 3.4.2</t>
  </si>
  <si>
    <t>Subactividad 3.4.3</t>
  </si>
  <si>
    <t>Subactividad 3.4.4</t>
  </si>
  <si>
    <t>Subactividad 3.4.5</t>
  </si>
  <si>
    <t>Actividad 3.5</t>
  </si>
  <si>
    <t>Subactividad 3.5.1</t>
  </si>
  <si>
    <t>Subactividad 3.5.2</t>
  </si>
  <si>
    <t>Subactividad 3.5.3</t>
  </si>
  <si>
    <t>Subactividad 3.5.4</t>
  </si>
  <si>
    <t>Subactividad 3.5.5</t>
  </si>
  <si>
    <t>Actividad 4.1</t>
  </si>
  <si>
    <t>Subactividad 4.1.1</t>
  </si>
  <si>
    <t>Subactividad 4.1.2</t>
  </si>
  <si>
    <t>Subactividad 4.1.3</t>
  </si>
  <si>
    <t>Subactividad 4.1.4</t>
  </si>
  <si>
    <t>Subactividad 4.1.5</t>
  </si>
  <si>
    <t>Actividad 4.2</t>
  </si>
  <si>
    <t>Subactividad 4.2.1</t>
  </si>
  <si>
    <t>Subactividad 4.2.2</t>
  </si>
  <si>
    <t>Subactividad 4.2.3</t>
  </si>
  <si>
    <t>Subactividad 4.2.4</t>
  </si>
  <si>
    <t>Subactividad 4.2.5</t>
  </si>
  <si>
    <t>Actividad 4.3</t>
  </si>
  <si>
    <t>Subactividad 4.3.1</t>
  </si>
  <si>
    <t>Subactividad 4.3.2</t>
  </si>
  <si>
    <t>Subactividad 4.3.3</t>
  </si>
  <si>
    <t>Subactividad 4.3.4</t>
  </si>
  <si>
    <t>Subactividad 4.3.5</t>
  </si>
  <si>
    <t>Actividad 4.4</t>
  </si>
  <si>
    <t>Subactividad 4.4.1</t>
  </si>
  <si>
    <t>Subactividad 4.4.2</t>
  </si>
  <si>
    <t>Subactividad 4.4.3</t>
  </si>
  <si>
    <t>Subactividad 4.4.4</t>
  </si>
  <si>
    <t>Subactividad 4.4.5</t>
  </si>
  <si>
    <t>Actividad 4.5</t>
  </si>
  <si>
    <t>Subactividad 4.5.1</t>
  </si>
  <si>
    <t>Subactividad 4.5.2</t>
  </si>
  <si>
    <t>Subactividad 4.5.3</t>
  </si>
  <si>
    <t>Subactividad 4.5.4</t>
  </si>
  <si>
    <t>Subactividad 4.5.5</t>
  </si>
  <si>
    <t>Actividad 5.1</t>
  </si>
  <si>
    <t>Subactividad 5.1.1</t>
  </si>
  <si>
    <t>Subactividad 5.1.2</t>
  </si>
  <si>
    <t>Subactividad 5.1.3</t>
  </si>
  <si>
    <t>Subactividad 5.1.4</t>
  </si>
  <si>
    <t>Subactividad 5.1.5</t>
  </si>
  <si>
    <t>Actividad 5.2</t>
  </si>
  <si>
    <t>Subactividad 5.2.1</t>
  </si>
  <si>
    <t>Subactividad 5.2.2</t>
  </si>
  <si>
    <t>Subactividad 5.2.3</t>
  </si>
  <si>
    <t>Subactividad 5.2.4</t>
  </si>
  <si>
    <t>Subactividad 5.2.5</t>
  </si>
  <si>
    <t>Actividad 5.3</t>
  </si>
  <si>
    <t>Subactividad 5.3.1</t>
  </si>
  <si>
    <t>Subactividad 5.3.2</t>
  </si>
  <si>
    <t>Subactividad 5.3.3</t>
  </si>
  <si>
    <t>Subactividad 5.3.4</t>
  </si>
  <si>
    <t>Subactividad 5.3.5</t>
  </si>
  <si>
    <t>Actividad 5.4</t>
  </si>
  <si>
    <t>Subactividad 5.4.1</t>
  </si>
  <si>
    <t>Subactividad 5.4.2</t>
  </si>
  <si>
    <t>Subactividad 5.4.3</t>
  </si>
  <si>
    <t>Subactividad 5.4.4</t>
  </si>
  <si>
    <t>Subactividad 5.4.5</t>
  </si>
  <si>
    <t>Actividad 5.5</t>
  </si>
  <si>
    <t>Subactividad 5.5.1</t>
  </si>
  <si>
    <t>Subactividad 5.5.2</t>
  </si>
  <si>
    <t>Subactividad 5.5.3</t>
  </si>
  <si>
    <t>Subactividad 5.5.4</t>
  </si>
  <si>
    <t>Subactividad 5.5.5</t>
  </si>
  <si>
    <t>Alcance 6</t>
  </si>
  <si>
    <t>Actividad 6.1</t>
  </si>
  <si>
    <t>Subactividad 6.1.1</t>
  </si>
  <si>
    <t>Subactividad 6.1.2</t>
  </si>
  <si>
    <t>Subactividad 6.1.3</t>
  </si>
  <si>
    <t>Subactividad 6.1.4</t>
  </si>
  <si>
    <t>Subactividad 6.1.5</t>
  </si>
  <si>
    <t>Actividad 6.2</t>
  </si>
  <si>
    <t>Subactividad 6.2.1</t>
  </si>
  <si>
    <t>Subactividad 6.2.2</t>
  </si>
  <si>
    <t>Subactividad 6.2.3</t>
  </si>
  <si>
    <t>Subactividad 6.2.4</t>
  </si>
  <si>
    <t>Subactividad 6.2.5</t>
  </si>
  <si>
    <t>Actividad 6.3</t>
  </si>
  <si>
    <t>Subactividad 6.3.1</t>
  </si>
  <si>
    <t>Subactividad 6.3.2</t>
  </si>
  <si>
    <t>Subactividad 6.3.3</t>
  </si>
  <si>
    <t>Subactividad 6.3.4</t>
  </si>
  <si>
    <t>Subactividad 6.3.5</t>
  </si>
  <si>
    <t>Actividad 6.4</t>
  </si>
  <si>
    <t>Subactividad 6.4.1</t>
  </si>
  <si>
    <t>Subactividad 6.4.2</t>
  </si>
  <si>
    <t>Subactividad 6.4.3</t>
  </si>
  <si>
    <t>Subactividad 6.4.4</t>
  </si>
  <si>
    <t>Subactividad 6.4.5</t>
  </si>
  <si>
    <t>Actividad 6.5</t>
  </si>
  <si>
    <t>Subactividad 6.5.1</t>
  </si>
  <si>
    <t>Subactividad 6.5.2</t>
  </si>
  <si>
    <t>Subactividad 6.5.3</t>
  </si>
  <si>
    <t>Subactividad 6.5.4</t>
  </si>
  <si>
    <t>Subactividad 6.5.5</t>
  </si>
  <si>
    <t xml:space="preserve">TOTAL </t>
  </si>
  <si>
    <t>ACUMULADO</t>
  </si>
  <si>
    <t xml:space="preserve">La programación financiera debe ser coherente con la programación física, todo pago que no sea soportado en la ejecución física efectiva y certificada es un anticipo o pago anticipado, de acuerdo al caso; para tener más información sobre anticipos y pagos anticipados remitirse a la hoja </t>
  </si>
  <si>
    <t>Información anticipos</t>
  </si>
  <si>
    <t>PROGRAMACIÓN FINANCIERA INICIAL</t>
  </si>
  <si>
    <t>Valor del contrato o convenio</t>
  </si>
  <si>
    <t>Valor aportado por Corantioquia</t>
  </si>
  <si>
    <t>Distribución de recursos del valor aportado por Corantioquia</t>
  </si>
  <si>
    <t>Porcentaje (%)</t>
  </si>
  <si>
    <t>Porcentaje Acumulado (%)</t>
  </si>
  <si>
    <t>Diligenciar esta información solo en caso de solicitud de Otrosí de adición de recursos o prórroga, o cuando el Otrosí de modificación implique cambios en el presupuesto.</t>
  </si>
  <si>
    <t>Valores ya ejecutados</t>
  </si>
  <si>
    <t>Porcentaje (%) PGAR</t>
  </si>
  <si>
    <t>Porcentaje Acumulado (%) PGAR</t>
  </si>
  <si>
    <t xml:space="preserve">PROGRAMACIÓN FINANCIERA EN CASO DE ADICIÓN DE RECURSOS O PRÓRROGA </t>
  </si>
  <si>
    <t>Valor total del contrato o convenio (incluida la adición)</t>
  </si>
  <si>
    <t>Valor de la adición aportado por Corantioquia</t>
  </si>
  <si>
    <t>Valor total aportado por Corantioquia  (incluida la adición)</t>
  </si>
  <si>
    <t>Total Valores</t>
  </si>
  <si>
    <t>Valores por ejecutar</t>
  </si>
  <si>
    <t>PORCENTAJE ACUMULADO (%) TOTAL</t>
  </si>
  <si>
    <t>EDGAR ALEXANDER OSORIO LONDOÑO</t>
  </si>
  <si>
    <t>GUSTAVO ANTONIO ZAPATA ZAPATA</t>
  </si>
  <si>
    <t>GERENTE PROGRAMA</t>
  </si>
  <si>
    <t>COORDINADOR GIT</t>
  </si>
  <si>
    <t>PRESUPUESTO - MODALIDAD CONTRATO</t>
  </si>
  <si>
    <t>COSTOS DE PERSONAL</t>
  </si>
  <si>
    <t>Recursos por alcance, actividad o subactividad</t>
  </si>
  <si>
    <t>Ítem</t>
  </si>
  <si>
    <t>Cantidad personal</t>
  </si>
  <si>
    <t>(%) Dedicación</t>
  </si>
  <si>
    <t>Cantidad</t>
  </si>
  <si>
    <t>Valor unitario base</t>
  </si>
  <si>
    <t>Factor prestacional</t>
  </si>
  <si>
    <t>Valor total</t>
  </si>
  <si>
    <t>(%) PP</t>
  </si>
  <si>
    <t>Mano de Obra Calificada</t>
  </si>
  <si>
    <t>Subtotal Mano de Obra calificada</t>
  </si>
  <si>
    <t>Mano de Obra No Calificada</t>
  </si>
  <si>
    <t>Subtotal Mano de Obra no Calificada</t>
  </si>
  <si>
    <t>SUBTOTAL PERSONAL (Mano de Obra Calificada + Mano de Obra no Calificada)</t>
  </si>
  <si>
    <t>COSTOS (Diferentes a los costos del personal)</t>
  </si>
  <si>
    <t>Valor unitario</t>
  </si>
  <si>
    <t>IVA</t>
  </si>
  <si>
    <t>Valor con IVA</t>
  </si>
  <si>
    <t>Póliza</t>
  </si>
  <si>
    <t>SUBTOTAL COSTOS (Diferentes a los costos del personal)</t>
  </si>
  <si>
    <t>SUBTOTAL (antes de AU e IVA)</t>
  </si>
  <si>
    <t>IVA 19% (sobre el AU del 10%)</t>
  </si>
  <si>
    <t>Gastos de administración</t>
  </si>
  <si>
    <t>Utilidad</t>
  </si>
  <si>
    <t>Info IVA</t>
  </si>
  <si>
    <t>TOTAL (incluido AU e IVA)</t>
  </si>
  <si>
    <t>PRESUPUESTO - MODALIDAD CONTRATO - PRESTACIÓN DE SERVICIOS PERSONALES</t>
  </si>
  <si>
    <t>Plan de ejecución física y de inversiones - prestación de servicios personales</t>
  </si>
  <si>
    <t>Mes</t>
  </si>
  <si>
    <t>Tabla de honorarios</t>
  </si>
  <si>
    <t>SUBTOTAL</t>
  </si>
  <si>
    <t>Solo aplica en caso que la persona natural sea responsable de IVA</t>
  </si>
  <si>
    <t>TOTAL</t>
  </si>
  <si>
    <t>PRESUPUESTO - MODALIDAD CONVENIO</t>
  </si>
  <si>
    <t>FUENTES DE COFINANCIACIÓN</t>
  </si>
  <si>
    <t>Recursos en dinero de CORANTIOQUIA por alcance, actividad o subactividad</t>
  </si>
  <si>
    <t>CORANTIOQUIA</t>
  </si>
  <si>
    <t xml:space="preserve">Entidad 1: </t>
  </si>
  <si>
    <t>DINERO</t>
  </si>
  <si>
    <t>ESPECIE</t>
  </si>
  <si>
    <t>Entidad 1:</t>
  </si>
  <si>
    <t>SUBTOTAL (antes de administración)</t>
  </si>
  <si>
    <t>TOTAL APORTES EN DINERO (antes de administración)</t>
  </si>
  <si>
    <t>Gastos de administración u operativos</t>
  </si>
  <si>
    <t>TOTAL (incluido administración)</t>
  </si>
  <si>
    <t>Total</t>
  </si>
  <si>
    <t>%</t>
  </si>
  <si>
    <t>RESUMEN POR CONCEPTO</t>
  </si>
  <si>
    <t>(%) PP (SUBTOTAL)</t>
  </si>
  <si>
    <t>(%) PP (TOTAL)</t>
  </si>
  <si>
    <t>NA</t>
  </si>
  <si>
    <t xml:space="preserve">Realizar el análisis respectivo en caso que el conveniante - ejecutor vaya a realizar un contrato derivado, con la claridad que en este momento se está planeando la relación del convenio CAR - 3ro conveniante, y en caso de una subcontratación por parte del 3ro conveniante ejecutor, este debe considerar las implicaciones financieras de dicho contrato derivado, y realizar la respectiva planeación del mismo.
Como se está planeando el convenio, el mismo solo lleva gastos de administración u operativos, ahora bien, para efectos de planeación, se puede hacer el análisis del contrato derivado que en vez de gastos de administración puede acarrear AU e IVA, los cuales en caso de que procedan se deberán considerar dentro de los gastos administrativos u operativos del convenio en la proporción que corresponda a los aportes en dinero de la entidad.
Teniendo en cuenta que nuestra competencia se circunscribe al convenio a celebrar, y la forma de ejecución del mismo por parte del conveniante ejecutor, sea directamente o por intermedio de un tercero, es discrecional a él. </t>
  </si>
  <si>
    <t>Ir a estimar gastos de administración</t>
  </si>
  <si>
    <t>RESUMEN POR ALCANCES, ACTIVIDADES O SUBACTIVIDADES - RECURSOS EN DINERO CORANTIOQUIA</t>
  </si>
  <si>
    <t>Alcance, actividad o subactividad</t>
  </si>
  <si>
    <t>Subtotal en dinero (Costos de personal y diferentes de personal)</t>
  </si>
  <si>
    <t>Costos de administración u operativos, si aplica</t>
  </si>
  <si>
    <t>¿Es alcance de obra? (Si, No)</t>
  </si>
  <si>
    <t>MEMORIA DE CÁLCULO - OPCIÓN 1</t>
  </si>
  <si>
    <t>PROCESO/ ALCANCE / ACTIVIDAD:</t>
  </si>
  <si>
    <t>UNIDAD DE MEDIDA PARA EL PRECIO UNITARIO:</t>
  </si>
  <si>
    <t>ESPECIFICACIÓN TÉCNICA PARA EL PRECIO UNITARIO:</t>
  </si>
  <si>
    <t xml:space="preserve">Valor unitario </t>
  </si>
  <si>
    <t xml:space="preserve">Valor total </t>
  </si>
  <si>
    <t>SUBTOTAL (antes de IVA)</t>
  </si>
  <si>
    <t>TOTAL (incluido IVA)</t>
  </si>
  <si>
    <t>FORMATO A PE1 - PROPUESTA ECONÓMICA</t>
  </si>
  <si>
    <t>OBJETO: PRESTAR EL SERVICIO DE SEGURIDAD Y VIGILANCIA REQUERIDO POR CORANTIOQUIA</t>
  </si>
  <si>
    <t>COMPONENTE PE1- TARIFA 1: SERVICIO DE VIGILANCIA HUMANA</t>
  </si>
  <si>
    <t>TARIFA QUE RIGE DEL 1 DE ENERO AL 14 DE JULIO DE 2023</t>
  </si>
  <si>
    <t>NOTAS:</t>
  </si>
  <si>
    <r>
      <t xml:space="preserve">Nota 1: </t>
    </r>
    <r>
      <rPr>
        <sz val="10"/>
        <rFont val="Arial"/>
        <family val="2"/>
      </rPr>
      <t>El FORMATO 6 - PROPUESTA ECONÓMICA,  es la tabla conformada por la oferta económica del proponente para los 7 componentes del proceso y sus diferentes ítems, en la tabla se relacionan los valores soportados en los siguientes formatos, que corresponden a cada componente:
FORMATO A PE1 - PROPUESTA ECONÓMICA - COMPONENTE PE1: SERVICIO DE VIGILANCIA HUMANA
FORMATO B PE2 - PROPUESTA ECONÓMICA - COMPONENTE PE2: MONITOREO ALARMAS - MEDIOS TECNOLÓGICOS
FORMATO C PE3 - PROPUESTA ECONÓMICA - COMPONENTE PE3: MANTENIMIENTO PREVENTIVO AL SISTEMA DE ALARMAS
FORMATO D PE4 - PROPUESTA ECONÓMICA - COMPONENTE PE4: MANTENIMIENTO PREVENTIVO AL SISTEMA DE VIDEO (CCTV)
FORMATO E PE5 - PROPUESTA ECONÓMICA - COMPONENTE PE5: MANTENIMIENTO PREVENTIVO AL SISTEMA DE CONTROL DE ACCESO
FORMATO F PE6 - PROPUESTA ECONÓMICA - COMPONENTE PE6: MANTENIMIENTO CORRECTIVO Y SUS ACCESORIOS
FORMATO G PE7 - PROPUESTA ECONÓMICA - COMPONENTE PE7: PRESTAR EL SERVICIO DE VIGILANCIA CON ORTOFOTO
Cada formato se deberá diligenciar acorde a las notas y especificaciones propias que cada uno de ellos contemple. 
Por tanto, para determinar el menor valor de la propuesta se tomará la suma del VALOR TOTAL ANTES DE IVA  de cada uno de los 7 componentes, considerando, que en el proceso se cuenta con dos bolsas, para los componentes PE6: MANTENIMIENTO CORRECTIVO Y SUS ACCESORIOS y PE7: PRESTAR EL SERVICIO DE VIGILANCIA CON ORTOFOTO, las cuales, que si bien se asignarán por el valor establecido en el presupuesto corporativo ($45.500,000 IVA incluido  y $20.000.000 IVA incluido respectivamente), para la evaluación, con el fin de determinar el menor valor de la propuesta se tomará la sumatoria de los valores totales (valor unitario por cantidad) ofertados por el proponente antes de IVA (VALOR TOTAL ANTES DE IVA).
El  FORMATO 6 - PROPUESTA ECONÓMICA solo se evaluará si se presenta con los 7 formatos soporte (formato A al formato F), en caso, que no se presenten todos los formatos, la propuesta será rechazada.</t>
    </r>
  </si>
  <si>
    <r>
      <t xml:space="preserve">Nota 2: </t>
    </r>
    <r>
      <rPr>
        <sz val="10"/>
        <rFont val="Arial"/>
        <family val="2"/>
      </rPr>
      <t>El proponente deberá establecer el VALOR UNITARIO X MES ANTES DE IVA  (espacios subrayados en gris claro), para cada ítem solicitado. Será causal de rechazo no diligenciar o modificar, uno o varios de los ítems,  valores o especificaciones solicitadas. Los valores deben estar acorde a las especificaciones técnicas de acuerdo a los Estudios previos del proceso, y se deben expresar en números enteros o sin decimales, es decir, se deben redondear los valores respectivamente.</t>
    </r>
  </si>
  <si>
    <r>
      <t>Nota 3:</t>
    </r>
    <r>
      <rPr>
        <sz val="10"/>
        <rFont val="Arial"/>
        <family val="2"/>
      </rPr>
      <t xml:space="preserve"> Los oferentes podrán ofertar valores unitarios menores o iguales a los establecidos en el presupuesto de los estudios previos (VALOR UNITARIO DE REFERENCIA PARA LA CORPORACIÓN X MES ANTES DE IVA ), no obstante, el valor unitario no podrá ser superior al establecido en el presupuesto oficial y documentos de Estudios previos, ya que será causal de rechazo de la propuesta.</t>
    </r>
  </si>
  <si>
    <r>
      <t xml:space="preserve">Nota 4: </t>
    </r>
    <r>
      <rPr>
        <sz val="10"/>
        <rFont val="Arial"/>
        <family val="2"/>
      </rPr>
      <t>Los valores que se oferten deberán sostenerse y demostrar su cumplimiento durante la ejecución del contrato.</t>
    </r>
  </si>
  <si>
    <r>
      <t>Nota 5</t>
    </r>
    <r>
      <rPr>
        <sz val="10"/>
        <rFont val="Arial"/>
        <family val="2"/>
      </rPr>
      <t>: El presente formato se deberá presentar en archivo tipo Excel.</t>
    </r>
  </si>
  <si>
    <r>
      <t>Nota 6</t>
    </r>
    <r>
      <rPr>
        <sz val="10"/>
        <rFont val="Arial"/>
        <family val="2"/>
      </rPr>
      <t>: 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Corporación, podrá solicitar a los proponentes las aclaraciones y explicaciones que se estimen pertinentes, así mismo, el valor total corregido no podrá exceder el VALOR TOTAL IVA INCLUIDO establecido por la corporación para el componente.</t>
    </r>
  </si>
  <si>
    <r>
      <t>Nota 7:</t>
    </r>
    <r>
      <rPr>
        <sz val="10"/>
        <rFont val="Arial"/>
        <family val="2"/>
      </rPr>
      <t xml:space="preserve"> Las tarifas mínimas para la contratación del servicio de vigilancia y seguridad privada en la vigencia 2023, están reguladas por medio de la </t>
    </r>
    <r>
      <rPr>
        <b/>
        <sz val="10"/>
        <rFont val="Arial"/>
        <family val="2"/>
      </rPr>
      <t>Circular 20221300000675</t>
    </r>
    <r>
      <rPr>
        <sz val="10"/>
        <rFont val="Arial"/>
        <family val="2"/>
      </rPr>
      <t xml:space="preserve"> de la SuperVigilancia. Los oferentes deberán establecer para cada ítem, el VALOR UNITARIO X MES ANTES DE IVA  (espacios subrayados en gris claro), de acuerdo a lo estipulado en dicha circular, considerando que</t>
    </r>
    <r>
      <rPr>
        <b/>
        <sz val="10"/>
        <rFont val="Arial"/>
        <family val="2"/>
      </rPr>
      <t xml:space="preserve"> los valores se deben expresar en números enteros o sin decimales, redondeandolós respectivamente. </t>
    </r>
  </si>
  <si>
    <t>Nota 8: Según la Circular 20221300000675 se debe cotizar el servicio correspondiente a la tarifa que rige del 1 de enero al 14 de julio de 2023 (Tarifa 1)</t>
  </si>
  <si>
    <t>N.</t>
  </si>
  <si>
    <t>SEDE</t>
  </si>
  <si>
    <t>MUNICIPIO</t>
  </si>
  <si>
    <t>SERVICIOS REQUERIDOS</t>
  </si>
  <si>
    <t>CON o SIN ARMA</t>
  </si>
  <si>
    <t>VALOR UNITARIO DE REFERENCIA PARA LA CORPORACIÓN X MES ANTES DE IVA (redondeado a entero)</t>
  </si>
  <si>
    <t>VALOR UNITARIO X MES ANTES DE IVA (redondeado a entero)</t>
  </si>
  <si>
    <t>SERVICIOS</t>
  </si>
  <si>
    <t xml:space="preserve">VALOR TOTAL X MES ANTES DE IVA 
</t>
  </si>
  <si>
    <t>OFICINA TERRITORIAL CITARA</t>
  </si>
  <si>
    <t>ANDES</t>
  </si>
  <si>
    <t xml:space="preserve">UN (1) SERVICIO DE 12 HORAS LUNES A VIERNES, excluyendo festivos DE 06:30 A 18:30, SIN ARMA </t>
  </si>
  <si>
    <t>SIN ARMA</t>
  </si>
  <si>
    <t>VIVERO EL PEDRAL</t>
  </si>
  <si>
    <t>HISPANIA</t>
  </si>
  <si>
    <t>UN (1) SERVICIO DE 24 HORAS CON ARMA NO LETAL , que cumpla jornada tanto diurna como nocturna, incluyendo los días hábiles, sábados, domingos y festivos</t>
  </si>
  <si>
    <t>ARMA NO LETAL</t>
  </si>
  <si>
    <t>VIVERO LOMA HERMOSA</t>
  </si>
  <si>
    <t>SAN JERÓNIMO</t>
  </si>
  <si>
    <t>UN (1) SERVICIO DE 24 HORAS SIN ARMA , que cumpla jornada tanto diurna como nocturna, incluyendo los días hábiles, sábados, domingos y festivos.</t>
  </si>
  <si>
    <t>OFICINA TERRITORIAL CARTAMA</t>
  </si>
  <si>
    <t>JERICO</t>
  </si>
  <si>
    <t xml:space="preserve">UN (1) SERVICIO DE 12 HORAS LUNES A VIERNES SIN ARMA, excluyendo los festivos, distribuidos así: de 6:00 am hasta las 6:00 pm. </t>
  </si>
  <si>
    <t>OFICINA TERRITORIAL HEVEXICOS</t>
  </si>
  <si>
    <t>SANTA FE DE ANTIOQUIA</t>
  </si>
  <si>
    <t xml:space="preserve">UN (1) SERVICIO DE 24 HORAS SIN ARMA, que cumpla jornada tanto diurna como nocturna, incluyendo los días hábiles, sábados, domingos y festivos.  </t>
  </si>
  <si>
    <t>OFICINA TERRITORIAL TAHAMÍES</t>
  </si>
  <si>
    <t>SANTA ROSA DE OSOS</t>
  </si>
  <si>
    <t>UN (1) SERVICIO DE 12 HORAS DE LUNES A VIERNES SIN ARMA , excluyendo festivos, entre las 6:00 am y 18:00.</t>
  </si>
  <si>
    <t>OFICINA TERRITORIAL ZENUFANA</t>
  </si>
  <si>
    <t>VEGACHI</t>
  </si>
  <si>
    <t>UN (1) SERVICIO DE 24 HORAS CON ARMA NO LETAL, que cumpla jornada tanto diurna como nocturna, incluyendo los días hábiles, sábados, domingos y festivos.</t>
  </si>
  <si>
    <t>OFICINA TERRITORIAL PANZENU</t>
  </si>
  <si>
    <t>CAUCASIA</t>
  </si>
  <si>
    <t>VIVERO LA AGUADA</t>
  </si>
  <si>
    <t>CORREGIMIENTO DE SANTA ELENA (MEDELLÍN)</t>
  </si>
  <si>
    <t>SEDE PRINCIPAL</t>
  </si>
  <si>
    <t>MEDELLÍN</t>
  </si>
  <si>
    <t>UN (1) SERVICIOS DE 12 HORAS DE LUNES A VIERNES CON ARMA, excluyendo festivos, entre las 6:00 am y 18:00.</t>
  </si>
  <si>
    <t>LETAL</t>
  </si>
  <si>
    <t>UN (1) SERVICIOS DE 12 HORAS DE LUNES A VIERNES de 6:00 AM a 18:00 y SABADOS DE 6:00 AM a 14:00 PM CON ARMA, excluyendo los festivos.</t>
  </si>
  <si>
    <t>UN (1) SERVICIO DE 24 HORAS CON ARMA que cumpla jornada tanto diurna como nocturna, incluyendo los días hábiles, sábados, domingos y festivos.</t>
  </si>
  <si>
    <t>UN (1) SERVICIOS DE 12 HORAS DE LUNES A VIERNES de 6:30 AM a 18:30 (sector la Cra. 64) CON ARMA</t>
  </si>
  <si>
    <t>UN (1) SERVICIOS DE RECEPCIONISTA DE 10 HORAS DE LUNES A VIERNES, entre las 7:30 am y 17:30.</t>
  </si>
  <si>
    <t>N/A</t>
  </si>
  <si>
    <t xml:space="preserve">VALOR TOTAL X MES ANTES DE IVA </t>
  </si>
  <si>
    <t>MESES</t>
  </si>
  <si>
    <t xml:space="preserve">VALOR TOTAL ANTES de IVA </t>
  </si>
  <si>
    <t xml:space="preserve">VALOR TOTAL IVA INCLUIDO </t>
  </si>
  <si>
    <t xml:space="preserve"> LAS TARIFAS DEBEN CORRESPONDER A LAS ESTABLECIDAS POR LA SUPERINTENDENCIA DE VIGILANCIA Y SEGURIDAD PRIVADA PARA LA VIGENCIA 2023 MEDIANTE CIRCULAR Nº  20221300000675 </t>
  </si>
  <si>
    <t>* SEGÚN LA CIRCULAR SE DEBE COTIZAR EL SERVICIO CORRESPONDIENTE A LA TARIFA QUE RIGE DEL 1 DE ENERO AL 14 DE JULIO DE 2023 Y COTIZAR LA TARIFA QUE RIGE DEL 15 DE JULIO AL 31 DE DICIEMBRE DE 2023</t>
  </si>
  <si>
    <t>Se deberán presentar las cifras en función REDONDEAR con decimales cero (0), es decir el número se redondea al número entero más próximo; tanto de los valores unitarios antes de IVA, valor IVA, como del valor total incluido IVA;  por lo anterior no se aceptarán valores con decimales en las cotizaciones</t>
  </si>
  <si>
    <t>FIRMA DEL OFERENTE:
NOMBRE DEL OFERENTE:</t>
  </si>
  <si>
    <t>COMPONENTE PE1-TARIFA 2: SERVICIO DE VIGILANCIA HUMANA</t>
  </si>
  <si>
    <t>TARIFA QUE RIGE DEL 15 DE JULIO AL 31 DE DICIEMBRE DE 2023</t>
  </si>
  <si>
    <t>Nota 8: Según la Circular 20221300000675 se debe cotizar el servicio correspondiente a la tarifa que rige del 15 de julio al 31 de diciembre de 2023 (Tarifa 2)</t>
  </si>
  <si>
    <t>FORMATO B PE2 - PROPUESTA ECONÓMICA</t>
  </si>
  <si>
    <t xml:space="preserve">COMPONENTE PE2: MONITOREO ALARMAS - MEDIOS TECNOLÓGICOS </t>
  </si>
  <si>
    <r>
      <t xml:space="preserve">Nota 1: </t>
    </r>
    <r>
      <rPr>
        <sz val="10"/>
        <rFont val="Arial"/>
        <family val="2"/>
      </rPr>
      <t>El  FORMATO 6 - PROPUESTA ECONÓMICA,  es la tabla conformada por la oferta económica del proponente para los 7 componentes del proceso y sus diferentes ítems, en la tabla se relacionan los valores soportados en los siguientes formatos, que corresponden a cada componente:
FORMATO A PE1 - PROPUESTA ECONÓMICA - COMPONENTE PE1: SERVICIO DE VIGILANCIA HUMANA
FORMATO B PE2 - PROPUESTA ECONÓMICA - COMPONENTE PE2: MONITOREO ALARMAS - MEDIOS TECNOLÓGICOS
FORMATO C PE3 - PROPUESTA ECONÓMICA - COMPONENTE PE3: MANTENIMIENTO PREVENTIVO AL SISTEMA DE ALARMAS
FORMATO D PE4 - PROPUESTA ECONÓMICA - COMPONENTE PE4: MANTENIMIENTO PREVENTIVO AL SISTEMA DE VIDEO (CCTV)
FORMATO E PE5 - PROPUESTA ECONÓMICA - COMPONENTE PE5: MANTENIMIENTO PREVENTIVO AL SISTEMA DE CONTROL DE ACCESO
FORMATO F PE6 - PROPUESTA ECONÓMICA - COMPONENTE PE6: MANTENIMIENTO CORRECTIVO Y SUS ACCESORIOS
FORMATO G PE7 - PROPUESTA ECONÓMICA - COMPONENTE PE7: PRESTAR EL SERVICIO DE VIGILANCIA CON ORTOFOTO
Cada formato se deberá diligenciar acorde a las notas y especificaciones propias que cada uno de ellos contemple. 
Por tanto, para determinar el menor valor de la propuesta se tomará la suma del VALOR TOTAL ANTES DE IVA  de cada uno de los 7 componentes, considerando, que en el proceso se cuenta con dos bolsas, para los componentes PE6: MANTENIMIENTO CORRECTIVO Y SUS ACCESORIOS y PE7: PRESTAR EL SERVICIO DE VIGILANCIA CON ORTOFOTO, las cuales, que si bien se asignarán por el valor establecido en el presupuesto corporativo ($45.000,000 IVA incluido  y $20.000.000 IVA incluido respectivamente), para la evaluación, con el fin de determinar el menor valor de la propuesta se tomará la sumatoria de los valores totales (valor unitario por cantidad) ofertados por el proponente antes de IVA (VALOR TOTAL ANTES DE IVA).
El  FORMATO 6 - PROPUESTA ECONÓMICA solo se evaluará si se presenta con los 7 formatos soporte (formato A al formato F), en caso, que no se presenten todos los formatos, la propuesta será rechazada.</t>
    </r>
  </si>
  <si>
    <t>OFICINA TERRITORIAL TAHAMIES</t>
  </si>
  <si>
    <t>SEDE LOCAL EL BAGRE</t>
  </si>
  <si>
    <t>EL BAGRE</t>
  </si>
  <si>
    <t>SAN JERONIMO</t>
  </si>
  <si>
    <t>SEDE LOCAL CALDAS</t>
  </si>
  <si>
    <t>CALDAS</t>
  </si>
  <si>
    <t>SEDE PRINCIPAL ASÍ:
 Sede Principal partición Primer Piso
Sede Principal partición Segundo Piso
Sede Principal partición Tercer Piso (Dirección General)
Sede Principal partición Auditorio
Sede Principal partición Archivo Histórico
Sede Principal partición Laboratorio Cuarto y Quinto Piso</t>
  </si>
  <si>
    <t xml:space="preserve">MEDELLÍN </t>
  </si>
  <si>
    <t xml:space="preserve">VALOR TOTAL ANTES DE IVA </t>
  </si>
  <si>
    <t>IVA 19% (sobre el AU del 10%) (redondear a entero)</t>
  </si>
  <si>
    <t>FORMATO C PE3 - PROPUESTA ECONÓMICA</t>
  </si>
  <si>
    <t>COMPONENTE PE3: MANTENIMIENTO PREVENTIVO AL SISTEMA DE ALARMAS</t>
  </si>
  <si>
    <r>
      <t xml:space="preserve">Nota 1:  </t>
    </r>
    <r>
      <rPr>
        <sz val="10"/>
        <rFont val="Arial"/>
        <family val="2"/>
      </rPr>
      <t>El  FORMATO 6 - PROPUESTA ECONÓMICA,  es la tabla conformada por la oferta económica del proponente para los 7 componentes del proceso y sus diferentes ítems, en la tabla se relacionan los valores soportados en los siguientes formatos, que corresponden a cada componente:
FORMATO A PE1 - PROPUESTA ECONÓMICA - COMPONENTE PE1: SERVICIO DE VIGILANCIA HUMANA
FORMATO B PE2 - PROPUESTA ECONÓMICA - COMPONENTE PE2: MONITOREO ALARMAS - MEDIOS TECNOLÓGICOS
FORMATO C PE3 - PROPUESTA ECONÓMICA - COMPONENTE PE3: MANTENIMIENTO PREVENTIVO AL SISTEMA DE ALARMAS
FORMATO D PE4 - PROPUESTA ECONÓMICA - COMPONENTE PE4: MANTENIMIENTO PREVENTIVO AL SISTEMA DE VIDEO (CCTV)
FORMATO E PE5 - PROPUESTA ECONÓMICA - COMPONENTE PE5: MANTENIMIENTO PREVENTIVO AL SISTEMA DE CONTROL DE ACCESO
FORMATO F PE6 - PROPUESTA ECONÓMICA - COMPONENTE PE6: MANTENIMIENTO CORRECTIVO Y SUS ACCESORIOS
FORMATO G PE7 - PROPUESTA ECONÓMICA - COMPONENTE PE7: PRESTAR EL SERVICIO DE VIGILANCIA CON ORTOFOTO
Cada formato se deberá diligenciar acorde a las notas y especificaciones propias que cada uno de ellos contemple. 
Por tanto, para determinar el menor valor de la propuesta se tomará la suma del VALOR TOTAL ANTES DE IVA  de cada uno de los 7 componentes, considerando, que en el proceso se cuenta con dos bolsas, para los componentes PE6: MANTENIMIENTO CORRECTIVO Y SUS ACCESORIOS y PE7: PRESTAR EL SERVICIO DE VIGILANCIA CON ORTOFOTO, las cuales, que si bien se asignarán por el valor establecido en el presupuesto corporativo ($45.500,000 IVA incluido  y $20.000.000 IVA incluido respectivamente), para la evaluación, con el fin de determinar el menor valor de la propuesta se tomará la sumatoria de los valores totales (valor unitario por cantidad) ofertados por el proponente antes de IVA (VALOR TOTAL ANTES DE IVA).
El  FORMATO 6 - PROPUESTA ECONÓMICA solo se evaluará si se presenta con los 7 formatos soporte (formato A al formato F), en caso, que no se presenten todos los formatos, la propuesta será rechazada.</t>
    </r>
  </si>
  <si>
    <r>
      <t xml:space="preserve">Nota 2: </t>
    </r>
    <r>
      <rPr>
        <sz val="10"/>
        <rFont val="Arial"/>
        <family val="2"/>
      </rPr>
      <t>El proponente deberá establecer el VALOR UNITARIO ANTES DE IVA  (espacios subrayados en gris claro), para cada ítem solicitado. Será causal de rechazo no diligenciar o modificar, uno o varios de los ítems,  valores o especificaciones solicitadas. Los valores deben estar acorde a las especificaciones técnicas de acuerdo a los Estudios previos del proceso, y se deben expresar en números enteros o sin decimales, es decir, se deben redondear los valores respectivamente.</t>
    </r>
  </si>
  <si>
    <r>
      <t>Nota 3:</t>
    </r>
    <r>
      <rPr>
        <sz val="10"/>
        <rFont val="Arial"/>
        <family val="2"/>
      </rPr>
      <t xml:space="preserve"> Los oferentes podrán ofertar valores unitarios menores o iguales a los establecidos en el presupuesto de los estudios previos (VALOR UNITARIO DE REFERENCIA PARA LA CORPORACIÓN ANTES DE IVA), no obstante, el valor unitario no podrá ser superior al establecido en el presupuesto oficial y documentos de Estudios previos, ya que será causal de rechazo de la propuesta.</t>
    </r>
  </si>
  <si>
    <t>VALOR UNITARIO DE REFERENCIA PARA LA CORPORACIÓN ANTES DE IVA (redondeado a entero)</t>
  </si>
  <si>
    <t>VALOR UNITARIO ANTES DE IVA (redondeado a entero)</t>
  </si>
  <si>
    <t xml:space="preserve">VALOR TOTAL ANTES DE IVA 
</t>
  </si>
  <si>
    <t>FINCA LA AGUADA (Alarma local)</t>
  </si>
  <si>
    <t>MEDELLIN
CORREGIMIENTO DE SANTA ELENA</t>
  </si>
  <si>
    <t>IVA 19% (redondear a entero)</t>
  </si>
  <si>
    <t>FORMATO D PE4 - PROPUESTA ECONÓMICA</t>
  </si>
  <si>
    <t>COMPONENTE PE4: MANTENIMIENTO PREVENTIVO AL SISTEMA DE VIDEO (CCTV)</t>
  </si>
  <si>
    <r>
      <t xml:space="preserve">Nota 1: </t>
    </r>
    <r>
      <rPr>
        <sz val="10"/>
        <rFont val="Arial"/>
        <family val="2"/>
      </rPr>
      <t>El  FORMATO 6 - PROPUESTA ECONÓMICA,  es la tabla conformada por la oferta económica del proponente para los 7 componentes del proceso y sus diferentes ítems, en la tabla se relacionan los valores soportados en los siguientes formatos, que corresponden a cada componente:
FORMATO A PE1 - PROPUESTA ECONÓMICA - COMPONENTE PE1: SERVICIO DE VIGILANCIA HUMANA
FORMATO B PE2 - PROPUESTA ECONÓMICA - COMPONENTE PE2: MONITOREO ALARMAS - MEDIOS TECNOLÓGICOS
FORMATO C PE3 - PROPUESTA ECONÓMICA - COMPONENTE PE3: MANTENIMIENTO PREVENTIVO AL SISTEMA DE ALARMAS
FORMATO D PE4 - PROPUESTA ECONÓMICA - COMPONENTE PE4: MANTENIMIENTO PREVENTIVO AL SISTEMA DE VIDEO (CCTV)
FORMATO E PE5 - PROPUESTA ECONÓMICA - COMPONENTE PE5: MANTENIMIENTO PREVENTIVO AL SISTEMA DE CONTROL DE ACCESO
FORMATO F PE6 - PROPUESTA ECONÓMICA - COMPONENTE PE6: MANTENIMIENTO CORRECTIVO Y SUS ACCESORIOS
FORMATO G PE7 - PROPUESTA ECONÓMICA - COMPONENTE PE7: PRESTAR EL SERVICIO DE VIGILANCIA CON ORTOFOTO
Cada formato se deberá diligenciar acorde a las notas y especificaciones propias que cada uno de ellos contemple. 
Por tanto, para determinar el menor valor de la propuesta se tomará la suma del VALOR TOTAL ANTES DE IVA  de cada uno de los 7 componentes, considerando, que en el proceso se cuenta con dos bolsas, para los componentes PE6: MANTENIMIENTO CORRECTIVO Y SUS ACCESORIOS y PE7: PRESTAR EL SERVICIO DE VIGILANCIA CON ORTOFOTO, las cuales, que si bien se asignarán por el valor establecido en el presupuesto corporativo ($45.500.000  IVA incluido  y $20.000.000 IVA incluido respectivamente), para la evaluación, con el fin de determinar el menor valor de la propuesta se tomará la sumatoria de los valores totales (valor unitario por cantidad) ofertados por el proponente antes de IVA (VALOR TOTAL ANTES DE IVA).
El  FORMATO 6 - PROPUESTA ECONÓMICA solo se evaluará si se presenta con los 7 formatos soporte (formato A al formato F), en caso, que no se presenten todos los formatos, la propuesta será rechazada.</t>
    </r>
  </si>
  <si>
    <t>FINCA LA AGUADA (Vivero)</t>
  </si>
  <si>
    <t>SEDE LOCAL BELLO</t>
  </si>
  <si>
    <t>BELLO</t>
  </si>
  <si>
    <t>FORMATO E PE5 - PROPUESTA ECONÓMICA</t>
  </si>
  <si>
    <t>COMPONENTE PE5: MANTENIMIENTO PREVENTIVO AL SISTEMA DE CONTROL DE ACCESO</t>
  </si>
  <si>
    <r>
      <t xml:space="preserve">Nota 1: </t>
    </r>
    <r>
      <rPr>
        <sz val="10"/>
        <rFont val="Arial"/>
        <family val="2"/>
      </rPr>
      <t>El  FORMATO 6 - PROPUESTA ECONÓMICA,  es la tabla conformada por la oferta económica del proponente para los 7 componentes del proceso y sus diferentes ítems, en la tabla se relacionan los valores soportados en los siguientes formatos, que corresponden a cada componente:
FORMATO A PE1 - PROPUESTA ECONÓMICA - COMPONENTE PE1: SERVICIO DE VIGILANCIA HUMANA
FORMATO B PE2 - PROPUESTA ECONÓMICA - COMPONENTE PE2: MONITOREO ALARMAS - MEDIOS TECNOLÓGICOS
FORMATO C PE3 - PROPUESTA ECONÓMICA - COMPONENTE PE3: MANTENIMIENTO PREVENTIVO AL SISTEMA DE ALARMAS
FORMATO D PE4 - PROPUESTA ECONÓMICA - COMPONENTE PE4: MANTENIMIENTO PREVENTIVO AL SISTEMA DE VIDEO (CCTV)
FORMATO E PE5 - PROPUESTA ECONÓMICA - COMPONENTE PE5: MANTENIMIENTO PREVENTIVO AL SISTEMA DE CONTROL DE ACCESO
FORMATO F PE6 - PROPUESTA ECONÓMICA - COMPONENTE PE6: MANTENIMIENTO CORRECTIVO Y SUS ACCESORIOS
FORMATO G PE7 - PROPUESTA ECONÓMICA - COMPONENTE PE7: PRESTAR EL SERVICIO DE VIGILANCIA CON ORTOFOTO
Cada formato se deberá diligenciar acorde a las notas y especificaciones propias que cada uno de ellos contemple. 
Por tanto, para determinar el menor valor de la propuesta se tomará la suma del VALOR TOTAL ANTES DE IVA  de cada uno de los 7 componentes, considerando, que en el proceso se cuenta con dos bolsas, para los componentes PE6: MANTENIMIENTO CORRECTIVO Y SUS ACCESORIOS y PE7: PRESTAR EL SERVICIO DE VIGILANCIA CON ORTOFOTO, las cuales, que si bien se asignarán por el valor establecido en el presupuesto corporativo ($45.000.000 IVA incluido  y $20.000.000 IVA incluido respectivamente), para la evaluación, con el fin de determinar el menor valor de la propuesta se tomará la sumatoria de los valores totales (valor unitario por cantidad) ofertados por el proponente antes de IVA (VALOR TOTAL ANTES DE IVA).
El  FORMATO 6 - PROPUESTA ECONÓMICA solo se evaluará si se presenta con los 7 formatos soporte (formato A al formato F), en caso, que no se presenten todos los formatos, la propuesta será rechazada.</t>
    </r>
  </si>
  <si>
    <t>ÍTEM</t>
  </si>
  <si>
    <t>ESPECIFICACIONES</t>
  </si>
  <si>
    <t>Mantenimiento preventivo torniquetes</t>
  </si>
  <si>
    <t>• Se deberá brindar un (1) mantenimiento preventivo a los torniquetes de modelo SlinStile EV marca Gunnebo actualmente instalados (En el formato FT-FAF-117 Fichas Técnicas se relacionan fotografías de los torniquetes actualmente instalados) y diagnosticar las acciones de mantenimiento correctivo para ponerlos en funcionamiento de forma integral con el sistema de control de acceso propuesto.
• Se deberá brindar un segundo mantenimiento preventivo a los torniquetes y al sistema durante la ejecución del presente proceso de contratación. 
• Creación de hoja de vida digital del equipo sujeto a mantenimiento.
• Revisión e inspección de la instalación eléctrica y comprobación del correcto funcionamiento recomendado para los equipos antes mencionados.
• Verificación y aseguramiento de las conexiones internas del equipo (cables, conectores, tarjetas, entre otros).
• Limpieza de las diferentes partes internas y externas de los equipos.
• Lubricación de las partes mecánicas, específicamente para los torniquetes de modelo SlinStile EV marca Gunnebo actualmente instalados (En el formato FT-FAF-117 Fichas Técnicas se relacionan fotografías de los torniquetes actualmente instalados).
• Imposición de sello de seguridad a los equipos objeto del servicio.
• Reemplazo de partes averiadas.
• Diagnóstico de malfuncionamiento.
• Restablecimiento del funcionamiento de los equipos en caso de avería.</t>
  </si>
  <si>
    <t>Soporte técnico equipos, software y torniquetes.</t>
  </si>
  <si>
    <t>• Se deberá brindar soporte técnico por un (1) año a los equipos, software y torniquetes.
• La garantía de los equipos deberá ser como mínimo de dos (2) años.
• El soporte técnico se realizará de manera remota 5x8 de lunes a viernes en el horario de 8:00 a.m. a 12:00 m. y de 1:00 p.m. a 5:00 p.m. Según la severidad del caso reportado, se solicitará Soporte en Sitio y se acordará con el Supervisor designado por la Corporación, en un tiempo de atención de cuatro (4) horas y solución de ocho (8) horas como máximo en el sitio en el que se encuentra instalado el sistema biométrico.
• Actualización de firmware de todos los equipos a la última versión liberada para el producto adquirido por la Entidad, para la fecha de la última labor.
• Actualización de software a la última versión liberada por el fabricante para el producto adquirido por la entidad, para la fecha de la última labor.</t>
  </si>
  <si>
    <t>PRESTAR EL SERVICIO DE SEGURIDAD Y VIGILANCIA REQUERIDO POR CORANTIOQUIA
PLAZO: 8 MESES SIN EXCEDER EL 31 DE DICIEMBRE DE 2023
DETALLE PROPUESTA ECONÓMICA
COMPONENTE PE6: MANTENIMIENTO CORRECTIVO Y SUS ACCESORIOS</t>
  </si>
  <si>
    <t>Este ítem es tipo bolsa por un valor total IVA incluido de:</t>
  </si>
  <si>
    <t xml:space="preserve">ÍTEM </t>
  </si>
  <si>
    <t>DESCRIPCIÓN</t>
  </si>
  <si>
    <t>BANDEJA BL1001 SENCILLA LISA FORMATO 19"PROFUNDIDAD 10.5" DE 1 RU</t>
  </si>
  <si>
    <t>DISCO DURO WD40PURZ 4TB INTELLIPOWERSATA3 64MB WD</t>
  </si>
  <si>
    <t>UPS JAL1101S DE 1KVA</t>
  </si>
  <si>
    <t>NVR DS-7608NI-K2 DE 8 CANALES 8 MP 2 SATA</t>
  </si>
  <si>
    <t>SWITCH DS-3E2310-P POE 8 PUERTOS 100MB+ 2X1GB RJ45</t>
  </si>
  <si>
    <t>SWITCH POE 4 PUERTOS</t>
  </si>
  <si>
    <t>CONTACTO MAGNETICO LIVIANO 7939WG</t>
  </si>
  <si>
    <t>CAMARA DOMO DS-2CD1123G0E-I(2.8MM) IP 2MP LENTE 2.8MM IR 30M</t>
  </si>
  <si>
    <t>CAMARA DOMO HIKVISION DS-2CD1123G0E-I(2.8MM) IP 2MP LENTE 2.8MM IR 30M H.265+ DWDR D/N F2.8</t>
  </si>
  <si>
    <t>Cámara Bullet de tecnología IP, optica varifocal 2,8</t>
  </si>
  <si>
    <t>Cámara Bullet de tecnología IP y resolución 2 megapixeles, óptica fija</t>
  </si>
  <si>
    <t xml:space="preserve">UPS 10MF0750 INTERACTIVA 750VA 375W 3SALIDAS 120V REGULADAS </t>
  </si>
  <si>
    <t xml:space="preserve">UPS  INTERACTIVA MICRONET 750VA 360W 4 SALIDAS 120V REGULADAS Y CON RESPALDO POR BATERIA US PLUG </t>
  </si>
  <si>
    <t>Disco duro 2TB purple WD20PURX</t>
  </si>
  <si>
    <t>BATERIA 12V 7 AH</t>
  </si>
  <si>
    <t xml:space="preserve">UPS 10MF0750 INTERACTIVA 750VA 375W 3SALIDAS 120V REGULADAS  y con respaldo </t>
  </si>
  <si>
    <t>GABINETE GT2183 DE PARED CON TAPAS LATERALES FORMATO 48.3 CM M.E. 46 x 52 x 51</t>
  </si>
  <si>
    <t>Toma aéreo polo a tierra</t>
  </si>
  <si>
    <t>Macho polo a tierra</t>
  </si>
  <si>
    <t>Cable UTP 4 pares categoria 6</t>
  </si>
  <si>
    <t>Cable encauchetado 3 x 18</t>
  </si>
  <si>
    <t>Caja temoplástica 10 x 10 x 5 cms</t>
  </si>
  <si>
    <t>Caja temoplástica 20 x 20 x 18 cms</t>
  </si>
  <si>
    <t>Multitomas</t>
  </si>
  <si>
    <t>Clavijas</t>
  </si>
  <si>
    <t>Video Balum por par</t>
  </si>
  <si>
    <t>INFRARROJO RK315DT EXTERIOR WATCHOUT 2C</t>
  </si>
  <si>
    <t>Infrarrojo LC-104-PIMW-WNL 25Kg</t>
  </si>
  <si>
    <t>Infrarrojo DSC-LC-104-PIMW-WNL 25Kg</t>
  </si>
  <si>
    <t>Sirena SD-30W doble tono 30W</t>
  </si>
  <si>
    <t>Central de incendio FPD-7024 convencional 4 lazos 2 salidas</t>
  </si>
  <si>
    <t>MODULO FPE-7039 EXPANSION MULTIPLEX</t>
  </si>
  <si>
    <t>DETECTOR DE HUMO D7050 FOTOELECTRICODIRECCIONABLE</t>
  </si>
  <si>
    <t>SIRENA CON ESTROBO W-HSR 24VDC ROJO</t>
  </si>
  <si>
    <t>PULSADOR MANUAL DE INCENDIO FMM 7045 DIRECCIONABLE</t>
  </si>
  <si>
    <t xml:space="preserve">TECLADO FMR-7033 LCD (D7024) </t>
  </si>
  <si>
    <t xml:space="preserve">DISCO DURO WD40PURZ 4TB INTELLIPOWERSATA3 64MB WD </t>
  </si>
  <si>
    <t>RECEPTORA INALAMBRICA JJ DOS BOTONES</t>
  </si>
  <si>
    <t>NVR DS-7608NI-I2/8P 8CH POE HD 80 MBPS2 BAHIAS/6TB 120-220VAC H.265</t>
  </si>
  <si>
    <t>NVR 8CH, 80MBPS BIT RATE INPUT MAX</t>
  </si>
  <si>
    <t>NVR HIKVISION DS-7608NI-K2 DE 8 CANALES 8 MP 2 SATA</t>
  </si>
  <si>
    <t>FORMATO G PE7 - PROPUESTA ECONÓMICA</t>
  </si>
  <si>
    <t>COMPONENTE PE7: PRESTAR EL SERVICIO DE VIGILANCIA CON ORTOFOTO</t>
  </si>
  <si>
    <r>
      <t xml:space="preserve">Nota 1: </t>
    </r>
    <r>
      <rPr>
        <sz val="10"/>
        <rFont val="Arial"/>
        <family val="2"/>
      </rPr>
      <t>El  FORMATO 6 - PROPUESTA ECONÓMICA,  es la tabla conformada por la oferta económica del proponente para los 7 componentes del proceso y sus diferentes ítems, en la tabla se relacionan los valores soportados en los siguientes formatos, que corresponden a cada componente:
FORMATO A PE1 - PROPUESTA ECONÓMICA - COMPONENTE PE1: SERVICIO DE VIGILANCIA HUMANA
FORMATO B PE2 - PROPUESTA ECONÓMICA - COMPONENTE PE2: MONITOREO ALARMAS - MEDIOS TECNOLÓGICOS
FORMATO C PE3 - PROPUESTA ECONÓMICA - COMPONENTE PE3: MANTENIMIENTO PREVENTIVO AL SISTEMA DE ALARMAS
FORMATO D PE4 - PROPUESTA ECONÓMICA - COMPONENTE PE4: MANTENIMIENTO PREVENTIVO AL SISTEMA DE VIDEO (CCTV)
FORMATO E PE5 - PROPUESTA ECONÓMICA - COMPONENTE PE5: MANTENIMIENTO PREVENTIVO AL SISTEMA DE CONTROL DE ACCESO
FORMATO F PE6 - PROPUESTA ECONÓMICA - COMPONENTE PE6: MANTENIMIENTO CORRECTIVO Y SUS ACCESORIOS
FORMATO G PE7 - PROPUESTA ECONÓMICA - COMPONENTE PE7: PRESTAR EL SERVICIO DE VIGILANCIA CON ORTOFOTO
Cada formato se deberá diligenciar acorde a las notas y especificaciones propias que cada uno de ellos contemple. 
Por tanto, para determinar el menor valor de la propuesta se tomará la suma del VALOR TOTAL ANTES DE IVA  de cada uno de los 7 componentes, considerando, que en el proceso se cuenta con dos bolsas, para los componentes PE6: MANTENIMIENTO CORRECTIVO Y SUS ACCESORIOS y PE7: PRESTAR EL SERVICIO DE VIGILANCIA CON ORTOFOTO, las cuales, que si bien se asignarán por el valor establecido en el presupuesto corporativo ($45.500.000 IVA incluido  y $20.000.000 IVA incluido respectivamente), para la evaluación, con el fin de determinar el menor valor de la propuesta se tomará la sumatoria de los valores totales (valor unitario por cantidad) ofertados por el proponente antes de IVA (VALOR TOTAL ANTES DE IVA).
El  FORMATO 6 - PROPUESTA ECONÓMICA solo se evaluará si se presenta con los 7 formatos soporte (formato A al formato F), en caso, que no se presenten todos los formatos, la propuesta será rechazada.</t>
    </r>
  </si>
  <si>
    <r>
      <t>Nota 3:</t>
    </r>
    <r>
      <rPr>
        <sz val="10"/>
        <rFont val="Arial"/>
        <family val="2"/>
      </rPr>
      <t xml:space="preserve"> Los oferentes podrán ofertar valores unitarios menores o iguales a los establecidos en el presupuesto de los estudios previos (VALOR UNITARIO DE REFERENCIA PARA LA CORPORACIÓN ANTES DE IVA), no obstante, el valor unitario no podrá ser superior al establecido. En todo caso y considerando, que la Corporación dispone de una bolsa de recursos para el consumo de los ítems en este componente, la sumatoria de los valores totales (valor unitario por cantidad) ofertados por el proponente antes de IVA (VALOR TOTAL ANTES DE IVA), no puede superar la sumatoria de los valores totales (valor unitario por cantidad) de referencia antes de IVA de la corporación, correspondiente a $54.227, siendo causal de rechazo.</t>
    </r>
  </si>
  <si>
    <r>
      <t xml:space="preserve">Nota 4: </t>
    </r>
    <r>
      <rPr>
        <sz val="10"/>
        <rFont val="Arial"/>
        <family val="2"/>
      </rPr>
      <t xml:space="preserve"> Teniendo presente que en el presupuesto oficial se determino una bolsa para adquirir servicios a demandan, los ítems a adquirir por dicha bolsa, se consumirán acorde a la necesidad y se reconocerán de acuerdo con la oferta económica del oferente que resulte aceptada, hasta el presupuesto designado para ello, correspondiente para este ítem en $20.000.000 IVA incluido, valor igualmente de adjudicación por el componente. Tener en cuenta, que para determinar el menor valor de la propuesta se tomará la sumatoria de los valores totales (valor unitario por cantidad) ofertados por el proponente antes de IVA (VALOR TOTAL ANTES DE IVA). </t>
    </r>
  </si>
  <si>
    <r>
      <t xml:space="preserve">Nota 5: </t>
    </r>
    <r>
      <rPr>
        <sz val="10"/>
        <rFont val="Arial"/>
        <family val="2"/>
      </rPr>
      <t>Los valores que se oferten deberán sostenerse y demostrar su cumplimiento durante la ejecución del contrato.</t>
    </r>
  </si>
  <si>
    <r>
      <t>Nota 6</t>
    </r>
    <r>
      <rPr>
        <sz val="10"/>
        <rFont val="Arial"/>
        <family val="2"/>
      </rPr>
      <t>: El presente formato se deberá presentar en archivo tipo Excel.</t>
    </r>
  </si>
  <si>
    <r>
      <t>Nota 7</t>
    </r>
    <r>
      <rPr>
        <sz val="10"/>
        <rFont val="Arial"/>
        <family val="2"/>
      </rPr>
      <t>: 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Corporación, podrá solicitar a los proponentes las aclaraciones y explicaciones que se estimen pertinentes, así mismo, el valor total antes de IVA corregido no podrá exceder la sumatoria de los valores totales (valor unitario por cantidad) de referencia antes de IVA de la corporación, correspondiente a $45.569 para el componente.</t>
    </r>
  </si>
  <si>
    <t>UNIDAD DE MEDIDA</t>
  </si>
  <si>
    <t>CANTIDAD</t>
  </si>
  <si>
    <t>Rango de 0 a 50 Ha.</t>
  </si>
  <si>
    <t>Ha.</t>
  </si>
  <si>
    <t>Rango de 51 a 100 Ha.</t>
  </si>
  <si>
    <t>Rango de 101 a 200 Ha.</t>
  </si>
  <si>
    <t>MEMORIA DE CÁLCULO - OPCIÓN 2</t>
  </si>
  <si>
    <t>DISCRIMINACIÓN DE COSTOS</t>
  </si>
  <si>
    <t>SUBTOTAL COSTOS DE PERSONAL</t>
  </si>
  <si>
    <t xml:space="preserve">Valor total oferente </t>
  </si>
  <si>
    <t>COSTOS DE MATERIALES Y SUMINISTROS</t>
  </si>
  <si>
    <t>SUBTOTAL COSTOS DE MATERIALES Y SUMINISTROS</t>
  </si>
  <si>
    <t>COSTOS DE MAQUINARIA Y EQUIPO</t>
  </si>
  <si>
    <t>SUBTOTAL COSTOS DE MAQUINARIA Y EQUIPO</t>
  </si>
  <si>
    <t>OTROS COSTOS</t>
  </si>
  <si>
    <t>SUBTOTAL OTROS COSTOS</t>
  </si>
  <si>
    <t>¿ES UN CONTRATO O REQUIERE CONTRATO DERIVADO?</t>
  </si>
  <si>
    <t>No</t>
  </si>
  <si>
    <t>Unidades</t>
  </si>
  <si>
    <t>Observaciones:</t>
  </si>
  <si>
    <t>MEMORIA DE CÁLCULO - OPCIÓN 3</t>
  </si>
  <si>
    <t>ACTIVIDAD 1</t>
  </si>
  <si>
    <t>OTROS COSTOS (Diferentes a los costos de personal)</t>
  </si>
  <si>
    <t>SUBTOTAL ACTIVIDAD</t>
  </si>
  <si>
    <t>Si</t>
  </si>
  <si>
    <t>Costo unitario (antes de administración, utilidad e IVA si aplican)</t>
  </si>
  <si>
    <r>
      <rPr>
        <b/>
        <sz val="10"/>
        <rFont val="Arial"/>
        <family val="2"/>
      </rPr>
      <t>Descripción</t>
    </r>
    <r>
      <rPr>
        <sz val="10"/>
        <rFont val="Arial"/>
        <family val="2"/>
      </rPr>
      <t>:</t>
    </r>
  </si>
  <si>
    <t>Costo unitario sin MO (antes de administración, utilidad e IVA si aplican)</t>
  </si>
  <si>
    <t>ACTIVIDAD 2</t>
  </si>
  <si>
    <t>ACTIVIDAD 3</t>
  </si>
  <si>
    <t>Costo unitario sin MO  (antes de administración, utilidad e IVA si aplican)</t>
  </si>
  <si>
    <t>ACTIVIDAD 4</t>
  </si>
  <si>
    <t>ACTIVIDAD 5</t>
  </si>
  <si>
    <t>ACTIVIDAD 6</t>
  </si>
  <si>
    <t>DETERMINACIÓN DE GASTOS DE ADMINISTRACIÓN</t>
  </si>
  <si>
    <t>COSTOS DIRECTOS EN DINERO NO EJECUTOR</t>
  </si>
  <si>
    <t>GASTOS DE ADMINISTRACIÓN</t>
  </si>
  <si>
    <t>TOTAL GASTOS DE ADMINISTRACIÓN</t>
  </si>
  <si>
    <t>En caso de convenios, si el conveniante ejecutor va a realizar un contrato derivado, considerar para el análisis:</t>
  </si>
  <si>
    <t>TOTAL APORTES EN DINERO NO EJECUTOR (antes de AU e IVA)</t>
  </si>
  <si>
    <t>Administración</t>
  </si>
  <si>
    <t>TOTAL Porcentaje de gastos de administración a reconocer por análisis de contrato derivado (Sobre los costos directos en dinero del no ejecutor)</t>
  </si>
  <si>
    <t>IDENTIFICACIÓN DE BIENES NACIONALES RELEVANTES</t>
  </si>
  <si>
    <r>
      <t xml:space="preserve">El artículo 2 del Decreto 680 de 2021 adicionó el artículo 2.2.1.2.4.2.9 al Decreto 1082 de 2015, en cuanto a que, en la contratación de servicios, la entidad deberá otorgar el puntaje establecido en el artículo 2 de la Ley 816 de 2003 al proponente que oferte servicios nacionales o servicios extranjeros con trato nacional de acuerdo a la regla de origen aplicable y menciona que: 
“En los contratos que deban cumplirse en Colombia, la Entidad Estatal definirá de manera razonable y proporcionada los bienes colombianos relevantes teniendo en cuenta:
1. El análisis del sector económico y de los oferentes, y, toda aquella información adicional con la que cuente la Entidad Estatal en la etapa de planeación del Proceso de Contratación;
2. El porcentaje de participación de los bienes en el presupuesto del Proceso de Contratación; y
3. La existencia de los bienes en el Registro de Productores de Bienes Nacionales, en los términos del Decreto 2680 de 2009 o las normas que lo modifiquen, aclaren, adicionen o sustituyan.
</t>
    </r>
    <r>
      <rPr>
        <b/>
        <sz val="10"/>
        <color theme="1"/>
        <rFont val="Arial"/>
        <family val="2"/>
      </rPr>
      <t>En aquellos casos en que, de acuerdo con el objeto contractual, no existan bienes colombianos relevantes o no exista oferta nacional de los mismos en el Registro de Productores de Bienes Nacionales, la Entidad Estatal otorgará el puntaje de que trata el inciso primero del artículo 2° de la Ley 816 de 2003 al proponente que vincule el porcentaje mínimo establecido por la Entidad Estatal de empleados o contratistas por prestación de servicios colombianos, que no podrá ser inferior al 40% del total de empleados y contratistas asociados al cumplimiento del contrato.</t>
    </r>
    <r>
      <rPr>
        <sz val="10"/>
        <color theme="1"/>
        <rFont val="Arial"/>
        <family val="2"/>
      </rPr>
      <t xml:space="preserve">
La Entidad Estatal documentará este análisis y dejará constancia en los Documentos del Proceso”</t>
    </r>
  </si>
  <si>
    <t xml:space="preserve">Teniendo en cuenta lo anterior, la Corporación determina la siguiente metodología, considerando la información y herramientas dispuestas para ello por Colombia Compra Eficiente (https://bienesrelevantes.colombiacompra.gov.co/), para identificar los “Bienes Colombianos Relevantes” para cada proceso de selección, que le aplique, aclarando que hay 2 opciones para otorgar puntaje por Estímulo A La Industria Nacional Colombiana, los cuales son, por Bienes Nacionales Relevantes, o por porcentaje de personal colombiano vinculado, y esto dependerá del resultado del siguiente análisis. </t>
  </si>
  <si>
    <r>
      <rPr>
        <b/>
        <sz val="10"/>
        <color theme="1"/>
        <rFont val="Arial"/>
        <family val="2"/>
      </rPr>
      <t>1. El análisis del sector económico y de los oferentes, y, toda aquella información adicional con la que cuente la Entidad Estatal en la etapa de planeación del Proceso de Contratación.</t>
    </r>
    <r>
      <rPr>
        <sz val="10"/>
        <color theme="1"/>
        <rFont val="Arial"/>
        <family val="2"/>
      </rPr>
      <t xml:space="preserve">
Se parte de la identificación de los bienes dentro del presupuesto oficial (o sus memorias de cálculos), para ello el técnico debe diligenciar, el cuadro 1. Lista de bienes. Entendiendo por bien cualquier elemento tangible o material que para el presente proceso se compre o adquiera de manera definitiva, considerar que en todo caso el valor unitario debe de ser antes de IVA, si hay un ítem igual en varias actividades consolidar las cantidades requeridas del mismo para todo el proceso.
</t>
    </r>
  </si>
  <si>
    <t>CUADRO 1. LISTA DE BIENES</t>
  </si>
  <si>
    <t>PP</t>
  </si>
  <si>
    <t>VALOR TOTAL DE LOS BIENES</t>
  </si>
  <si>
    <r>
      <rPr>
        <b/>
        <sz val="10"/>
        <color theme="1"/>
        <rFont val="Arial"/>
        <family val="2"/>
      </rPr>
      <t>2. El porcentaje de participación de los bienes en el presupuesto del Proceso de Contratación</t>
    </r>
    <r>
      <rPr>
        <sz val="10"/>
        <color theme="1"/>
        <rFont val="Arial"/>
        <family val="2"/>
      </rPr>
      <t xml:space="preserve">
En un segundo momento, se determina el porcentaje de participación de los bienes en el presupuesto según la metología dispuesta por Colombia Compra Eficiente (https://bienesrelevantes.colombiacompra.gov.co/), para elllo el cuadro 2. Porcentaje de participación de los bienes, se rellena automáticamente de acuerdo con la información diligenciada en el cuadro 1. Lista de bienes. De acuerdo al porcentaje de participación se identifica si es una un bien relevante.
</t>
    </r>
  </si>
  <si>
    <t>CUADRO 2. PORCENTAJE DE PARTICIPACIÓN DE LOS BIENES</t>
  </si>
  <si>
    <t>Bien relevante</t>
  </si>
  <si>
    <t>Ubicación</t>
  </si>
  <si>
    <t>Porcentaje de participación</t>
  </si>
  <si>
    <t>Porcentaje de participación acumulado</t>
  </si>
  <si>
    <t>¿Está dentro del 80% del porcentaje acumulado?</t>
  </si>
  <si>
    <t>¿Es un bien relevante?</t>
  </si>
  <si>
    <t>PROMEDIO (PORCENTAJE DE PARTICIPACIÓN) DE LOS BIENES QUE REPRESENTAN EL 80 % DE MAYOR PARTICIPACIÓN</t>
  </si>
  <si>
    <r>
      <rPr>
        <b/>
        <sz val="10"/>
        <color theme="1"/>
        <rFont val="Arial"/>
        <family val="2"/>
      </rPr>
      <t>3. La existencia de los bienes en el Registro de Productores de Bienes Nacionales, en los términos del Decreto 2680 de 2009 o las normas que lo modifiquen, aclaren, adicionen o sustituyan.</t>
    </r>
    <r>
      <rPr>
        <sz val="10"/>
        <color theme="1"/>
        <rFont val="Arial"/>
        <family val="2"/>
      </rPr>
      <t xml:space="preserve">
Por último, para los bienes que en el cuadro 2. Porcentaje de participación de los bienes, hayan sido identificados como bienes relevantes, se debe consultar (http://pbn.vuce.gov.co/consultas/index.php) si están incluidos en el Registro de Productores de Bienes Nacionales (RPBN) – Decreto 2680 de 2009, y consignar la información en el cuadro 3. Bienes relevantes en el RPBN
</t>
    </r>
    <r>
      <rPr>
        <b/>
        <sz val="10"/>
        <color theme="1"/>
        <rFont val="Arial"/>
        <family val="2"/>
      </rPr>
      <t xml:space="preserve">
Si los bienes están incluidos en el RPBN, se aplica la metodología explicada en la Resolución 304 de 202</t>
    </r>
    <r>
      <rPr>
        <sz val="10"/>
        <color theme="1"/>
        <rFont val="Arial"/>
        <family val="2"/>
      </rPr>
      <t xml:space="preserve">1.
</t>
    </r>
    <r>
      <rPr>
        <b/>
        <sz val="10"/>
        <color theme="1"/>
        <rFont val="Arial"/>
        <family val="2"/>
      </rPr>
      <t xml:space="preserve">
Si los bienes no están incluidos en el RPBN, la Entidad otorgará el puntaje a los proponentes que se comprometan a vincular al desarrollo del objeto contractual un porcentaje de empleados o contratistas por prestación de servicios colombianos de al menos el cuarenta por ciento (40 %) del personal requerido para el cumplimiento del contrato.</t>
    </r>
  </si>
  <si>
    <t>CUADRO 3. BIENES RELEVANTES EN EL RPBN</t>
  </si>
  <si>
    <t xml:space="preserve">Para buscar en el RPBN: </t>
  </si>
  <si>
    <t>http://pbn.vuce.gov.co/consultas/index.php</t>
  </si>
  <si>
    <t>¿Está en el RPBN?</t>
  </si>
  <si>
    <t>Observaciones</t>
  </si>
  <si>
    <t>PROPUESTA ECONÓMICA - OPCIÓN 2</t>
  </si>
  <si>
    <t>CÓDIGO:F-PGC-21</t>
  </si>
  <si>
    <t>NÚMERO DE PROCESO:</t>
  </si>
  <si>
    <t>PROPUESTA ECONÓMICA</t>
  </si>
  <si>
    <t>Valor unitario referencia corporación antes de IVA</t>
  </si>
  <si>
    <t>Valor unitario oferente antes de IVA</t>
  </si>
  <si>
    <t xml:space="preserve">Valor unitario referencia corporación antes de IVA
</t>
  </si>
  <si>
    <t>_____________________________
Firma del oferente: 
Nombre del representante legal:
Número de documento:</t>
  </si>
  <si>
    <t>NOTAS</t>
  </si>
  <si>
    <t>PROPUESTA ECONÓMICA - OPCIÓN 3</t>
  </si>
  <si>
    <t>SUBTOTAL ACTIVIDAD 1</t>
  </si>
  <si>
    <t>SUBTOTAL ACTIVIDAD 2</t>
  </si>
  <si>
    <t>SUBTOTAL ACTIVIDAD 3</t>
  </si>
  <si>
    <t>ESTIMACIÓN PAB COMPARACIÓN ABSOLUTA</t>
  </si>
  <si>
    <t>En la comparación absoluta la Entidad Estatal contrasta el valor de cada oferta con el costo estimado de la provisión del bien o servicio de acuerdo con en el Estudio del Sector elaborado por la Entidad Estatal. Cuando la Entidad Estatal recibe menos de 5 ofertas debe solicitar aclaración a los proponentes cuyas ofertas sean menores en un 20%, o un mayor porcentaje, al costo total estimado por la Entidad Estatal. (Guía Colombia Compra Eficiente Ofertas Artificialmente Bajas, pág.5). 
Como la Guía de Colombia Compra Eficiente tiene un vacío para el uso de metodologías en el caso de presentarse 5 ofertas, Corantioquia en dicho caso utilizará la comparación absoluta, y solo utilizará la comparación relativa si se presentan más de 5 ofertas.</t>
  </si>
  <si>
    <t>En los contratos por pluralidad de oferentes al momento de subir el presente libro a la plataforma secop, el asesor jurídico y el asesor técnico, deberán ocultar la presente hoja, solo colocando a disposición de los oferentes el acta de PAB debidamente radicada, en el momento adecuado para ello.</t>
  </si>
  <si>
    <t>ESTIMACIÓN PAB COMPARACIÓN ABSOLUTA POR EL PRESUPUESTO TOTAL</t>
  </si>
  <si>
    <t>Valor presupuesto total antes de IVA</t>
  </si>
  <si>
    <t>Porcentaje base</t>
  </si>
  <si>
    <t>Valor base para determinar PAB</t>
  </si>
  <si>
    <t>PAB Comparación absoluta</t>
  </si>
  <si>
    <t>ESTIMACIÓN PAB COMPARACIÓN ABSOLUTA POR LOTE</t>
  </si>
  <si>
    <t>Lote</t>
  </si>
  <si>
    <t>Valor total lote antes de IVA</t>
  </si>
  <si>
    <t xml:space="preserve">Valor total lote base para determinar PAB </t>
  </si>
  <si>
    <t>PAB unitario Comparación absoluta</t>
  </si>
  <si>
    <t>ESTIMACIÓN PAB COMPARACIÓN ABSOLUTA POR UNIDAD</t>
  </si>
  <si>
    <t>Valor unitario presupuesto antes de IVA</t>
  </si>
  <si>
    <t xml:space="preserve">Valor unitario base para determinar PAB </t>
  </si>
  <si>
    <t>ESTIMACIÓN PAB COMPARACIÓN ABSOLUTA POR LOTE - UNIDAD</t>
  </si>
  <si>
    <t>Lote 1:</t>
  </si>
  <si>
    <t>Adquisición de equipos informáticos</t>
  </si>
  <si>
    <t>Lote 2 :</t>
  </si>
  <si>
    <t>Adquisición de insumos informáticos</t>
  </si>
  <si>
    <t>VERIFICACIÓN DE REQUISITOS HABILITANTES DE LOS PROPONENTES SOBRE CAPACIDAD FINANCIERA Y ORGANIZACIONAL</t>
  </si>
  <si>
    <t xml:space="preserve">VERIFICACIÓN DE REQUISITOS HABILITANTES DE LOS PROPONENTES SOBRE CAPACIDAD FINANCIERA Y ORGANIZACIONAL - GENERALES- </t>
  </si>
  <si>
    <t xml:space="preserve">CALIFICACIÓN </t>
  </si>
  <si>
    <t>INDICADOR FINANCIERO</t>
  </si>
  <si>
    <t>REGISTRO ÚNICO DE PROPONENTES</t>
  </si>
  <si>
    <t>FECHA DE CORTE DE LA INFORMACIÓN FINANCIERA</t>
  </si>
  <si>
    <t>LIQUIDEZ</t>
  </si>
  <si>
    <t>NIVEL DE ENDEUDAMIENTO</t>
  </si>
  <si>
    <t>RAZÓN DE COBERTURA DE INTERESES</t>
  </si>
  <si>
    <t>RENTABILIDAD DEL PATRIMONIO</t>
  </si>
  <si>
    <t>RENTABILIDAD DEL ACTIVO</t>
  </si>
  <si>
    <t>CUMPLE</t>
  </si>
  <si>
    <t>NO CUMPLE</t>
  </si>
  <si>
    <t xml:space="preserve">CRITERIOS
PROPONENTES
                                                                                                                                                                                           </t>
  </si>
  <si>
    <t>RUP EN FIRME</t>
  </si>
  <si>
    <t>MAYOR A UNO (1)</t>
  </si>
  <si>
    <t>MENOR O IGUAL AL  SETENTA POR CIENTO (70%).</t>
  </si>
  <si>
    <t>POSITIVA MAYOR O IGUAL A DOS (2) / Indeterminada</t>
  </si>
  <si>
    <t>MAYOR  AL UNO POR CIENTO (1%).</t>
  </si>
  <si>
    <t>VERIFICACIÓN DE REQUISITOS HABILITANTES DE LOS PROPONENTES SOBRE CAPACIDAD FINANCIERA Y ORGANIZACIONAL - DIFERENCIALES-</t>
  </si>
  <si>
    <t>MENOR O IGUAL AL OCHENTA POR CIENTO (80%).</t>
  </si>
  <si>
    <t>POSITIVA MAYOR O IGUAL A UNO PUNTO CINCO (1,5) / Indeterminada</t>
  </si>
  <si>
    <t>MAYOR O IGUAL AL CERO PUNTO CINCO POR CIENTO (0,5%).</t>
  </si>
  <si>
    <t>CALIFICACIÓN DE INDICADORES:</t>
  </si>
  <si>
    <r>
      <rPr>
        <b/>
        <sz val="10"/>
        <color indexed="8"/>
        <rFont val="Arial"/>
        <family val="2"/>
      </rPr>
      <t xml:space="preserve">CUMPLE: </t>
    </r>
    <r>
      <rPr>
        <sz val="10"/>
        <color indexed="8"/>
        <rFont val="Arial"/>
        <family val="2"/>
      </rPr>
      <t>Si la totalidad de los indicadores presentados por el proponente en el RUP guardan correspondencia con los mínimos exigidos por la CORPORACION.</t>
    </r>
  </si>
  <si>
    <r>
      <rPr>
        <b/>
        <sz val="10"/>
        <color indexed="8"/>
        <rFont val="Arial"/>
        <family val="2"/>
      </rPr>
      <t>NO CUMPLE:</t>
    </r>
    <r>
      <rPr>
        <sz val="10"/>
        <color indexed="8"/>
        <rFont val="Arial"/>
        <family val="2"/>
      </rPr>
      <t xml:space="preserve"> Cuando al menos uno de los indicadores presentados por el proponente en el RUP no guarda correspondencia con los mínimos exigidos por la CORPORACION .</t>
    </r>
  </si>
  <si>
    <t>_____________________________________________________</t>
  </si>
  <si>
    <t xml:space="preserve">Asesor(a) Financier(a) - Comité Asesor y Evaluador </t>
  </si>
  <si>
    <t>Subdirección Administrativa y Financiera</t>
  </si>
  <si>
    <t>ESTIMACIÓN PAB COMPARACIÓN RELATIVA</t>
  </si>
  <si>
    <r>
      <t xml:space="preserve">Colombia Compra Eficiente presenta la siguiente metodología (comparación relativa) como sugerencia para que las Entidades Estatales identifiquen la posibilidad de precios artificialmente bajos cuando </t>
    </r>
    <r>
      <rPr>
        <b/>
        <sz val="10"/>
        <rFont val="Arial"/>
        <family val="2"/>
      </rPr>
      <t>hay más de 5 ofertas</t>
    </r>
    <r>
      <rPr>
        <sz val="10"/>
        <rFont val="Arial"/>
        <family val="2"/>
      </rPr>
      <t xml:space="preserve"> en un Proceso de Contratación (Guía Colombia Compra Eficiente Ofertas Artificialmente Bajas, pág.5). </t>
    </r>
  </si>
  <si>
    <t>ESTIMACIÓN PAB COMPARACIÓN RELATIVA POR EL PRESUPUESTO TOTAL</t>
  </si>
  <si>
    <t>Oferente</t>
  </si>
  <si>
    <t>NIT</t>
  </si>
  <si>
    <t>Valor total antes de IVA</t>
  </si>
  <si>
    <t>MEDIANA</t>
  </si>
  <si>
    <t>DESVIACIÓN ESTÁNDAR</t>
  </si>
  <si>
    <t>VALOR MÍNIMO ACEPTABLE</t>
  </si>
  <si>
    <t>ESTIMACIÓN PAB COMPARACIÓN RELATIVA POR LOTE</t>
  </si>
  <si>
    <t>LOTE 1. XXXXXX</t>
  </si>
  <si>
    <t>LOTE 2. XXXXXX</t>
  </si>
  <si>
    <t>Valor total antes de IVA lote</t>
  </si>
  <si>
    <t>ESTIMACIÓN PAB COMPARACIÓN RELATIVA POR UNIDAD</t>
  </si>
  <si>
    <t>ÍTEM / Oferente (Valor unitario antes de IVA)</t>
  </si>
  <si>
    <t>ESTIMACIÓN PAB COMPARACIÓN RELATIVA POR LOTE - UNIDAD</t>
  </si>
  <si>
    <t>Lote 2:</t>
  </si>
  <si>
    <t>SUBASTA INVERSA - ANÁLISIS DE HABILITADOS</t>
  </si>
  <si>
    <t>F-PGC-21</t>
  </si>
  <si>
    <t>Subrayar:</t>
  </si>
  <si>
    <r>
      <t>Amarillo:</t>
    </r>
    <r>
      <rPr>
        <sz val="10"/>
        <color indexed="8"/>
        <rFont val="Arial"/>
        <family val="2"/>
      </rPr>
      <t xml:space="preserve"> Están pendientes de Póliza la cual será validada en la subasta.</t>
    </r>
  </si>
  <si>
    <r>
      <t>Rojo:</t>
    </r>
    <r>
      <rPr>
        <sz val="10"/>
        <color indexed="8"/>
        <rFont val="Arial"/>
        <family val="2"/>
      </rPr>
      <t xml:space="preserve"> No cumplen.</t>
    </r>
  </si>
  <si>
    <t>LOTE 1</t>
  </si>
  <si>
    <t xml:space="preserve">OFERENTE </t>
  </si>
  <si>
    <t>ORDEN TÉCNICO</t>
  </si>
  <si>
    <t>ORDEN JURÍDICO</t>
  </si>
  <si>
    <t>ORDEN FINANCIERO</t>
  </si>
  <si>
    <t>HABILITADO/ NO HABILITADO</t>
  </si>
  <si>
    <t xml:space="preserve">CUMPLE / NO CUMPLE </t>
  </si>
  <si>
    <t>LOTE 2</t>
  </si>
  <si>
    <t>LOTE 3</t>
  </si>
  <si>
    <t>SUBASTA INVERSA PRESENCIAL - ANÁLISIS DE LANCES</t>
  </si>
  <si>
    <t>SUBASTA INVERSA PRESENCIAL:</t>
  </si>
  <si>
    <t xml:space="preserve">Número:                              Año: </t>
  </si>
  <si>
    <t>NÚMERO DE LOTE:</t>
  </si>
  <si>
    <t>MARGEN MÍNIMO DE MEJORA DE OFERTA:</t>
  </si>
  <si>
    <t>Numeral P.C.</t>
  </si>
  <si>
    <t>EL VALOR DEL LANCE DEBERA CORRESPONDER AL VALOR ANTES DE IVA</t>
  </si>
  <si>
    <t>PRECIO DE ARRANQUE</t>
  </si>
  <si>
    <t>MARGEN MÍNIMO DE MEJORA DE OFERTA</t>
  </si>
  <si>
    <t>PRECIO MÁXIMO PARA EL LANCE No. 1</t>
  </si>
  <si>
    <t>PRECIO OFERTADO EN EL LANCE No.1</t>
  </si>
  <si>
    <t>PRECIO MÁXIMO PARA EL LANCE No. 2</t>
  </si>
  <si>
    <t>PRECIO OFERTADO EN EL LANCE No.2</t>
  </si>
  <si>
    <t>PRECIO MÁXIMO PARA EL LANCE No. 3</t>
  </si>
  <si>
    <t>PRECIO OFERTADO EN EL LANCE No.3</t>
  </si>
  <si>
    <t>PRECIO MÁXIMO PARA EL LANCE No. 4</t>
  </si>
  <si>
    <t>PRECIO OFERTADO EN EL LANCE No.4</t>
  </si>
  <si>
    <t>PRECIO MÁXIMO PARA EL LANCE No. 5</t>
  </si>
  <si>
    <t>PRECIO OFERTADO EN EL LANCE No.5</t>
  </si>
  <si>
    <t>PRECIO MÁXIMO PARA EL LANCE No. 6</t>
  </si>
  <si>
    <t>PRECIO OFERTADO EN EL LANCE No.6</t>
  </si>
  <si>
    <t>PRECIO MÁXIMO PARA EL LANCE No. 7</t>
  </si>
  <si>
    <t>PRECIO OFERTADO EN EL LANCE No.7</t>
  </si>
  <si>
    <t>PRECIO MÁXIMO PARA EL LANCE No. 8</t>
  </si>
  <si>
    <t>PRECIO OFERTADO EN EL LANCE No.8</t>
  </si>
  <si>
    <t>PRECIO MÁXIMO PARA EL LANCE No. 9</t>
  </si>
  <si>
    <t>PRECIO OFERTADO EN EL LANCE No.9</t>
  </si>
  <si>
    <t>PRECIO MÁXIMO PARA EL LANCE No. 10</t>
  </si>
  <si>
    <t>PRECIO OFERTADO EN EL LANCE No.10</t>
  </si>
  <si>
    <t>PRECIO MÁXIMO PARA EL LANCE No. 11</t>
  </si>
  <si>
    <t>PRECIO OFERTADO EN EL LANCE No.11</t>
  </si>
  <si>
    <t>PRECIO MÁXIMO PARA EL LANCE No. 12</t>
  </si>
  <si>
    <t>PRECIO OFERTADO EN EL LANCE No.12</t>
  </si>
  <si>
    <t>PRECIO MÁXIMO PARA EL LANCE No. 13</t>
  </si>
  <si>
    <t>PRECIO OFERTADO EN EL LANCE No.13</t>
  </si>
  <si>
    <t>PRECIO MÁXIMO PARA EL LANCE No. 14</t>
  </si>
  <si>
    <t>PRECIO OFERTADO EN EL LANCE No.14</t>
  </si>
  <si>
    <t>PRECIO MÁXIMO PARA EL LANCE No. 15</t>
  </si>
  <si>
    <t>PRECIO OFERTADO EN EL LANCE No.15</t>
  </si>
  <si>
    <t>PRECIO MÁXIMO PARA EL LANCE No. 16</t>
  </si>
  <si>
    <t>PRECIO OFERTADO EN EL LANCE No.16</t>
  </si>
  <si>
    <t>PRECIO MÁXIMO PARA EL LANCE No. 17</t>
  </si>
  <si>
    <t>PRECIO OFERTADO EN EL LANCE No.17</t>
  </si>
  <si>
    <t>PRECIO MÁXIMO PARA EL LANCE No. 18</t>
  </si>
  <si>
    <t>PRECIO OFERTADO EN EL LANCE No.18</t>
  </si>
  <si>
    <t>PRECIO MÁXIMO PARA EL LANCE No. 19</t>
  </si>
  <si>
    <t>PRECIO OFERTADO EN EL LANCE No.19</t>
  </si>
  <si>
    <t>PRECIO MÁXIMO PARA EL LANCE No. 20</t>
  </si>
  <si>
    <t>PRECIO OFERTADO EN EL LANCE No. 20</t>
  </si>
  <si>
    <t>PRECIO MÁXIMO PARA EL LANCE No. 21</t>
  </si>
  <si>
    <t>SUBASTA INVERSA PRESENCIAL - LANCES DE PRECIOS</t>
  </si>
  <si>
    <t>FORMULARIO NRO. 1 
PARA LANCES DE PRECIOS</t>
  </si>
  <si>
    <t>PROCESO:</t>
  </si>
  <si>
    <t>Selección Abreviada Subasta Inversa N° ______  de _________</t>
  </si>
  <si>
    <t>LOTE:</t>
  </si>
  <si>
    <t>OBJETO:</t>
  </si>
  <si>
    <t>CLAVE DEL OFERENTE:</t>
  </si>
  <si>
    <t>NRO DE LANCE:</t>
  </si>
  <si>
    <t>VALOR DEL LANCE:</t>
  </si>
  <si>
    <t>$</t>
  </si>
  <si>
    <t>NOMBRE:</t>
  </si>
  <si>
    <t>FIRMA:</t>
  </si>
  <si>
    <t>SUBASTA INVERSA PRESENCIAL - DECLINACIÓN DE LANCES</t>
  </si>
  <si>
    <t>FORMULARIO NRO. 2 
MANIFESTACIÓN EN FORMA CLARA Y EXPRESA DE QUE NO SE PRESENTARÁ NI EFECTUARÁ MÁS LANCES</t>
  </si>
  <si>
    <t>DESISTE DEL LANCE:</t>
  </si>
  <si>
    <t>VALORES DE GASTOS DE DESPLAZAMIENTO Y MANUTENCIÓN</t>
  </si>
  <si>
    <t>AÑO VIGENTE:</t>
  </si>
  <si>
    <t>MEMORANDO:</t>
  </si>
  <si>
    <t>190-MEM2301-122</t>
  </si>
  <si>
    <t>Cuatro N.1 Gastos de desplazamiento y manutención por municipio</t>
  </si>
  <si>
    <t>Municipio</t>
  </si>
  <si>
    <t xml:space="preserve">Valor total desplazamiento </t>
  </si>
  <si>
    <t>Valor total desplazamiento y manutención más de 4 horas sin pernocta</t>
  </si>
  <si>
    <t>Valor total desplazamiento y manutención con (1) una pernocta*</t>
  </si>
  <si>
    <t>Amagá</t>
  </si>
  <si>
    <t>Amalfí</t>
  </si>
  <si>
    <t>Andes</t>
  </si>
  <si>
    <t>Angelópolis</t>
  </si>
  <si>
    <t>Angostura</t>
  </si>
  <si>
    <t>Anorí</t>
  </si>
  <si>
    <t>Anzá</t>
  </si>
  <si>
    <t>Armenia mantequilla</t>
  </si>
  <si>
    <t>Barbosa</t>
  </si>
  <si>
    <t>Bello</t>
  </si>
  <si>
    <t>Belmira</t>
  </si>
  <si>
    <t>Betania</t>
  </si>
  <si>
    <t>Betulia</t>
  </si>
  <si>
    <t>Briceño</t>
  </si>
  <si>
    <t>Buriticá</t>
  </si>
  <si>
    <t>Cáceres</t>
  </si>
  <si>
    <t>Caicedo</t>
  </si>
  <si>
    <t>Caldas</t>
  </si>
  <si>
    <t>Campamento</t>
  </si>
  <si>
    <t>Caracolí</t>
  </si>
  <si>
    <t>Caramanta</t>
  </si>
  <si>
    <t>Carolina del Príncipe</t>
  </si>
  <si>
    <t>Caucasia</t>
  </si>
  <si>
    <t>Cisneros</t>
  </si>
  <si>
    <t>Ciudad Bolívar</t>
  </si>
  <si>
    <t>Concordia</t>
  </si>
  <si>
    <t>Copacabana</t>
  </si>
  <si>
    <t>Don Matías</t>
  </si>
  <si>
    <t>Ebéjico</t>
  </si>
  <si>
    <t>El Bagre</t>
  </si>
  <si>
    <t>Entrerríos</t>
  </si>
  <si>
    <t>Envigado</t>
  </si>
  <si>
    <t>Fredonia</t>
  </si>
  <si>
    <t>Girardota</t>
  </si>
  <si>
    <t>Gómez Plata</t>
  </si>
  <si>
    <t>Guadalupe</t>
  </si>
  <si>
    <t>Heliconia</t>
  </si>
  <si>
    <t>Hispania</t>
  </si>
  <si>
    <t>Itagüí</t>
  </si>
  <si>
    <t>Ituango</t>
  </si>
  <si>
    <t>Jardín</t>
  </si>
  <si>
    <t>Jericó</t>
  </si>
  <si>
    <t>La Estrella</t>
  </si>
  <si>
    <t>La Pintada</t>
  </si>
  <si>
    <t>Liborina</t>
  </si>
  <si>
    <t>Maceo</t>
  </si>
  <si>
    <t>Medellín</t>
  </si>
  <si>
    <t>Montebello</t>
  </si>
  <si>
    <t>Nechí</t>
  </si>
  <si>
    <t>Olaya</t>
  </si>
  <si>
    <t>Pueblo Rico</t>
  </si>
  <si>
    <t>Puerto Berrío</t>
  </si>
  <si>
    <t>Puerto Nare</t>
  </si>
  <si>
    <t>Remedios</t>
  </si>
  <si>
    <t>Sabanalarga</t>
  </si>
  <si>
    <t>Sabaneta</t>
  </si>
  <si>
    <t>Salgar</t>
  </si>
  <si>
    <t>San Andrés de Cuerquia</t>
  </si>
  <si>
    <t>San Jerónimo</t>
  </si>
  <si>
    <t>San José de la Montaña</t>
  </si>
  <si>
    <t>San Pedro de los Milagros</t>
  </si>
  <si>
    <t>Santa Bárbara</t>
  </si>
  <si>
    <t>Santa Fe de Antioquia</t>
  </si>
  <si>
    <t>Santa Rosa de Osos</t>
  </si>
  <si>
    <t>Segovia</t>
  </si>
  <si>
    <t>Sopetrán</t>
  </si>
  <si>
    <t>Támesis</t>
  </si>
  <si>
    <t>Tarazá</t>
  </si>
  <si>
    <t>Tarso</t>
  </si>
  <si>
    <t>Titiribí</t>
  </si>
  <si>
    <t>Toledo</t>
  </si>
  <si>
    <t>Valdivia</t>
  </si>
  <si>
    <t>Valparaíso</t>
  </si>
  <si>
    <t>Vegachí</t>
  </si>
  <si>
    <t>Venecia</t>
  </si>
  <si>
    <t>Yalí</t>
  </si>
  <si>
    <t>Yarumal</t>
  </si>
  <si>
    <t>Yolombó</t>
  </si>
  <si>
    <t>Yondó</t>
  </si>
  <si>
    <t>Zaragoza</t>
  </si>
  <si>
    <t>* Por cada día de pernocta adicional se reconocerán $110.000.</t>
  </si>
  <si>
    <t>** En caso de reconocer solo gastos de manutención, se contemplará $55.000 por más de 4 horas sin pernocta y $110.000 por cada pernocta. En los casos de los municipios de Medellín, Bello, Itagüí, Sabaneta y Envigado, se reconocerá el 50 % del valor de la manutención correspondiente a $27.000.</t>
  </si>
  <si>
    <t>*** En los municipios que se encuentren ubicados en el Área Metropolitana del Valle de Aburrá, no se autoriza a pernoctar.</t>
  </si>
  <si>
    <t>Cuatro N.2 Gastos de desplazamiento y manutención por territorial</t>
  </si>
  <si>
    <t>Territorial</t>
  </si>
  <si>
    <t>Valor total desplazamiento y manutención con (1) pernocta*</t>
  </si>
  <si>
    <t>Aburrá Norte</t>
  </si>
  <si>
    <t>Aburrá Sur</t>
  </si>
  <si>
    <t>Cartama</t>
  </si>
  <si>
    <t>Citará</t>
  </si>
  <si>
    <t>Hevéxicos</t>
  </si>
  <si>
    <t>Panzenú</t>
  </si>
  <si>
    <t>Tahamíes</t>
  </si>
  <si>
    <t>Zenufaná</t>
  </si>
  <si>
    <t>Cuatro N.3 Gastos de desplazamiento y manutención general</t>
  </si>
  <si>
    <t>Se sugiere un valor de $30.000 para el trasporte entre municipios basado en el promedio valor de un solo tramo de Medellín al promedio de los municipios.</t>
  </si>
  <si>
    <t>VALORES DE HONORARIOS (PRESTADORES DE SERVICIOS)</t>
  </si>
  <si>
    <t>190-MEM2212-9506</t>
  </si>
  <si>
    <t xml:space="preserve">Nivel Académico Requerido </t>
  </si>
  <si>
    <t xml:space="preserve">Valor mes Honorarios </t>
  </si>
  <si>
    <t xml:space="preserve">Bachiller </t>
  </si>
  <si>
    <t xml:space="preserve">Técnico </t>
  </si>
  <si>
    <t xml:space="preserve">Tecnólogo sin experiencia </t>
  </si>
  <si>
    <t xml:space="preserve">Tecnólogo con experiencia </t>
  </si>
  <si>
    <t xml:space="preserve">Profesional sin experiencia </t>
  </si>
  <si>
    <t xml:space="preserve">Profesional con experiencia </t>
  </si>
  <si>
    <t>Coordinador de proyecto</t>
  </si>
  <si>
    <r>
      <rPr>
        <b/>
        <sz val="10"/>
        <color theme="1"/>
        <rFont val="Arial"/>
        <family val="2"/>
      </rPr>
      <t>Nota.</t>
    </r>
    <r>
      <rPr>
        <sz val="10"/>
        <color theme="1"/>
        <rFont val="Arial"/>
        <family val="2"/>
      </rPr>
      <t xml:space="preserve"> El presente valor de los honorarios es el reconocido por la Corporación para la ejecución de sus contratos o convenios, cualquier cambio por parte del ejecutor en la modalidad de contratación de prestación de servicios a laboral será bajo cuenta y riesgo del este último y no podrá trasladar o solidarizar a la Corporación con la carga o gastos adicionales en los cuales incurra.</t>
    </r>
  </si>
  <si>
    <t>VALORES DE JORNALES</t>
  </si>
  <si>
    <t>190-MEM2212-9652, 190-MEM2212-9506</t>
  </si>
  <si>
    <t>SMMLVC:</t>
  </si>
  <si>
    <t>AUX TRANSPORTE MENSUAL:</t>
  </si>
  <si>
    <t>DETERMINACIÓN DEL VALOR DEL JORNAL POR BASE</t>
  </si>
  <si>
    <t>Salario base en SMMLV</t>
  </si>
  <si>
    <t>Salario base expresión monetaria</t>
  </si>
  <si>
    <t>Total jornal diario a reconocer</t>
  </si>
  <si>
    <t>Porcentaje</t>
  </si>
  <si>
    <t>Valor</t>
  </si>
  <si>
    <t>Seguridad Social</t>
  </si>
  <si>
    <t>Salud (EPS) - Empleador</t>
  </si>
  <si>
    <t>Pensión - Empleador</t>
  </si>
  <si>
    <t>ARL - Riesgo V</t>
  </si>
  <si>
    <t>Parafiscales</t>
  </si>
  <si>
    <t>Caja de compensación</t>
  </si>
  <si>
    <t xml:space="preserve">ICBF </t>
  </si>
  <si>
    <t>Sena</t>
  </si>
  <si>
    <t>Prestaciones sociales</t>
  </si>
  <si>
    <t>Cesantías</t>
  </si>
  <si>
    <t>Intereses de cesantías</t>
  </si>
  <si>
    <t>Prima de servicios</t>
  </si>
  <si>
    <t>Vacaciones</t>
  </si>
  <si>
    <t>Valor mensual prestaciones</t>
  </si>
  <si>
    <t>Total valor mensual</t>
  </si>
  <si>
    <t>CÁLCULO DEL FACTOR PRESTACIONAL (Para efectos de planeación)</t>
  </si>
  <si>
    <t>% factor prestacional</t>
  </si>
  <si>
    <t>Jornal sin FP</t>
  </si>
  <si>
    <t>Jornal con FP</t>
  </si>
  <si>
    <t>Notas:</t>
  </si>
  <si>
    <t>Código Sustantivo del Trabajo Artículo 133. Jornal y sueldo: “Se denomina jornal el salario estipulado por días, y sueldo el estipulado por períodos mayores.”</t>
  </si>
  <si>
    <t>Independientemente la forma de pago pactada con el trabajador, en ningún caso el trabajador puede devengar un salario inferior al salario mínimo legal establecido, teniendo en cuenta también que los aportes a seguridad social y las acreencias laborales se siguen causando ya que las formas de pago no infieren en el desconocimiento de los derechos ciertos e indiscutibles de los trabajadores.</t>
  </si>
  <si>
    <t>Pago SS por cada jornal a cargo del trabajador</t>
  </si>
  <si>
    <t>Salud</t>
  </si>
  <si>
    <t>Pensión</t>
  </si>
  <si>
    <t>ARL</t>
  </si>
  <si>
    <t>Pago a entidades SS</t>
  </si>
  <si>
    <t>VALORES DE SALARIOS</t>
  </si>
  <si>
    <t>DECRETO NACIONAL:</t>
  </si>
  <si>
    <t xml:space="preserve">961 del 22/08/2021. </t>
  </si>
  <si>
    <t>Salarios percibidos por el personal con vinculación laboral en la corporación, estos valores se utilizan únicamente para cuantificar el aporte en especie corporativo de su personal, en los casos que aplique.</t>
  </si>
  <si>
    <t xml:space="preserve">SALARIOS PERSONAL VINCULADO LABORALMENTE A LA CORPORACIÓN </t>
  </si>
  <si>
    <t xml:space="preserve">Cargo </t>
  </si>
  <si>
    <t>Salario mensual 2021</t>
  </si>
  <si>
    <t>Proyección Salario mensual 2022</t>
  </si>
  <si>
    <t>Salario mensual con factor prestacional</t>
  </si>
  <si>
    <t>Salario diario con factor prestacional</t>
  </si>
  <si>
    <t>Salario por hora con factor prestacional</t>
  </si>
  <si>
    <t>Asistencial 5</t>
  </si>
  <si>
    <t>Asistencial 6</t>
  </si>
  <si>
    <t>Asistencial 7</t>
  </si>
  <si>
    <t>Asistencial 8</t>
  </si>
  <si>
    <t>Asistencial 9</t>
  </si>
  <si>
    <t>Asistencial 10</t>
  </si>
  <si>
    <t>Asistencial 11</t>
  </si>
  <si>
    <t>Asistencial 12</t>
  </si>
  <si>
    <t>Asistencial 13</t>
  </si>
  <si>
    <t>Asistencial 14</t>
  </si>
  <si>
    <t>Asistencial 15</t>
  </si>
  <si>
    <t>Asistencial 16</t>
  </si>
  <si>
    <t>Asistencial 17</t>
  </si>
  <si>
    <t>Asistencial 18</t>
  </si>
  <si>
    <t>Asistencial 19</t>
  </si>
  <si>
    <t>Asistencial 20</t>
  </si>
  <si>
    <t>Asistencial 21</t>
  </si>
  <si>
    <t>Asistencial 22</t>
  </si>
  <si>
    <t>Asistencial 23</t>
  </si>
  <si>
    <t>Asistencial 24</t>
  </si>
  <si>
    <t>Asistencial 25</t>
  </si>
  <si>
    <t>Asistencial 26</t>
  </si>
  <si>
    <t>Técnico 1</t>
  </si>
  <si>
    <t>Técnico 2</t>
  </si>
  <si>
    <t>Técnico 3</t>
  </si>
  <si>
    <t>Técnico 4</t>
  </si>
  <si>
    <t>Técnico 5</t>
  </si>
  <si>
    <t>Técnico 6</t>
  </si>
  <si>
    <t>Técnico 7</t>
  </si>
  <si>
    <t>Técnico 8</t>
  </si>
  <si>
    <t>Técnico 9</t>
  </si>
  <si>
    <t>Técnico 10</t>
  </si>
  <si>
    <t>Técnico 11</t>
  </si>
  <si>
    <t>Técnico 12</t>
  </si>
  <si>
    <t>Técnico 13</t>
  </si>
  <si>
    <t>Técnico 14</t>
  </si>
  <si>
    <t>Técnico 15</t>
  </si>
  <si>
    <t>Técnico 16</t>
  </si>
  <si>
    <t>Técnico 17</t>
  </si>
  <si>
    <t>Técnico 18</t>
  </si>
  <si>
    <t>Profesional 1</t>
  </si>
  <si>
    <t>Profesional 2</t>
  </si>
  <si>
    <t>Profesional 3</t>
  </si>
  <si>
    <t>Profesional 4</t>
  </si>
  <si>
    <t>Profesional 5</t>
  </si>
  <si>
    <t>Profesional 6</t>
  </si>
  <si>
    <t>Profesional 7</t>
  </si>
  <si>
    <t>Profesional 8</t>
  </si>
  <si>
    <t>Profesional 9</t>
  </si>
  <si>
    <t>Profesional 10</t>
  </si>
  <si>
    <t>Profesional 11</t>
  </si>
  <si>
    <t>Profesional 12</t>
  </si>
  <si>
    <t>Profesional 13</t>
  </si>
  <si>
    <t>Profesional 14</t>
  </si>
  <si>
    <t>Profesional 15</t>
  </si>
  <si>
    <t>Profesional 16</t>
  </si>
  <si>
    <t>Profesional 17</t>
  </si>
  <si>
    <t>Profesional 18</t>
  </si>
  <si>
    <t>Profesional 19</t>
  </si>
  <si>
    <t>Profesional 20</t>
  </si>
  <si>
    <t>Profesional 21</t>
  </si>
  <si>
    <t>Profesional 22</t>
  </si>
  <si>
    <t>Profesional 23</t>
  </si>
  <si>
    <t>Profesional 24</t>
  </si>
  <si>
    <t>Asesor 1</t>
  </si>
  <si>
    <t>Asesor 2</t>
  </si>
  <si>
    <t>Asesor 3</t>
  </si>
  <si>
    <t>Asesor 4</t>
  </si>
  <si>
    <t>Asesor 5</t>
  </si>
  <si>
    <t>Asesor 6</t>
  </si>
  <si>
    <t>Asesor 7</t>
  </si>
  <si>
    <t>Asesor 8</t>
  </si>
  <si>
    <t>Asesor 9</t>
  </si>
  <si>
    <t>Asesor 10</t>
  </si>
  <si>
    <t>Asesor 11</t>
  </si>
  <si>
    <t>Asesor 12</t>
  </si>
  <si>
    <t>Asesor 13</t>
  </si>
  <si>
    <t>Asesor 14</t>
  </si>
  <si>
    <t>Asesor 15</t>
  </si>
  <si>
    <t>Asesor 16</t>
  </si>
  <si>
    <t>Asesor 17</t>
  </si>
  <si>
    <t>Asesor 18</t>
  </si>
  <si>
    <t>Directivo 1</t>
  </si>
  <si>
    <t>Directivo 2</t>
  </si>
  <si>
    <t>Directivo 3</t>
  </si>
  <si>
    <t>Directivo 4</t>
  </si>
  <si>
    <t>Directivo 5</t>
  </si>
  <si>
    <t>Directivo 6</t>
  </si>
  <si>
    <t>Directivo 7</t>
  </si>
  <si>
    <t>Directivo 8</t>
  </si>
  <si>
    <t>Directivo 9</t>
  </si>
  <si>
    <t>Directivo 10</t>
  </si>
  <si>
    <t>Directivo 11</t>
  </si>
  <si>
    <t>Directivo 12</t>
  </si>
  <si>
    <t>Directivo 13</t>
  </si>
  <si>
    <t>Directivo 14</t>
  </si>
  <si>
    <t>Directivo 15</t>
  </si>
  <si>
    <t>Directivo 16</t>
  </si>
  <si>
    <t>Directivo 17</t>
  </si>
  <si>
    <t>Directivo 18</t>
  </si>
  <si>
    <t>Directivo 19</t>
  </si>
  <si>
    <t>Directivo 20</t>
  </si>
  <si>
    <t>Directivo 21</t>
  </si>
  <si>
    <t>Directivo 22</t>
  </si>
  <si>
    <t>Directivo 23</t>
  </si>
  <si>
    <t>Directivo 24</t>
  </si>
  <si>
    <t>Directivo 25</t>
  </si>
  <si>
    <t>Directivo 26</t>
  </si>
  <si>
    <t>Directivo 27</t>
  </si>
  <si>
    <t>Directivo 28</t>
  </si>
  <si>
    <t>VALORES DE ALIMENTACIÓN</t>
  </si>
  <si>
    <t>140-MEM2010-6732</t>
  </si>
  <si>
    <t>Relación de costos a considerar en actividades comunitarias de convenios, contratos o actividades propias  y acogernos al: GU-FAF-03-Lineamientos Suministro Alimentacion Logistica Eventos</t>
  </si>
  <si>
    <t>DESAYUNO SERVIDO EN VAJILLA CUANDO SON EVENTOS QUE LA LAS PERSONAS LLEGAN DESDE TEMPRANO A UN EVENTO DE MAS DE SEIS HORAS</t>
  </si>
  <si>
    <t>COSTO</t>
  </si>
  <si>
    <t xml:space="preserve">OBSERVACIONES </t>
  </si>
  <si>
    <t>Arroz</t>
  </si>
  <si>
    <t>$ 10.000 a $12.000</t>
  </si>
  <si>
    <t>El valor depende de la zona, el Bajo Cauca, Magadalena Medio y Nordeste minero son mas costosos que otras zonas</t>
  </si>
  <si>
    <t xml:space="preserve">Huevo revuelto o Chorizo o Salchichas </t>
  </si>
  <si>
    <t>Queso en bajo Cauca y Magdalena Medio  o quesito en otras zonas</t>
  </si>
  <si>
    <t xml:space="preserve">Platano o Yuca en Bajo Cauca, Nordeste minero y Magdalena Medios o Tajadas en otras zonas </t>
  </si>
  <si>
    <t>Arepa</t>
  </si>
  <si>
    <t>Mantequilla o Suero en Bajo Cauca</t>
  </si>
  <si>
    <t>ALMUERZO O COMIDA SERVIDO EN VAJILLA RETORNABLE</t>
  </si>
  <si>
    <t>Sopa o crema: Un plato sopero</t>
  </si>
  <si>
    <t>$ 15.000 a $18.000</t>
  </si>
  <si>
    <t>Arroz: 150 gramos</t>
  </si>
  <si>
    <t>Acompañante: 80 gramos</t>
  </si>
  <si>
    <t>Proteico o carne en cocido: 100 gramos, en el caso de atender comunidades indigenas o afrocolombianas si se ofrece pescado debe ser entero frito o sudado nunca filete y si es pollo o gallina una presa nunca filete de pechuga.</t>
  </si>
  <si>
    <t>Verdura o ensalada: 80 gramos</t>
  </si>
  <si>
    <t>Arepa: 30 gramos</t>
  </si>
  <si>
    <t>Jugo de Fruta Natural: un Vaso de 12 onzas</t>
  </si>
  <si>
    <t>Postre: 30  gramos</t>
  </si>
  <si>
    <t xml:space="preserve">ALMUERZO TIPO FIAMBRE  ENVUELTO EN HOJA Y AMARRADO CON CABUYA NATURAL  cuando hay recorridos </t>
  </si>
  <si>
    <t>Cereal: Arroz Blanco</t>
  </si>
  <si>
    <t>Acompañante: Maduro, yuca y papa cocido o frito</t>
  </si>
  <si>
    <t>Proteico: Carne sofrita y Huevo cocido ó Chorizo, huevo y Chicharron</t>
  </si>
  <si>
    <t>Jugo de Fruta Natural: Jugo de mango, mora o tomate de árbol o guayaba o guandolo.</t>
  </si>
  <si>
    <t>Fruta de Mano: Banano criollo,  Banano Bocadillo o Murrapo, Mandarina, Pera o Manzana</t>
  </si>
  <si>
    <t>Postre: Pastel de guayaba o arequipe</t>
  </si>
  <si>
    <t xml:space="preserve">REFRIGERIO CUANDO LA ACTIVIDAD DURA HASTA CUATRO HORAS  Y NO SE DA ALMUERZO </t>
  </si>
  <si>
    <t>Bebida: Jugo de fruta natural (mango, guayaba, mora o tomate de árbol)</t>
  </si>
  <si>
    <t>$ 8.000</t>
  </si>
  <si>
    <t>Acompañante: Emparedado de Pan, Jamón, carnes frias, queso , lechuga y tomate</t>
  </si>
  <si>
    <t>Fruta Manzana o Pera</t>
  </si>
  <si>
    <t>Postre o chocolatina mediana</t>
  </si>
  <si>
    <t>REFRIGERIO EN LA MAÑANA CUANDO HAY DESAYUNO se recomienda fruta</t>
  </si>
  <si>
    <t xml:space="preserve">Fruta: mango, piña, papaya o melón en porción </t>
  </si>
  <si>
    <t>REFRIGERIO EN LA TARDE</t>
  </si>
  <si>
    <t xml:space="preserve">Torta con Helado, Salpicón sin sandia y con helado, Yogur con cereal, Porción de Helado </t>
  </si>
  <si>
    <t>REFRIGERIO  DE LA MAÑANA  O CUANDO LA ACTIVIDAD ES DE TODO EL DIA Y SE INCLUYEN DOS REFRIGERIOS</t>
  </si>
  <si>
    <t>Bebida: café con leche o chocolate UNA PORCION GRANDE = Taza</t>
  </si>
  <si>
    <t>$5.000 a $8.000</t>
  </si>
  <si>
    <t xml:space="preserve">Acompañanate: en la mañana o en la tarde segun los climas: Arepa GRANDE  con quesito de 60 gramos, Empanadas grandes, Pastel de Pollo grande, Arepa de Huevo,  Buñuelo dos unidades, Pandequeso dos unidades, en la tarde se puede ofrecer arroz con leche y quesito o mazamorra con bocadillo en taza grande, PORCIONES GRANDES </t>
  </si>
  <si>
    <t xml:space="preserve">Para el caso de atencion de eventos con Niñas y Niños se puede ofrecer </t>
  </si>
  <si>
    <t xml:space="preserve">PREPARACIONES PROPUESTAS </t>
  </si>
  <si>
    <t xml:space="preserve">• Bebida: jugo de fruta natural, bebida con leche o bebida achocolatada.
• Acompañante: Emparedado de jamón y queso.
• Arroz con leche, quesito
• Colada de avena y galletas con Mantequilla.
• Ensalada de frutas con leche condensada
• Salpicón con helado
• Yogurt, banano y cereal 
• Chocolate con leche y pandequeso, buñuelos o empanadas
• Malteada con torta
• Pastel de Guayaba o arequipe con un vaso con leche. 
• Jugo de fruta natural con un perro pequeño o un pan salchicha
• Palito de queso con bebida achocolatada.
• Natilla con buñuelos.
</t>
  </si>
  <si>
    <t>con este dinero alcanza para preparar refrigerios para 15 niños, tal como se describe en el listado</t>
  </si>
  <si>
    <t>ACTUALIZACIÓN DE VALORES</t>
  </si>
  <si>
    <t>Inflación</t>
  </si>
  <si>
    <t>Año</t>
  </si>
  <si>
    <t xml:space="preserve">Valor </t>
  </si>
  <si>
    <t>DESAYUNO SERVIDO EN VAJILLA - Límite inferior</t>
  </si>
  <si>
    <t>DESAYUNO SERVIDO EN VAJILLA - Límite superior</t>
  </si>
  <si>
    <t>ALMUERZO O COMIDA SERVIDO EN VAJILLA RETORNABLE - Límite inferior</t>
  </si>
  <si>
    <t>ALMUERZO O COMIDA SERVIDO EN VAJILLA RETORNABLE - Límite superior</t>
  </si>
  <si>
    <t>ALMUERZO TIPO FIAMBRE  - Límite inferior</t>
  </si>
  <si>
    <t>ALMUERZO TIPO FIAMBRE  - Límite superior</t>
  </si>
  <si>
    <t>REFRIGERIO  DE LA MAÑANA  O CUANDO LA ACTIVIDAD ES DE TODO EL DIA Y SE INCLUYEN DOS REFRIGERIOS - Límite inferior</t>
  </si>
  <si>
    <t>REFRIGERIO  DE LA MAÑANA  O CUANDO LA ACTIVIDAD ES DE TODO EL DIA Y SE INCLUYEN DOS REFRIGERIOS - Límite superior</t>
  </si>
  <si>
    <t>PREPARACIONES PROPUESTAS  (15 niños)</t>
  </si>
  <si>
    <r>
      <rPr>
        <b/>
        <u/>
        <sz val="10"/>
        <rFont val="Arial"/>
        <family val="2"/>
      </rPr>
      <t>Nota</t>
    </r>
    <r>
      <rPr>
        <sz val="10"/>
        <rFont val="Arial"/>
        <family val="2"/>
      </rPr>
      <t xml:space="preserve">: En caso de las variables que se actualicen por parte de otras dependencias, la Subdirección Administrativa y Financiera actualizará la variable posterior a que la subdirección encargada emita el memorando, para estos casos, si hay cambio de vigencia (de un año a otro), se utilizará el valor que actualmente este establecido por memorando, actualizado con la inflación anual de la vigencia pasada, y redondeado a la centena más cercana. </t>
    </r>
  </si>
  <si>
    <t>VALORES DE DISTINTIVOS CORPORATIVOS</t>
  </si>
  <si>
    <t>MEMORANDO  SUBDIRECCIÓN DE COMUNICACIONES:</t>
  </si>
  <si>
    <t>040OC-MEM2204-3298</t>
  </si>
  <si>
    <t>VALOR 
(IVA incluido)</t>
  </si>
  <si>
    <t>Camisa tipo polo, color agua marina, con dos logos</t>
  </si>
  <si>
    <t>Gorra color beige con dos logos</t>
  </si>
  <si>
    <t>Pava con protector de cuello y ojales plásticos color beige, con dos logos</t>
  </si>
  <si>
    <t>Camibuso color gris o azul oscuro en tela fresca liviana con dos logos</t>
  </si>
  <si>
    <t>Camisa blanca manga larga con dos logos</t>
  </si>
  <si>
    <t>Chaleco color beige con 4 bolsillos y cinta reflectiva</t>
  </si>
  <si>
    <r>
      <rPr>
        <b/>
        <u/>
        <sz val="10"/>
        <color theme="1"/>
        <rFont val="Arial"/>
        <family val="2"/>
      </rPr>
      <t>Nota:</t>
    </r>
    <r>
      <rPr>
        <sz val="10"/>
        <color theme="1"/>
        <rFont val="Arial"/>
        <family val="2"/>
      </rPr>
      <t xml:space="preserve"> Es importante tener en cuenta que estos valores pueden variar por diferentes razones: número de logos, si éstos son estampados o impresos, tipos de tela, cantidad de prendas, por lo anterior se debe tomar el precio antes mencionado, como una referencia de valores aproximados. </t>
    </r>
  </si>
  <si>
    <t>CUANTÍAS PARA CONTRATAR</t>
  </si>
  <si>
    <t>CIRCULAR:</t>
  </si>
  <si>
    <t>040-RES2301-12</t>
  </si>
  <si>
    <t>SMMLVC</t>
  </si>
  <si>
    <t>Presupuesto corporativo</t>
  </si>
  <si>
    <t>De conformidad con el literal b, artículo 2 de la Ley 1150 de 2007 adicionado por el artículo 274 de la Ley 1450 de 2011, en consonancia con lo dispuesto en el artículo 2.2.1.2.1.5.2 del Decreto 1082 de 2015; las cuantías para los diferentes procesos de selección que debe adelantar la Corporación quedarán de la siguiente manera:</t>
  </si>
  <si>
    <t>Modalidad</t>
  </si>
  <si>
    <t>Límite inferior</t>
  </si>
  <si>
    <t>Mínima cuantía</t>
  </si>
  <si>
    <t>Menor cuantía</t>
  </si>
  <si>
    <t>Licitación pública</t>
  </si>
  <si>
    <t>En adelante</t>
  </si>
  <si>
    <t>DOCUMENTOS DE APOYO</t>
  </si>
  <si>
    <t xml:space="preserve">CÓDIGO: F-PGC-21 </t>
  </si>
  <si>
    <t>NORMATIVIDAD</t>
  </si>
  <si>
    <t>Norma</t>
  </si>
  <si>
    <t>Fecha</t>
  </si>
  <si>
    <t>Título</t>
  </si>
  <si>
    <t>Ley 80 de 1993</t>
  </si>
  <si>
    <t>Por la cual se expide el Estatuto General de Contratación de la Administración Pública</t>
  </si>
  <si>
    <t>Ley 816 de 2003</t>
  </si>
  <si>
    <t>Por medio de la cual se apoya a la industria nacional a través de la contratación pública</t>
  </si>
  <si>
    <t>Ley 905 de 2004</t>
  </si>
  <si>
    <t>Por medio de la cual se modifica la Ley 590 de 2000 sobre promoción del desarrollo de la micro, pequeña y mediana empresa colombiana y se dictan otras disposiciones</t>
  </si>
  <si>
    <t>Ley 1106 de 2006</t>
  </si>
  <si>
    <t>Por medio de la cual se prorroga la vigencia de la Ley 418 de 1997 prorrogada y modificada por las Leyes 548 de 1999 y 782 de 2002 y se modifican algunas de sus disposiciones.</t>
  </si>
  <si>
    <t>Ley 1150 de 2007</t>
  </si>
  <si>
    <t>Por medio de la cual se introducen medidas para la eficiencia y la transparencia en la Ley 80 de 1993 y se dictan otras disposiciones generales sobre la contratación con Recursos Públicos</t>
  </si>
  <si>
    <t>Ley 1697 de 2013</t>
  </si>
  <si>
    <t>Por la cual se crea la estampilla Pro Universidad Nacional de Colombia y demás universidades estatales de Colombia.</t>
  </si>
  <si>
    <t>Ley 2022 de 2020</t>
  </si>
  <si>
    <t>Por la cual modifica el artículo 4 de la ley 1882 de 2018 y se dictan otras disposiciones</t>
  </si>
  <si>
    <t>Decreto 4170 de 2011</t>
  </si>
  <si>
    <t>Por el cual se crea la Agencia Nacional de Contratación Pública –Colombia Compra Eficiente–, se determinan sus objetivos y estructura.</t>
  </si>
  <si>
    <t>Decreto 1510 de 2013</t>
  </si>
  <si>
    <t>Por el cual se reglamenta el sistema de compras y contratación pública.</t>
  </si>
  <si>
    <t>Decreto1082 de 2015</t>
  </si>
  <si>
    <t>Por medio del cual se expide el decreto único reglamentario del sector administrativo de planeación nacional</t>
  </si>
  <si>
    <t>Decreto 310 de 2021</t>
  </si>
  <si>
    <t>Por el cual se reglamenta el artículo 41 de la Ley 1955 de 2019, sobre las condiciones para implementar la obligatoriedad y aplicación de los Acuerdos Marco de Precios y se modifican los artículos 2.2.1.2.1.2.7. Y 2.2.1.2.1.2.12. del Decreto 1082 de 2015, Único Reglamentario del Sector Administrativo de Planeación Nacional</t>
  </si>
  <si>
    <t>Decreto 399 de 2021</t>
  </si>
  <si>
    <t>Por el cual se modifican los artículos 2.2.1.1.2.1.1., 2.2.1.2.1.3.2. Y 2.2.1.2.3.1.14., Y se adicionan unos parágrafos transitorios a los artículos 2.2.1.1.1.5.2., 2.2.1.1.1.5.6. Y 2.2.1.1.1.6.2. del Decreto 1082 de 2015, Único Reglamentario del Sector Administrativo de Planeación Nacional</t>
  </si>
  <si>
    <t>Decreto 579 de 2021</t>
  </si>
  <si>
    <t>Por el cual se sustituyen los parágrafos transitorios del artículo 2.2.1.1.1.5.2., el parágrafo transitorio 1 del artículo 2.2.1.1.1.5.6., así como el parágrafo transitorio del artículo 2.2.1.1.1.6.2. del Decreto 1082 de 2015, Único Reglamentario del Sector Administrativo de Planeación Nacional, para que los proponentes acrediten el mejor indicador financiero y organizacional de los últimos 3 años, con el fin de contribuir a la reactivación económica</t>
  </si>
  <si>
    <t>Decreto 680 de 2021</t>
  </si>
  <si>
    <t>Por el cual se modifica parcialmente el artículo 2.2.1.1.1.3.1. y se adiciona el artículo 2.2.1.2.4.2.9. al Decreto 1082 de 2015, Único Reglamentario del Sector Administrativo de Planeación Nacional, en relación con la regla de origen de servicios en el Sistema de Compra Pública</t>
  </si>
  <si>
    <t>Decreto 1279 de 2021</t>
  </si>
  <si>
    <t xml:space="preserve">Por el cual se reglamenta el artículo 6 de la Ley 1920 de 2018 y se adicionan unos artículos a la Subsección 2 de la Sección 4 del Capítulo 2 del Título 1 de la Parte 2 del Libro 2 del Decreto 1082 de 2015, Único Reglamentario del Sector Administrativo de Planeación Nacional </t>
  </si>
  <si>
    <t>Decreto 1860 de 2021</t>
  </si>
  <si>
    <t>Por el cual se modifica y adiciona el Decreto 1082 de 2015, Único Reglamentario del Sector Administrativo de Planeación Nacional, con el fin reglamentar los artículos 30,31,32,34 y 35 de la Ley 2069 de 2020, en lo relativo al sistema de compras públicas y se dictan otras disposiciones</t>
  </si>
  <si>
    <t>Decreto 442 de 2022</t>
  </si>
  <si>
    <t>Por el cual se modifica el Decreto 1082 de 2015, Único Reglamentario del Sector Administrativo de Planeación Nacional, con el fin de reglamentar el artículo 36 de la Ley 2069 de 2020 en lo relativo a la promoción de las compras públicas de tecnología e innovación</t>
  </si>
  <si>
    <t>GUÍAS Y MANUALES  (Colombia Compra Eficiente)</t>
  </si>
  <si>
    <t>Ruta</t>
  </si>
  <si>
    <t xml:space="preserve">Guía para Determinar y Verificar la Capacidad Residual del Proponente en los Procesos de Contratación de Obra Pública </t>
  </si>
  <si>
    <t>https://colombiacompra.gov.co/manuales-guias-y-pliegos-tipo/manuales-y-guias/guia-para-determinar-y-verificar-la-capacidad</t>
  </si>
  <si>
    <t>Guía para el manejo de ofertas artificialmente bajas en Procesos de Contratación</t>
  </si>
  <si>
    <t>https://colombiacompra.gov.co/manuales-guias-y-pliegos-tipo/manuales-y-guias/guia-para-el-manejo-de-ofertas-artificialmente-bajas</t>
  </si>
  <si>
    <t>Guía para la contratación con entidades privadas sin ánimo de lucro y de reconocida idoneidad</t>
  </si>
  <si>
    <t>https://colombiacompra.gov.co/sites/cce_public/files/cce_documents/cce_guia_esal.pdf</t>
  </si>
  <si>
    <t>Guía para la Elaboración de Estudios de Sector</t>
  </si>
  <si>
    <t>https://colombiacompra.gov.co/sites/cce_public/files/cce_documents/cce_guia_elaboracion_estudios.pdf</t>
  </si>
  <si>
    <t>Manual para determinar y verificar los requisitos habilitantes en los Procesos de Contratación</t>
  </si>
  <si>
    <t>https://colombiacompra.gov.co/manuales-guias-y-pliegos-tipo/manuales-y-guias/manual-para-determinar-y-verificar-los-requisitos</t>
  </si>
  <si>
    <t>Para acceder a todos los manuales, guías y documentos tipo de Colombia Compra Eficiente, acceder a la ruta: https://colombiacompra.gov.co/manuales-guias-y-pliegos-tipo/manuales-y-guias</t>
  </si>
  <si>
    <t>CONCEPTOS</t>
  </si>
  <si>
    <t>Entidad</t>
  </si>
  <si>
    <t>Tema</t>
  </si>
  <si>
    <t>Colombia Compra Eficiente</t>
  </si>
  <si>
    <t>Trabajos materiales sobre bienes inmuebles (inmuebles por adhesión) como obra pública</t>
  </si>
  <si>
    <t>Consejo de Estado</t>
  </si>
  <si>
    <t>Los contratos de prestación de servicios de mantenimiento por arreglos locativos sobre bienes inmuebles son contratos de obra</t>
  </si>
  <si>
    <t>Contraloría general de Medellín</t>
  </si>
  <si>
    <t>Posición respecto el reconocimiento y pago de los recursos establecidos como imprevistos (I) y Administración (A)</t>
  </si>
  <si>
    <t>DIAN</t>
  </si>
  <si>
    <t>Obligación de expedir factura de venta en convenios</t>
  </si>
  <si>
    <t>DIRECTRICES INTERNAS</t>
  </si>
  <si>
    <t>Radicado</t>
  </si>
  <si>
    <t>Resolución 1202 - 16601</t>
  </si>
  <si>
    <t>Procedimiento interno para la conformación de los comités asesores y evaluadores</t>
  </si>
  <si>
    <t>MN-FAF-01</t>
  </si>
  <si>
    <t>V 17  - 09/2018</t>
  </si>
  <si>
    <t>Manual de contratación</t>
  </si>
  <si>
    <t>180-MEM1902-1392</t>
  </si>
  <si>
    <t>Lineamientos en materia de supervisión e interventoría de contratos tipo bolsa</t>
  </si>
  <si>
    <t>180-MEM1905-4400</t>
  </si>
  <si>
    <t>Obligaciones a tener en cuenta en los convenios suscritos por la corporación (apertura de cuenta de ahorros y reintegro de rendimientos financieros)</t>
  </si>
  <si>
    <t>180-MEM2102-888</t>
  </si>
  <si>
    <t>Conocimiento y aplicación de normas que modifican actuaciones en materia de contratación estatal</t>
  </si>
  <si>
    <t>180-MEM2104-2897</t>
  </si>
  <si>
    <t>Socialización concepto C-150 de 2021 - Contratación directa</t>
  </si>
  <si>
    <t>180-MEM2110-7038</t>
  </si>
  <si>
    <t>Reconocimiento de viáticos en los contratos de prestación de servicios con personas naturales</t>
  </si>
  <si>
    <t>INFORMACIÓN PROCESOS DE OBRA PÚBLICA Y CAPACIDAD RESIDUAL (K)</t>
  </si>
  <si>
    <t>¿Qué son los contratos de obra?</t>
  </si>
  <si>
    <r>
      <t xml:space="preserve">El artículo 32 de la Ley 80 de 1993, establece, "Son contratos estatales todos los actos jurídicos generadores de obligaciones que celebren las entidades a que se refiere el presente estatuto, previstos en el derecho privado o en disposiciones especiales, o derivados del ejercicio de la autonomía de la voluntad, así como los que, a título enunciativo, se definen a continuación:
</t>
    </r>
    <r>
      <rPr>
        <b/>
        <sz val="10"/>
        <color theme="1"/>
        <rFont val="Arial"/>
        <family val="2"/>
      </rPr>
      <t>1°. Contrato de Obra</t>
    </r>
    <r>
      <rPr>
        <sz val="10"/>
        <color theme="1"/>
        <rFont val="Arial"/>
        <family val="2"/>
      </rPr>
      <t>. Son contratos de obra los que celebren las entidades estatales para la construcción, mantenimiento, instalación y, en general, para la realización de cualquier otro trabajo material sobre bienes inmuebles, cualquiera que sea la modalidad de ejecución y apoyo. 
En los contratos de obra que hayan sido celebrados como resultado de un proceso de licitación o públicos, la interventoría deberá ser contratada con una persona independiente de la entidad contratante y del contratista, quien responderá por los hechos y omisiones que le fueren imputables en los términos previstos en el artículo 53 del presente estatuto".</t>
    </r>
  </si>
  <si>
    <t>Fuente: Ley 80 de 1993</t>
  </si>
  <si>
    <t>¿Sobre qué tipos de bienes inmuebles aplican los contratos de obra pública?</t>
  </si>
  <si>
    <t>Los contratos de obra pública aplican sobre los siguientes tipos de bienes inmuebles,</t>
  </si>
  <si>
    <r>
      <rPr>
        <b/>
        <sz val="10"/>
        <color theme="1"/>
        <rFont val="Arial"/>
        <family val="2"/>
      </rPr>
      <t>Inmuebles por naturaleza</t>
    </r>
    <r>
      <rPr>
        <sz val="10"/>
        <color theme="1"/>
        <rFont val="Arial"/>
        <family val="2"/>
      </rPr>
      <t xml:space="preserve">. Inmuebles o fincas o bienes raíces son las cosas que no pueden transportarse de un lugar a otro; como las tierras y minas, y las que adhieren permanentemente a ellas, como los edificios, los árboles, las casas y veredas se llaman predios o fundos.(Art. 656 Código civil)
</t>
    </r>
  </si>
  <si>
    <r>
      <rPr>
        <b/>
        <sz val="10"/>
        <color theme="1"/>
        <rFont val="Arial"/>
        <family val="2"/>
      </rPr>
      <t>Inmuebles por adhesión</t>
    </r>
    <r>
      <rPr>
        <sz val="10"/>
        <color theme="1"/>
        <rFont val="Arial"/>
        <family val="2"/>
      </rPr>
      <t xml:space="preserve">. Las plantas son inmuebles, mientras adhieren al suelo por sus raíces, a menos que estén en macetas o cajones que puedan transportarse de un lugar a otro. (Art. 657 Código civil)
</t>
    </r>
  </si>
  <si>
    <r>
      <rPr>
        <b/>
        <sz val="10"/>
        <color theme="1"/>
        <rFont val="Arial"/>
        <family val="2"/>
      </rPr>
      <t>Inmuebles por destinación</t>
    </r>
    <r>
      <rPr>
        <sz val="10"/>
        <color theme="1"/>
        <rFont val="Arial"/>
        <family val="2"/>
      </rPr>
      <t xml:space="preserve">. Se reputan inmuebles, aunque por su naturaleza no lo sean, las cosas que están permanentemente destinadas al uso, cultivo y beneficio de un inmueble, sin embargo, de que puedan separarse sin detrimento. Tales son, por ejemplo: Las losas de un pavimento, Los tubos de las cañerías, Los utensilios de labranza o minería, y los animales actualmente destinados al cultivo o beneficio de una finca, con tal que hayan sido puestos en ella por el dueño de la finca, Los abonos existentes en ella y destinados por el dueño de la finca a mejorarla, Las prensas, calderas, cubas, alambiques, toneles y máquinas que forman parte de un establecimiento industrial adherente al suelo y pertenecen al dueño de éste, Los animales que se guardan en conejeras, pajareras, estanques, colmenas y cualesquiera otros vivares, con tal que estos adhieran al suelo, o sean parte del suelo mismo o de un edificio. (Art. 658 Código civil)
</t>
    </r>
  </si>
  <si>
    <t>¿La reforestación y el mantenimiento de plantaciones se consideran obra pública?</t>
  </si>
  <si>
    <t xml:space="preserve">El concepto de Colombia Compra Eficiente C-225 de 2020 con Radicado No: 2202013000002653, aclara en su parte motiva que la reforestación y el mantenimiento de plantaciones se consideran de obra pública por lo que una vez se siembran plantaciones, esto constituye un trabajo material sobre bien inmueble y una vez se tenga la siembra, adquiere la categoria de inmuebles por adhesion, esto según el artículo 656 y 657 del código civil. </t>
  </si>
  <si>
    <t xml:space="preserve">Fuente: 180-MEM2106-3887 </t>
  </si>
  <si>
    <t>¿Qué contribuciones especiales se dan en los contratos de obra pública?</t>
  </si>
  <si>
    <t>La contribución de los contratos de obra pública o concesión de obra pública y otras concesiones, regulada por el artículo 6° de la Ley 1106 de 2006.</t>
  </si>
  <si>
    <t>La estampilla Pro Universidad Nacional de Colombia y demás universidades estatales de Colombia, establecida en la Ley 1697 de 2013.</t>
  </si>
  <si>
    <t>¿En qué consiste la contribución de los contratos de obra pública o concesión de obra pública y otras concesiones?</t>
  </si>
  <si>
    <t>La Ley 1106 de 2006 en su artículo 6° postula, "Todas las personas naturales o jurídicas que suscriban contratos de obra pública, con entidades de derecho público o celebren contratos de adición al valor de los existentes deberán pagar a favor de la Nación, Departamento o Municipio, según el nivel al cual pertenezca la entidad pública contratante una contribución equivalente al cinco por ciento (5%) del valor total del correspondiente contrato o de la respectiva adición".</t>
  </si>
  <si>
    <t>¿En qué consiste la estampilla Pro Universidad Nacional de Colombia y demás universidades estatales de Colombia?</t>
  </si>
  <si>
    <r>
      <t xml:space="preserve">La Ley 1697 de 2013 postula,
</t>
    </r>
    <r>
      <rPr>
        <b/>
        <sz val="10"/>
        <color theme="1"/>
        <rFont val="Arial"/>
        <family val="2"/>
      </rPr>
      <t>Artículo  5°. Hecho generador</t>
    </r>
    <r>
      <rPr>
        <sz val="10"/>
        <color theme="1"/>
        <rFont val="Arial"/>
        <family val="2"/>
      </rPr>
      <t>. Está constituido por todo contrato de obra que suscriban las entidades del orden nacional, definidas por el artículo 2° de la Ley 80 de 1993, en cualquier lugar del territorio en donde se ejecute la obra, sus adiciones en dinero y en cualquiera que sea la modalidad de pago del precio del contrato. En tal caso, el hecho generador se extiende a los contratos conexos al de obra, esto es: diseño, operación, mantenimiento o interventoría y demás definidos en la Ley 80 de 1993, artículo 32 numeral 2.</t>
    </r>
  </si>
  <si>
    <r>
      <rPr>
        <b/>
        <sz val="10"/>
        <color theme="1"/>
        <rFont val="Arial"/>
        <family val="2"/>
      </rPr>
      <t>Artículo 6°. Sujeto pasivo</t>
    </r>
    <r>
      <rPr>
        <sz val="10"/>
        <color theme="1"/>
        <rFont val="Arial"/>
        <family val="2"/>
      </rPr>
      <t>. El tributo estará a cargo de la persona natural, jurídica, consorcio o unión temporal que funja como contratista en los negocios jurídicos a que se refiere el artículo anterior.</t>
    </r>
  </si>
  <si>
    <r>
      <rPr>
        <b/>
        <sz val="10"/>
        <color theme="1"/>
        <rFont val="Arial"/>
        <family val="2"/>
      </rPr>
      <t>Artículo 8°. Base gravable y tarifa.</t>
    </r>
    <r>
      <rPr>
        <sz val="10"/>
        <color theme="1"/>
        <rFont val="Arial"/>
        <family val="2"/>
      </rPr>
      <t xml:space="preserve"> El sujeto pasivo definido en el artículo 6° de la presente ley pagará por las suscripciones de los contratos de obra pública y sus conexos en función de las siguientes bases y tarifas: por los contratos cuyo valor esté entre 1 y 2.000 smmlv pagarán el 0.5%. Los contratos entre 2.001 y 6.000 smmlv pagarán el 1% y los contratos mayores a 6.001 smmlv pagarán el 2%.
Parágrafo. En cuanto no sea posible determinar el valor del hecho generador, definido en el artículo 5° de la presente ley, al momento de su respectiva suscripción, la base gravable se determinará como el valor correspondiente al momento del pago, por el término de duración del contrato respectivo.
</t>
    </r>
    <r>
      <rPr>
        <b/>
        <sz val="10"/>
        <color theme="1"/>
        <rFont val="Arial"/>
        <family val="2"/>
      </rPr>
      <t>Artículo 9°. Causación</t>
    </r>
    <r>
      <rPr>
        <sz val="10"/>
        <color theme="1"/>
        <rFont val="Arial"/>
        <family val="2"/>
      </rPr>
      <t>. Es obligación de las entidades contratantes retener de manera proporcional al pago o pagos realizados al contratista, el porcentaje correspondiente a la contribución de estampilla definido según el Artículo 8° de la presente ley.</t>
    </r>
  </si>
  <si>
    <t>¿Qué es la capacidad residual (K) de contratación?</t>
  </si>
  <si>
    <t>La Capacidad Residual es la aptitud de un contratista para cumplir oportuna y cabalmente con el objeto de un contrato de obra, sin que sus otros compromisos contractuales afecten su habilidad de responder con el contrato objeto del Proceso de Contratación. En los Documentos del Proceso de un contrato de obra pública, la Entidad Estatal debe establecer un requisito adicional a los requisitos habilitantes que es la Capacidad Residual o K de Contratación el cual deben cumplir los interesados en participar en un Proceso de Contratación para la ejecución de una obra pública.</t>
  </si>
  <si>
    <t>Fuente: Guía para Determinar y Verificar la Capacidad Residual del Proponente en los Procesos de Contratación de Obra Pública. Colombia Compra eficiente</t>
  </si>
  <si>
    <t>¿Cómo se determina la capacidad residual (K) de contratación?</t>
  </si>
  <si>
    <t>El artículo 72 de la Ley 1682 de 2013 por la cual se adoptan medidas y disposiciones para los proyectos de infraestructura de transporte y se conceden facultades extraordinarias, estableció: “Artículo 72. Capacidad residual de contratación para contratos de obra pública. La capacidad residual de contratación cuando se realicen contratos de obra pública se obtendrá de sustraer de la capacidad de contratación, el saldo del valor de los contratos en ejecución.
La capacidad de contratación se deberá calcular mediante la evaluación de los siguientes factores: Experiencia (E), Capacidad Financiera (CF), Capacidad Técnica (CT), y Capacidad de Organización (CO).
Para los efectos de la evaluación de los factores mencionados en el inciso anterior, por ningún motivo, ni bajo ninguna circunstancia se podrán tener en cuenta la rentabilidad y las utilidades (...)”
Por tanto, Colombia Compra Eficiente debe definir la metodología para calcular la Capacidad Residual del proponente teniendo en cuenta los factores previstos en la Ley 1682 de 2013, sin que estos se consideren iguales o similares a los requisitos habilitantes establecidos en el artículo 10 del Decreto 1510 de 2013.</t>
  </si>
  <si>
    <t>Para determinar la capacidad residual (K) de contratación, para un proceso en especifíco, se recomienda:
1. Estudiar la guía de Colombia Compra Eficiente, dispuesta para ello, por medio de la ruta: https://colombiacompra.gov.co/manuales-guias-y-pliegos-tipo/manuales-y-guias/guia-para-determinar-y-verificar-la-capacidad
2. Utilizar el aplicativo para cálcular la  capacidad residual (K) de contratación de Colombia Compra Eficiente, dispuesto para ello, el cual, se obtiene en la ruta: https://colombiacompra.gov.co/manuales-guias-y-pliegos-tipo/manuales-y-guias/aplicacion-para-establecer-la-capacidad-residual</t>
  </si>
  <si>
    <t>IMPUESTOS Y GARANTÍAS</t>
  </si>
  <si>
    <t xml:space="preserve"> IMPUESTOS</t>
  </si>
  <si>
    <t>A continuación, se encontrará una lista enunciativa de los impuestos en los que puede incurrir el ejecutor, los cuales dependen de la especificidad del proceso. Lista de carácter informativa en caso que se emitan consultas al respecto.</t>
  </si>
  <si>
    <t>Base para la aplicación de los impuestos</t>
  </si>
  <si>
    <t>Aplica (Si/No)</t>
  </si>
  <si>
    <t>IMPUESTOS EN CONTRATOS</t>
  </si>
  <si>
    <t>Impuesto sobre la Renta</t>
  </si>
  <si>
    <t>Aplica para contratos celebrados con contribuyentes del impuesto sobre la renta</t>
  </si>
  <si>
    <t>Impuesto de ICA y complementarios</t>
  </si>
  <si>
    <t>Aplica para contratos celebrados donde se materialice la realización de actividades industriales, de comercio y de servicio sometidos del impuesto de industria y comercio</t>
  </si>
  <si>
    <t>GMF 4x1000</t>
  </si>
  <si>
    <t>Aplica para contratos donde el GMF no se asuma con cargos a rendimientos financieros generados que pertenezcan a la entidad</t>
  </si>
  <si>
    <t>Contribución Especial de obra pública</t>
  </si>
  <si>
    <t>Aplica para contratos de obra pública celebrados directamente por la corporación y convenios con entidades públicas que deriven en un contrato de obra pública</t>
  </si>
  <si>
    <t>Estampilla Pro UNAL</t>
  </si>
  <si>
    <t>Aplica para contratos de obra pública y conexos celebrados directamente por la corporación y convenios con entidades públicas de orden nacional que deriven en un contrato de obra pública</t>
  </si>
  <si>
    <t>IMPUESTOS EN CONVENIOS CON ENTIDADES DE ORDEN NACIONAL</t>
  </si>
  <si>
    <t>GMF 4x1000 (contratista)</t>
  </si>
  <si>
    <t>Aplica para convenios con entidades de orden departamental cuya ejecución requiera la contratación de operador externo adelantada directamente por el conveniante</t>
  </si>
  <si>
    <t>Estampilla Politécnico JIC</t>
  </si>
  <si>
    <t>Aplica para contratos celebrados por la corporación con personas diferentes a las entidades oficiales, Juntas de Acción Comunal, etc</t>
  </si>
  <si>
    <t>IMPUESTOS EN CONVENIOS CON ENTIDADES DE ORDEN DEPARTAMENTAL</t>
  </si>
  <si>
    <t>Estampilla Bienestar del Adulto Mayor</t>
  </si>
  <si>
    <t>Aplica para convenios con entidades de orden departamental cuya ejecución requiera la contratación de operador externo adelantada directamente por la entidad territorial respectiva</t>
  </si>
  <si>
    <t>Estampilla Pro-Desarrollo</t>
  </si>
  <si>
    <t>Estampilla Pro-Hospitales Públicos</t>
  </si>
  <si>
    <t>Estampilla Pro-Institución UE</t>
  </si>
  <si>
    <t>Estampilla Pro-Deporte y Recreación</t>
  </si>
  <si>
    <t>IMPUESTOS EN CONVENIOS CON ENTIDADES DE ORDEN MUNICIPAL</t>
  </si>
  <si>
    <t>Estampilla Procultura</t>
  </si>
  <si>
    <t>Estampilla Pro-Universidad de Antioquia</t>
  </si>
  <si>
    <t xml:space="preserve">Estampilla Pro-hospital </t>
  </si>
  <si>
    <t>PÓLIZAS DE GARANTÍAS</t>
  </si>
  <si>
    <t>A continuación, se encontrará una lista enunciativa de las pólizas de garantías en las que puede incurrir el ejecutor, las cuales dependen de la especificidad del proceso. Lista de carácter informativa en caso que se emitan consultas al respecto.</t>
  </si>
  <si>
    <t>Seriedad de la oferta</t>
  </si>
  <si>
    <t>Desde la presentación de la oferta y hasta la aprobación de la garantía de cumplimiento.</t>
  </si>
  <si>
    <t>Cumplimiento</t>
  </si>
  <si>
    <t>Debe estar vigente como mínimo hasta la liquidación del contrato.</t>
  </si>
  <si>
    <t>Buen manejo y correcta inversión del anticipo</t>
  </si>
  <si>
    <t>Hasta la liquidación del contrato o hasta la amortización del anticipo, de acuerdo con lo que determine la Entidad Estatal.</t>
  </si>
  <si>
    <t>Pago anticipado</t>
  </si>
  <si>
    <t>Hasta la liquidación del contrato o hasta que la Entidad Estatal verifique el cumplimiento de todas las actividades o la entrega de todos los bienes o servicios asociados al pago anticipado.</t>
  </si>
  <si>
    <t>Pagos de salarios, prestaciones sociales legales e indemnizaciones laborales</t>
  </si>
  <si>
    <t>Debe estar vigente por el plazo del contrato y tres años más.</t>
  </si>
  <si>
    <t>Estabilidad y calidad de la obra</t>
  </si>
  <si>
    <t>Debe estar vigente por un término no inferior a cinco años contados a partir de la fecha en la cual la Entidad Estatal recibe a satisfacción la obra.</t>
  </si>
  <si>
    <t>Calidad del servicio</t>
  </si>
  <si>
    <t>La vigencia del amparo debe ser determinada por la Entidad Estatal de acuerdo con el objeto, el valor, la naturaleza y las obligaciones contenidas en el contrato.</t>
  </si>
  <si>
    <t>Calidad del servicio en contratos de interventoría</t>
  </si>
  <si>
    <t>La vigencia debe ser igual al plazo de la garantía de estabilidad y calidad de la obra del contrato principal.</t>
  </si>
  <si>
    <t>Calidad de bienes</t>
  </si>
  <si>
    <t>La vigencia del amparo debe ser determinada por la Entidad Estatal de acuerdo con el objeto, el valor, la naturaleza y las obligaciones contenidas en el contrato, la garantía mínima y los vicios ocultos.</t>
  </si>
  <si>
    <t>Responsabilidad civil extracontractual</t>
  </si>
  <si>
    <t>La vigencia de esta garantía deberá ser igual al período de ejecución del contrato.</t>
  </si>
  <si>
    <t>INFORMACIÓN ANTICIPOS Y PAGOS ANTICIPADOS</t>
  </si>
  <si>
    <r>
      <rPr>
        <b/>
        <sz val="10"/>
        <color theme="1"/>
        <rFont val="Arial"/>
        <family val="2"/>
      </rPr>
      <t>Consideración incial</t>
    </r>
    <r>
      <rPr>
        <sz val="10"/>
        <color theme="1"/>
        <rFont val="Arial"/>
        <family val="2"/>
      </rPr>
      <t>: La programación financiera debe ser coherente con la programación física, todo pago que no sea soportado en la ejecución física efectiva y certificada es un anticipo o pago anticipado.</t>
    </r>
  </si>
  <si>
    <t xml:space="preserve">¿Cuál es la diferencia entre el anticipo y el pago anticipado? </t>
  </si>
  <si>
    <t>El anticipo es un adelanto o avance del precio del contrato destinado a apalancar el cumplimiento de su objeto, de modo que los recursos girados por dicho concepto solo se integran al patrimonio del contratista en la medida que se cause su amortización mediante la ejecución de actividades programadas del contrato. El pago anticipado es un pago efectivo del precio de forma que los recursos se integran al patrimonio del contratista desde su desembolso.</t>
  </si>
  <si>
    <t>Fuente: https://colombiacompra.gov.co/ciudadanos/preguntas-frecuentes/ejecucion</t>
  </si>
  <si>
    <t>¿Cuál es el manejo que se deben dar a los pagos anticipados y anticipos en la contratación estatal?</t>
  </si>
  <si>
    <t xml:space="preserve">Salvo casos excepcionales plenamente justificados y motivados, las entidades no pactarán pagos anticipados. Esta restricción no se aplicará al Sector de la Defensa Nacional. 
Para el caso de los anticipos se establece como criterio que la entrega de recursos se realice utilizando instrumentos financieros que aseguren el manejo transparente de los recursos y su destinación exclusiva al contrato. 
Deberá estipularse en los contratos estatales que la entidad pública contratante es la propietaria de los recursos entregados en calidad de anticipo y en consecuencia los rendimientos financieros que los mismos generen pertenecen al Tesoro. </t>
  </si>
  <si>
    <t>Fuente: Directiva presidencial 04 de 2003.</t>
  </si>
  <si>
    <t>¿Cuál es el monto máximo en que se puede pactar el pago anticipado y la entrega del anticipo?</t>
  </si>
  <si>
    <t>En los contratos que celebren las entidades estatales se podrá pactar el pago anticipado y la entrega de anticipos, pero su monto no podrá exceder del cincuenta por ciento (50%) del valor del respectivo contrato.
Los contratos no podrán adicionarse en más del cincuenta por ciento (50%) de su valor inicial, expresado este en salarios mínimos legales mensuales.</t>
  </si>
  <si>
    <t>Fuente: Parágrafo. Artículo 40°, Ley 80 de 1993.</t>
  </si>
  <si>
    <t>¿Hay estipulaciones especiales para la entrega de anticipos?</t>
  </si>
  <si>
    <t>En los contratos de obra, concesión, salud, o los que se realicen por licitación pública, el contratista deberá constituir una fiducia o un patrimonio autónomo irrevocable para el manejo de los recursos que reciba a título de anticipo, con el fin de garantizar que dichos recursos se apliquen exclusivamente a la ejecución del contrato correspondiente, salvo que el contrato sea de menor o mínima cuantía.
El costo de la comisión fiduciaria será cubierto directamente por el contratista.
PARÁGRAFO . La información financiera y contable de la fiducia podrá ser consultada por los Organismos de Vigilancia y Control Fiscal.</t>
  </si>
  <si>
    <t>Fuente: Artículo 91°, Ley 1474 de 2011.</t>
  </si>
  <si>
    <t>¿Qué manejo debe dar la Entidad Estatal al anticipo cuando no es obligatorio constituir un patrimonio autónomo?</t>
  </si>
  <si>
    <t>Para los contratos en que se pacta el anticipo pero no es obligatorio constituir un patrimonio autónomo para su manejo, la Entidad Estatal debe adoptar medidas necesarias y razonables de mitigación del Riesgo para asegurar el buen manejo y la correcta inversión del anticipo, entre las cuales puede solicitar la constitución de una garantía. En este caso, también es necesario contar con un plan de inversión o utilización de los recursos del anticipo, que permita a la Entidad Estatal identificar las actividades necesarias para la amortización del anticipo y las demás actividades que se remuneran con recursos adicionales.
En los casos previstos en el artículo 91 de la Ley 1474 de 2011, es decir los contratos que requieren patrimonio autónomo para el manejo del anticipo, debe existir un plan de utilización o de inversión del anticipo y los pagos deben corresponder a los rubros allí previstos.</t>
  </si>
  <si>
    <t>Memoria de cálculo opc 1</t>
  </si>
  <si>
    <t>Gastos de adm</t>
  </si>
  <si>
    <t>INFORMACIÓN IVA</t>
  </si>
  <si>
    <t>Presupuesto contrato</t>
  </si>
  <si>
    <t>Memoria de cálculo opc 2</t>
  </si>
  <si>
    <t>Presupuesto convenio</t>
  </si>
  <si>
    <t>Memoria de cálculo opc 3</t>
  </si>
  <si>
    <t>¿Qué es el IVA?</t>
  </si>
  <si>
    <t>El impuesto sobre las ventas o Impuesto al Valor Agregado (IVA), es un impuesto de orden nacional, indirecto, de causación instantánea y de régimen general. Es un impuesto de orden nacional bajo el entendido que las reglas aplicables al impuesto se dan de forma similar en todo el territorio nacional. Es un impuesto indirecto, ya que no tiene en cuenta la capacidad económica de las personas, es decir, que no está relacionado con el poder adquisitivo de estas. El impuesto sobre las ventas es un impuesto de causación instantánea toda vez que este se genera en el momento en el que se cumple con el hecho generador; es decir, que la causación se da en el momento en que el que se realiza la operación. De manera general, grava la venta de bienes y la prestación de servicios.</t>
  </si>
  <si>
    <t>Fuente: Curso Fiscalización tributaria, aduanera, cambiaria e internacional - TACI, Universidad Sergio Arboleda - DIAN, 2021</t>
  </si>
  <si>
    <t>¿Quiénes son responsables del IVA?</t>
  </si>
  <si>
    <t>Por regla general toda persona natural o jurídica que venda productos gravados con el Iva o preste servicios gravados con el Iva, es responsable del impuesto a las ventas. Si el contribuyente, persona natural o jurídica, vende productos o presta servicios que no están gravados con Iva, no son responsables del Iva.
No obstante, hay excepciones estipuladas en el Art. 437 del Estatuto Tributario, el cual se cita en extenso,</t>
  </si>
  <si>
    <t>Art. 437. Los comerciantes y quienes realicen actos similares a los de ellos y los importadores son sujetos pasivos.
Son responsables del impuesto:
a. En las ventas, los comerciantes, cualquiera que sea la fase de los ciclos de producción y distribución en la que actúen y quienes sin poseer tal carácter, ejecuten habitualmente actos similares a los de aquellos.
b. En las ventas de aerodinos, tanto los comerciantes como los vendedores ocasionales de éstos.
c. Quienes presten servicios.
d. Los importadores.
e. Los contribuyentes pertenecientes al régimen común del impuesto sobre las ventas, cuando realicen compras o adquieran servicios gravados con personas pertenecientes al régimen simplificado, por el valor del impuesto retenido, sobre dichas transacciones.</t>
  </si>
  <si>
    <t>f. ** -Adicionado- Los contribuyentes pertenecientes al régimen común del Impuesto sobre las Ventas, por el impuesto causado en la compra o adquisición de los bienes y servicios gravados relacionados en el artículo 468-1, cuando estos sean enajenados o prestados por personas naturales no comerciantes que no se hayan inscrito en el régimen común del impuesto sobre las ventas.
El impuesto causado en estas operaciones será asumido por el comprador o adquirente del régimen común, y deberá ser declarado y consignado en el mes correspondiente a la fecha del pago o abono en cuenta. El impuesto retenido podrá ser tratado como descontable en la forma prevista por los artículos 485, 485-1, 488 y 490 de este Estatuto. Sobre las operaciones previstas en este literal, cualquiera sea su cuantía, el adquirente emitirá al vendedor el documento equivalente a la factura, en los términos que señale el reglamento.
Los consorcios y uniones temporales cuando en forma directa sean ellos quienes realicen actividades gravadas.
La responsabilidad se extiende también a la venta de bienes corporales muebles aunque no se enajenen dentro del giro ordinario del negocio, pero respecto de cuya adquisición o importación se hubiere generado derecho al descuento.</t>
  </si>
  <si>
    <t>PAR. A las personas que pertenezcan al régimen simplificado, que vendan bienes o presten servicios, les esta prohibido adicionar al precio suma alguna por concepto del impuesto sobre las ventas. Si lo hicieren, deberán cumplir íntegramente con las obligaciones predicables de quienes pertenecen al régimen común.</t>
  </si>
  <si>
    <t xml:space="preserve"> -Adionado- PARÁGRAFO 2. La Dirección de Impuestos y Aduanas Nacionales establecerá mediante resolución el procedimiento mediante el cual los prestadores de servicios desde el exterior cumplirán con sus obligaciones, entre ellas la de declarar y pagar, en su calidad de responsables cuando los servicios prestados se encuentren gravados.
La Obligación aqui prevista solamente se hará exigible a partir del 1 de julio de 2018, salvo en aquellos casos previstos en el numeral 3 del artículo 437-2 de este Estatuto.
Nota 1. Estas declaraciones podrán presentarse mediante un formulario, que permitirá liquidar la obligación tributaria en dólares convertida a pesos colombianos a latasa de cambio representativa de mercado –TRM del día de la declaración y pago. Las declaraciones presentadas sin pago total no producirán efecto, sin necesidad de acto administrativo que así lo declare.
Los prestadores de servicios desde el exterior, sin residencia fiscal en Colombia, no estarán obligados a expedir factura o documento equivalente por laprestación de los servicios electrónicos o digitales. Lo anterior sin perjuicio de las facultades de la Dirección de Impuestos y Aduanas Nacionales -DIAN para establecer la obligación de facturar electrónicamente o de soportar las operaciones en un documento electrónico.</t>
  </si>
  <si>
    <t xml:space="preserve">Nota 1. PARÁGRAFO 3. Deberán registrarse como responsables del IVA quienes realicen actividades gravadas con el impuesto, con excepción de las personas naturales comerciantes y los artesanos, que sean minoristas o detallistas, los pequeños agricultores y los ganaderos, así como quienes presten servicios, siempre y cuando cumplan la totalidad de las siguientes condiciones:
1. Que en el año anterior o en el año en curso hubieren obtenido ingresos brutostotales provenientes de la actividad, inferiores a 3.500 UVT.
2. Que no tengan más de un establecimiento de comercio, oficina, sede, local onegocio donde ejerzan su actividad.
3. Que en el establecimiento de comercio, oficina, sede, local o negocio no sedesarrollen actividades bajo franquicia, concesión, regalía, autorización ocualquier otro sistema que implique la explotación de intangibles.
4. Que no sean usuarios aduaneros.
5. Que no hayan celebrado en el año inmediatamente anterior ni en el año encurso contratos de venta de bienes y/o prestación de servicios gravados porvalor individual, igual o superior a 3.500 UVT.
6. Que el monto de sus consignaciones bancarias, depósitos o inversionesfinancieras durante el año anterior o durante el respectivo año, provenientes deactividades gravadas con el impuesto sobre las ventas – IVA, no supere la sumade 3.500 UVT.
</t>
  </si>
  <si>
    <t>Para la celebración de contratos de venta de bienes y/o de prestación deservicios gravados por cuantía individual y superior a 3.500 UVT, estas personas deberán inscribirse previamente como responsables del impuesto sobre lasventas –IVA, formalidad que deberá exigirse por el contratista para la procedencia de costos y deducciones. Lo anterior también será aplicable cuando un mismo contratista celebre varios contratos que superen la suma de 3.500 UVT.
Los responsables del impuesto sólo podrán solicitar su retiro del régimen cuando demuestren que en el año fiscal anterior se cumplieron, las condiciones establecidas en la presente disposición.
Cuando los no responsables realicen operaciones con los responsables del impuesto deberán registrar en el Registro Único Tributario -RUT su condición detales y entregar copia del mismo al adquirente de los bienes o servicios, en lostérminos señalados en el reglamento.
Autorícese a la Dirección de Impuestos y Aduanas Nacionales –DIAN para adoptar medidas tendientes al control de la evasión, para lo cual podrá imponer obligaciones formales a los sujetos no responsables a que alude la presente disposición. De conformidad con el artículo 869 y siguientes de este Estatuto, la Dirección de Impuestos y Aduanas Nacionales –DIAN tiene la facultad de desconocer toda operación o serie de operaciones cuyo propósito sea inaplicar la presente disposición, como: (i) la cancelación injustificada de establecimientos de comercio para abrir uno nuevo con el mismo objeto o actividad y (ii) el fraccionamiento de la actividad empresarial en varios miembros de una familia para evitar la inscripción del prestador de los bienes y servicios gravados en elrégimen de responsabilidad del impuesto sobre las ventas -IVA.
Para efectos de la inclusión de oficio como responsable del impuesto sobre las ventas -IVA, la Administración Tributaria también tendrá en cuenta los costos y gastos atribuibles a los bienes y servicios gravados, como arrendamientos, pagos por seguridad social y servicios públicos, y otra información que estádisponible en su sistema de información masiva y análisis de riesgo.</t>
  </si>
  <si>
    <t>Nota 1. Parágrafo 4. No serán responsables del impuesto sobre las ventas – IVA los contribuyentes del impuesto unificado bajo el Régimen Simple de Tributación -SIMPLE cuando únicamente desarrollen una o más actividades establecidas enel numeral 1 del artículo 908 del Estatuto Tributario.
***- Por el año 2022, tampoco serán responsables del impuesto sobre las ventas - IVA, los contribuyentes del impuesto unificado bajo el Régimen Simple de Tributación -SIMPLE cuando únicamente desarrollen actividades de expendio de comidas y bebidas de las que trata el numeral 4 del artículo 908 del Estatuto Tributario.
Nota 1. Parágrafo 5. Los límites de que trata el parágrafo 3 de este artículo serán 4.000 UVT para aquellos prestadores de servicios personas naturales que derivan susingresos de contratos con el Estado.</t>
  </si>
  <si>
    <t>¿Qué son los bienes gravados, exentos y excluidos ?</t>
  </si>
  <si>
    <t>Los bienes o servicios gravados son los que están sometidos a una determinada tarifa, ya sea la general (19%) o especial (5%).
Los bienes exentos son aquellos bienes que están gravados a una tarifa de 0% (cero).
Los bienes excluidos son aquellos que por expresa disposición legal no están gravados con el impuesto.
La principal diferencia consiste en que los bienes exentos dan derecho a descontar el impuesto que se pague por sus insumos, materias primas y demás costos directos e indirectos, en tanto que los bienes excluidos no lo pueden hacer, el Iva que paguen por cualquier concepto deben llevarlo como un mayor valor del gasto o costo.</t>
  </si>
  <si>
    <t>https://www.gerencie.com/impuesto-a-las-ventas.</t>
  </si>
  <si>
    <t xml:space="preserve">
Fuente: Curso Fiscalización tributaria, aduanera, cambiaria e internacional - TACI, Universidad Sergio Arboleda - DIAN, 2021</t>
  </si>
  <si>
    <t>¿Cuál es la base gravable sobre la cual recae el IVA ?</t>
  </si>
  <si>
    <t>El artículo 447 del ET señala lo siguiente: En la venta y prestación de servicios, la base gravable será el valor total de la operación, sea que ésta se realice de contado o a crédito, incluyendo entre otros los gastos directos de financiación ordinaria, extraordinaria, o moratoria, accesorios, acarreos, instalaciones, seguros, comisiones, garantías y demás erogaciones complementarias, aunque se facturen o convengan por separado y aunque, considerados independientemente, no se encuentren sometidos a imposición.
Es decir, que la base gravable está compuesta por la totalidad de los valores facturados y los servicios prestados que hacen parte integral de la operación, aún cuando las mismas normas indiquen que algunos de los bienes o servicios gravados se encuentran excluidos o exentos del impuesto sobre las ventas.
No obstante, la Ley también determina bases gravables especiales, resaltando las siguientes:</t>
  </si>
  <si>
    <r>
      <rPr>
        <u/>
        <sz val="10"/>
        <color theme="1"/>
        <rFont val="Arial"/>
        <family val="2"/>
      </rPr>
      <t>Base gravable en los contratos de construcción de bien inmueble</t>
    </r>
    <r>
      <rPr>
        <sz val="10"/>
        <color theme="1"/>
        <rFont val="Arial"/>
        <family val="2"/>
      </rPr>
      <t xml:space="preserve">:  En los contratos de construcción de inmuebles, el impuesto sobre las ventas se genera sobre la parte de los ingresos correspondiente a los honorarios obtenidos por el constructor de acuerdo con el artículo 3 del Decreto 1372 de 1992. En el evento en que no se pacten honorarios el impuesto se causará sobre la remuneración del servicio que corresponda a la utilidad del constructor. Lo anterior se deberá señalar en el contrato, y deberá corresponder al valor comercial para contratos iguales o similares. 
</t>
    </r>
  </si>
  <si>
    <r>
      <rPr>
        <u/>
        <sz val="10"/>
        <color theme="1"/>
        <rFont val="Arial"/>
        <family val="2"/>
      </rPr>
      <t>Base gravable en las importaciones</t>
    </r>
    <r>
      <rPr>
        <sz val="10"/>
        <color theme="1"/>
        <rFont val="Arial"/>
        <family val="2"/>
      </rPr>
      <t>: Para el caso de las importaciones, la base gravable para liquidar el impuesto sobre las ventas es la misma sobre la cual se liquidaron los derechos de aduana, no obstante, se debe incrementar en dicho valor, según el artículo 459 del ET. Si se trata de mercancías que involucren servicio o intangibles, la base gravable se determinará aplicando las normas sobre valoración aduanera teniendo en cuenta lo establecido por el Acuerdo de Valoración de la Organización Mundial de Comercio - OMC</t>
    </r>
  </si>
  <si>
    <r>
      <rPr>
        <u/>
        <sz val="10"/>
        <color theme="1"/>
        <rFont val="Arial"/>
        <family val="2"/>
      </rPr>
      <t>Base gravable en servicios de clubes</t>
    </r>
    <r>
      <rPr>
        <sz val="10"/>
        <color theme="1"/>
        <rFont val="Arial"/>
        <family val="2"/>
      </rPr>
      <t>: Para los servicios en clubes sociales al impuesto sobre las ventas se causa sobre todo pago que reciba el club de sus asociados o de terceros, por cualquier concepto que constituya ingreso en razón de su actividad, de acuerdo con el artículo 460 del ET.</t>
    </r>
  </si>
  <si>
    <r>
      <rPr>
        <u/>
        <sz val="10"/>
        <color theme="1"/>
        <rFont val="Arial"/>
        <family val="2"/>
      </rPr>
      <t>Base gravable en servicio de transporte internacional de pasajeros</t>
    </r>
    <r>
      <rPr>
        <sz val="10"/>
        <color theme="1"/>
        <rFont val="Arial"/>
        <family val="2"/>
      </rPr>
      <t>: En el caso del servicio de transporte internacional de pasajeros, el impuesto se liquidará sobre el valor total del tiquete u orden de cambio cuando estos se expidan de una vía solamente y sobre 
el cincuenta por ciento (50%) de su valor cuando se expidan de ida y regreso, según el artículo 461 del ET. Cuando la base gravable sea en moneda extranjera se utilizará la tasa de cambio vigente en la fecha de emisión del tiquete.</t>
    </r>
  </si>
  <si>
    <t>¿Hay consideraciones especiales del IVA respecto a los contratos de obra?</t>
  </si>
  <si>
    <t>Respecto a la aplicación del IVA en los contratos de obra, habrá que considerar:
- La base gravable del IVA en los contratos de obra si son de construcción son los honorarios, o en su defecto la utilidad del contratista (artículo 1.3.1.7.9 del decreto 1625 de 2016), por su parte, la base gravable del IVA en los contratos de obra si son de mantenimiento, son sobre el total de la operación
- Los contratos de Obras Públicas que celebren las personas naturales o jurídicas con las Entidades Territoriales y/o Entidades Descentralizadas del Orden Departamental y Municipal estarán excluidos del IVA (artículo 100 de la ley 21 de 1992)</t>
  </si>
  <si>
    <t>¿Qué es la exclusión del IVA por Adquisición de Elementos, Maquinaria y Equipos Requeridos para Sistemas de Control y Monitoreo Ambiental?</t>
  </si>
  <si>
    <t>Es el trámite para la obtención de la certificación ambiental de que tratan los artículos 424 numeral 7, 428 literales f) e i) del Estatuto Tributario y que tiene como propósito la obtención de la exclusión del impuesto sobre las ventas IVA establecida en los mismos para:
Articulo 424 numeral 7: Los equipos y elementos nacionales o importados que se destinen a la construcción, instalación, montaje y operación de sistemas de control y monitoreo, necesarios para el cumplimiento de las disposiciones, regulaciones y estándares ambientales vigentes, para lo cual deberá acreditarse tal condición ante el Ministerio de Ambiente y Desarrollo Sostenible.
Artículo 428 literal (f): La importación de maquinaria o equipo, siempre y cuando dicha maquinaria o equipo no se produzcan en el país, destinados a reciclar y procesar basuras o desperdicios (la maquinaria comprende lavado, separado, reciclado y extrusión), y los destinados a la depuración o tratamiento de aguas residuales, emisiones atmosféricas o residuos sólidos, para recuperación de los ríos o el saneamiento básico para lograr el mejoramiento del medio ambiente, siempre y cuando hagan parte de un programa que se apruebe por el Ministerio del Medio Ambiente. Cuando se trate de contratos ya celebrados, esta exención deberá reflejarse en un menor valor del contrato. Así mismo, los equipos para el control y monitoreo ambiental, incluidos aquellos para cumplir con los compromisos del protocolo de Montreal.</t>
  </si>
  <si>
    <t>Nota: La exclusión del IVA por Adquisición de Elementos, Maquinaria y Equipos Requeridos para Sistemas de Control y Monitoreo Ambiental solo se trámita ante el ANLA</t>
  </si>
  <si>
    <t>Fuente: http://portal.anla.gov.co/exclusion-del-iva-adquisicion-elementos-maquinaria-y-equipos-requeridos-sistemas-control-y-monitoreo</t>
  </si>
  <si>
    <t>¿Cuáles servicios están excluidos del impuesto sobre las ventas -IVA-?</t>
  </si>
  <si>
    <t>Estatuto tributario, Art. 476.</t>
  </si>
  <si>
    <r>
      <t>Nota 1. </t>
    </r>
    <r>
      <rPr>
        <sz val="10"/>
        <color rgb="FF000000"/>
        <rFont val="Arial"/>
        <family val="2"/>
      </rPr>
      <t>Se exceptúan del impuesto los siguientes servicios y los bienes relacionados explícitamente a continuación:</t>
    </r>
  </si>
  <si>
    <t>1. Los servicios médicos, odontológicos, hospitalarios, clínicos y de laboratorio, para la salud humana.</t>
  </si>
  <si>
    <t>2. Los servicios de administración de fondos del Estado y los servicios vinculados con la seguridad social de acuerdo con lo previsto en la Ley 100 de 1993.</t>
  </si>
  <si>
    <t>3. Los planes obligatorios de salud del sistema de seguridad social en salud expedidos por entidades autorizadas por la Superintendencia Nacional de Salud, los servicios prestados por las administradoras dentro del régimen de ahorro individual con solidaridad y de prima media con prestación definida, los servicios prestados por administradoras de riesgos laborales y los servicios de seguros y reaseguros para invalidez y sobrevivientes, contemplados dentro del régimen de ahorro individual con solidaridad a que se refiere el artículo 135 de la Ley 100 de 1993 o las disposiciones que la modifiquen o sustituyan.</t>
  </si>
  <si>
    <t>4. Las comisiones por intermediación por la colocación de los planes de salud del sistema general de seguridad social en salud expedidos por las entidades autorizadas legalmente por la Superintendencia Nacional de Salud, que no estén sometidos al impuesto sobre las ventas -IVA.</t>
  </si>
  <si>
    <t>5. Los servicios de educación prestados por establecimientos de educación preescolar, primaria, media e intermedia, superior y especial o no formal, reconocidos como tales por el Gobierno nacional, y los servicios de educación prestados por personas naturales a dichos establecimientos. Están excluidos igualmente los servicios prestados por los establecimientos de educación relativos a restaurantes, cafeterías y transporte, así como los que se presten en desarrollo de las Leyes 30 de 1992 y 115 de 1994, o las disposiciones que las modifiquen o sustituyan. Igualmente están excluidos los servicios de evaluación de la educación y de elaboración y aplicación de exámenes para la selección y promoción de personal, prestados por organismos o entidades de la administración pública.</t>
  </si>
  <si>
    <t>6. Los servicios de educación virtual para el desarrollo de contenidos digitales, de acuerdo con la reglamentación expedida por el Ministerio de Tecnologías de la Información y las Comunicaciones, prestados en Colombia o en el exterior.</t>
  </si>
  <si>
    <t>7. Los servicios de conexión y acceso a internet de los usuarios residenciales del estrato 3.</t>
  </si>
  <si>
    <t>8. En el caso del servicio telefónico local, se excluyen del impuesto los primeros trescientos veinticinco (325) minutos mensuales del servicio telefónico local facturado a los usuarios de los estratos 1, 2 y 3 y el servicio telefónico prestado desde teléfonos públicos.</t>
  </si>
  <si>
    <t>9. El servicio de transporte público, terrestre, fluvial y marítimo de personas en el territorio nacional, y el de transporte público o privado nacional e internacional de carga marítimo, fluvial, terrestre y aéreo. Igualmente, se excluye el transporte de gas e hidrocarburos.</t>
  </si>
  <si>
    <t>10. El transporte aéreo nacional de pasajeros con destino o procedencia de rutas nacionales donde no exista transporte terrestre organizado. Esta exclusión también aplica para el transporte aéreo turístico con destino o procedencia al departamento de La Guajira y los municipios de Nuquí, en el Departamento de Chocó, Mompóx en el Departamento de Bolívar, Tolú, en el Departamento de Sucre, Miraflores en el Departamento del Guaviare y Puerto Carreño en el departamento del Vichada.</t>
  </si>
  <si>
    <t>11. Los servicios públicos de energía. La energía y los servicios públicos de energía a base de gas u otros insumos.</t>
  </si>
  <si>
    <t>12. El agua para la prestación del servicio público de acueducto y alcantarillado, los servicios públicos de acueducto y alcantarillado, los servicios de aseo público y los servicios públicos de recolección de basuras.</t>
  </si>
  <si>
    <t>13. El gas para la prestación del servicio público de gas domiciliario y el servicio de gas domiciliario, ya sea conducido por tubería o distribuido en cilindros.</t>
  </si>
  <si>
    <t>14. Los servicios de alimentación, contratados con recursos públicos, destinados al sistema penitenciario, de asistencia social, de escuelas de educación pública, a las Fuerzas Militares, Policía Nacional, Centro de Desarrollo Infantil, centros geriátricos públicos, hospitales públicos, comedores comunitarios.</t>
  </si>
  <si>
    <t>15. El servicio de arrendamiento de inmuebles para vivienda y el arrendamiento de espacios para exposiciones y muestras artesanales nacionales, incluidos los eventos artísticos y culturales.</t>
  </si>
  <si>
    <t>16. Los intereses y rendimientos financieros por operaciones de crédito, siempre que no formen parte de la base gravable señalada en el artículo 447, y el arrendamiento financiero (leasing).</t>
  </si>
  <si>
    <t>17. Los servicios de intermediación para el pago de incentivos o transferencias monetarias condicionadas en el marco de los programas sociales del Gobierno Nacional.</t>
  </si>
  <si>
    <t>18. Las boletas de entrada a cine, a los eventos deportivos, culturales, incluidos los musicales y de recreación familiar, y los espectáculos de toros, hípicos y caninos. También se encuentran excluidos los servicios de que trata el artículo 6 de la Ley 1493 de 2011.</t>
  </si>
  <si>
    <t>19. Los servicios funerarios, los de cremación, inhumación y exhumación de cadáveres, alquiler y mantenimiento de tumbas y mausoleos.</t>
  </si>
  <si>
    <t>20. Adquisición de licencias de software para el desarrollo comercial de contenidos digitales, de acuerdo con la reglamentación expedida por el Ministerio de Tecnologías de la Información y Comunicaciones.</t>
  </si>
  <si>
    <t>21. Suministro de páginas web, servidores (hosting), computación en la nube (cloud computing).</t>
  </si>
  <si>
    <t>22. Las comisiones pagadas por los servicios que se presten para el desarrollo de procesos de titularización de activos a través de universalidades y patrimonios autónomos cuyo pago se realice exclusivamente con cargo a los recursos de tales universalidades o patrimonios autónomos.</t>
  </si>
  <si>
    <t>23. Las comisiones percibidas por las sociedades fiduciarias, sociedades administradoras de inversión y comisionistas de bolsa por la administración de fondos de inversión colectiva. </t>
  </si>
  <si>
    <t>24. Los siguientes servicios, siempre que se destinen a la adecuación de tierras, a la producción agropecuaria y pesquera y a la comercialización de los respectivos productos: </t>
  </si>
  <si>
    <t>a) El riego de terrenos dedicados a la explotación agropecuaria; </t>
  </si>
  <si>
    <t>b) El diseño de sistemas de riego, su instalación, construcción, operación, administración y conservación; </t>
  </si>
  <si>
    <t>c) La construcción de reservorios para la actividad agropecuaria; </t>
  </si>
  <si>
    <t>d) La preparación y limpieza de terrenos de siembra; </t>
  </si>
  <si>
    <t>e) El control de plagas, enfermedades y malezas, incluida la fumigación aérea y terrestre de sembradíos; </t>
  </si>
  <si>
    <t>f) El corte y recolección manual y mecanizada de productos agropecuarios; </t>
  </si>
  <si>
    <t>g) Aplicación de fertilizantes y elementos de nutrición edáfica y foliar de los cultivos; </t>
  </si>
  <si>
    <t>h) Aplicación de sales mineralizadas; </t>
  </si>
  <si>
    <t>i) Aplicación de enmiendas agrícolas; </t>
  </si>
  <si>
    <t>j) Aplicación de insumos como vacunas y productos veterinarios; </t>
  </si>
  <si>
    <t>k) El pesaje y el alquiler de corrales en ferias de ganado mayor y menor; </t>
  </si>
  <si>
    <t>l) La siembra; </t>
  </si>
  <si>
    <t>m) La construcción de drenajes para la agricultura; </t>
  </si>
  <si>
    <t>n) La construcción de estanques para la piscicultura; </t>
  </si>
  <si>
    <t>o) Los programas de sanidad animal; </t>
  </si>
  <si>
    <t>p) La perforación de pozos profundos para la extracción de agua; </t>
  </si>
  <si>
    <t>q) El desmonte de algodón, la trilla y el secamiento de productos agrícolas; </t>
  </si>
  <si>
    <t>r) La selección, clasificación y el empaque de productos agropecuarios sin procesamiento industrial; </t>
  </si>
  <si>
    <t>s) La asistencia técnica en el sector agropecuario; </t>
  </si>
  <si>
    <t>t) La captura, procesamiento y comercialización de productos pesqueros; </t>
  </si>
  <si>
    <t>Los usuarios de los servicios excluidos por el presente numeral deberán expedir una certificación a quien preste el servicio, en donde conste la destinación, el valor y el nombre e identificación del mismo. Quien preste el servicio deberá conservar dicha certificación durante el plazo señalado en el artículo 632 del Estatuto Tributario, la cual servirá como soporte para la exclusión de los servicios. </t>
  </si>
  <si>
    <t>25. La comercialización de animales vivos y el servicio de faenamiento. </t>
  </si>
  <si>
    <t>26. Están excluidos de IVA los servicios de hotelería y turismo que sean prestados en los municipios que integran las siguientes zonas de régimen aduanero especial: a. Zona de régimen aduanero especial de Urabá, Tumaco y Guapi. b. Zona de régimen aduanero especial de Inírida, Puerto Carreño, La Primavera y Cumaribo. c. Zona de régimen aduanero especial de Maicao, Uribía y Manaure. </t>
  </si>
  <si>
    <t>27. Las operaciones cambiarias de compra y venta de divisas, así como las operaciones cambiarias sobre instrumentos derivados financieros. </t>
  </si>
  <si>
    <t>28. Las comisiones percibidas por la utilización de tarjetas crédito y débito. </t>
  </si>
  <si>
    <t>29. Los servicios de promoción y fomento deportivo prestados por los clubes deportivos definidos en el artículo 2 del Decreto Ley 1228 de 1995. </t>
  </si>
  <si>
    <t>30. Los servicios de reparación y mantenimiento de naves y artefactos navales tanto maritimos como fluviales de bandera colombiana, excepto los servicios que se encuentran en el literal P) del numeral 3 del artículo 477 de este Estatuto. </t>
  </si>
  <si>
    <t>31. Los servicios de publicidad en periódicos que registren ventas en publicidad a 31 de diciembre del año inmediatamente anterior inferiores a 180.000 UVT. </t>
  </si>
  <si>
    <t>La publicidad en las emisoras de radio cuyas ventas sean inferiores a 30.000 UVT al 31 de diciembre del año inmediatamente anterior y programadoras de canales regionales de televisión cuyas ventas sean inferiores a 60.000 UVT al 31 de diciembre del año inmediatamente anterior. Aquellas que superen este monto se regirán por la regla general. </t>
  </si>
  <si>
    <t>Las exclusiones previstas en este numeral no se aplicarán a las empresas que surjan como consecuencia de la escisión de sociedades que antes de la expedición de la presente Ley conformen una sola empresa ni a las nuevas empresas que se creen cuya matriz o empresa dominante se encuentre gravada con el IVA por este concepto. </t>
  </si>
  <si>
    <t>32. Los servicios de corretaje de contratos de reaseguros. </t>
  </si>
  <si>
    <r>
      <t>PARÁGRAFO.</t>
    </r>
    <r>
      <rPr>
        <sz val="10"/>
        <color rgb="FF000000"/>
        <rFont val="Arial"/>
        <family val="2"/>
      </rPr>
      <t> En los casos de trabajos de fabricación, elaboración o construcción de bienes corporales muebles, realizados por encargo de terceros, incluidos los destinados a convertirse en inmuebles por accesión, con o sin aporte de materias primas, ya sea que supongan la obtención del producto final o constituyan una etapa de su fabricación, elaboración, construcción o puesta en condiciones de utilización, la tarifa aplicable es la que corresponda al bien que resulte de la prestación del servicio. </t>
    </r>
  </si>
  <si>
    <t>Lo dispuesto en el presente parágrafo no aplica para las industrias de minería e hidrocarburos. </t>
  </si>
  <si>
    <t>Propuesta económica Opc 1</t>
  </si>
  <si>
    <t>NOTAS PROPUESTA ECONÓMICA</t>
  </si>
  <si>
    <t>Propuesta económica Opc 2</t>
  </si>
  <si>
    <t>Propuesta económica Opc 3</t>
  </si>
  <si>
    <t>A continuación, se encontrará una lista enunciativa de notas que pueden ser incluidas en el formato de propuesta económica, de acuerdo, a la especificidad del proceso.
La elección de las notas es de responsabilidad del asesor(a) financiero(a), quien podrá contar con apoyo del asesor(a) técnico(a) y asesor(a) jurídico(a) del proceso, para llevar a cabo dicho cometido. 
En concordancia con las características del proceso, se podrán utilizar notas que no estén relacionadas en la siguiente lista enunciativa.</t>
  </si>
  <si>
    <t>Notas sobre diligenciamiento</t>
  </si>
  <si>
    <t>Nota: Este formato es inmodificable en cuanto a los ítems y las cantidades solicitadas.</t>
  </si>
  <si>
    <t>Nota: El proponente deberá establecer los valores unitarios de cada uno de los ítems y el valor total de conformidad con las cantidades solicitadas (espacios subrayados en gris). Será causal de rechazo no diligenciar o modificar, uno o varios de los ítems solicitados. Los valores deben estar acorde a las especificaciones técnicas de acuerdo a los Estudios previos del proceso.</t>
  </si>
  <si>
    <t>Nota: El proponente deberá establecer los valores unitarios, los valores totales (de conformidad con las cantidades solicitadas) y los subtotales para cada vigencia, al igual, que los valores que totalizan las vigencias (espacios subrayados en gris claro). Será causal de rechazo no diligenciar o modificar, uno o varios de los ítems solicitados. Los valores deben estar acorde a las especificaciones técnicas de acuerdo a los Estudios previos del proceso, y se deben expresar en números enteros o sin decimales.</t>
  </si>
  <si>
    <t>Nota: El presente formato también podrá ser diligenciado en formato Excel, en caso de presentarse la propuesta económica en ambos formatos sus cifras deberán ser coincidentes, so pena de rechazo.</t>
  </si>
  <si>
    <t xml:space="preserve">Nota: El formato 6 - PROPUESTA ECONÓMICA se debe presentar en archivo tipo Excel y pdf, si entre ellos existe alguna diferencia, primará el documento presentado en archivo pdf.  </t>
  </si>
  <si>
    <t>Nota: El oferente deberá diligenciar los Valores unitarios del oferente antes de AU e IVA, para cada uno de los ítems ajustados al peso (redondear), bien sea por exceso o por defecto. Propuesta que en su formato no relacione el precio de los Valores unitarios del oferente antes de AU e IVA, será rechazada.</t>
  </si>
  <si>
    <t>Nota: En caso de modificaciones u omisiones por parte de los proponentes al presente formato, prevalecerá y sólo será válida la descripción y unidad que se detalla en el formato (incluidas las variaciones en atención a las modificaciones o adendas a las condiciones de contratación). En este sentido, cualquier variación en la descripción y unidad del Formato No. 6 presentado por el proponente, se entenderá como no escrita, prevaleciendo la descripción y unidad descritas en el dicho formato.</t>
  </si>
  <si>
    <t>Nota: El formato denominado Anexo 6 - Documento Estandarizado Propuesta Económica,  es la tabla conformada por la oferta económica del proponente para xxxxxx y sus diferentes ítems, contemplados en el presupuesto oficial o Memoria de Cálculo del Formato FT-FAF-175, de la entidad para el presente proceso de contratación. Dichas actividades o ítems son las que han sido requeridas en el histórico de la entidad o en actividades previstas para la presente vigencia. La tabla esta compuesta por los siguientes capítulos, Subcapítulos y actividades:
Capítulo 1.  XXXXXXX (SUMA Subcapítulos A+B).
Capítulo 2.   - XXXXXXXX - A DEMANDA (precio no modificable por el oferente).
En el caso del Capítulo 2, las actividades hacen parte de la bolsa de recursos descrita en la nota X, la cual se ejecutará A DEMANDA y cuyo valor no puede ser modificado por el oferente. Sin embargo, el oferente deberá ofertar los precios unitarios de las actividades incluidas en el formato, es decir, los ítems XX a XX del Subcapítulo X. VARIOS; y XX a XX del subcapitulo D. XXXXXXXXXXXXXXX
La no presentación del valor unitario de una o varias de las actividades y costos consignados en este documento será causal de rechazo de la oferta. Igualmente cuando en la presentación de valores que, en caso de error del oferente, no se les pueda realizar una corrección aritmética sin afectar el valor de la oferta en contra de los demás oferentes. Asi mismo, será causal de rechazo cuando uno o varios de los valores unitarios ofertados de las tabla superen el X% de acuerdo con el precio establecido en el Formato FT-FAF-175,  Presupuesto oficial o Memoria de Cálculo.</t>
  </si>
  <si>
    <t>Notas sobre estipulación de valores y porcentajes</t>
  </si>
  <si>
    <t>Nota: Los valores que se asignen en valores unitarios deberán sostenerse y demostrar su cumplimiento durante la ejecución del contrato.</t>
  </si>
  <si>
    <t>Nota: Sobre los valores unitarios – precio base antes de IVA de cada ítem referenciados en la ficha técnica (formato FT-FAF-117), los oferentes podrán manejar un margen del x% como incremento en el precio unitario, sin embargo, la sumatoria del valor total de la lista de valores unitarios (antes de IVA) que se oferte como propuesta económica no podrá ser superior a la sumatoria del valor total de la lista de valores unitarios (antes de IVA) estimada por la Corporación (memoria del cálculo formato FT FAF-175).</t>
  </si>
  <si>
    <t>Nota: Para el grupo X: Sobre el valor unitario – precio base antes de IVA del ítem referenciado en la ficha técnica (formato FT-FAF-117) los oferentes podrán manejar un margen del x% como incremento en el precio unitario,  que corresponde a $x.</t>
  </si>
  <si>
    <t>Nota: Los oferentes podrán ofertar valores unitarios menores o iguales a los establecidos en el presupuesto de los estudios previos (Valor unitario de referencia), no obstante, el valor unitario no podrá ser superior al establecido en el presupuesto oficial y documentos de Estudios previos, ya que será causal de rechazo de la propuesta.</t>
  </si>
  <si>
    <t xml:space="preserve">Nota: La corporación hará podrá hacer uso del 100% del presupuesto, por tanto, el contrato se adjudicará por el valor del presupuesto oficial, y se consumirá en concordancia con la propuesta económica del oferente al que se le adjudique el contrato. </t>
  </si>
  <si>
    <t>Nota: Para determinar el menor valor de la propuesta se tomará la sumatoria de los valores totales (valor unitario por cantidad) ofertados por el proponente antes de IVA (Subtotal antes de IVA). Teniendo presente que en el presupuesto oficial se determino una bolsa para adquirir servicios a demandan, los ítems a adquirir por dicha bolsa, se consumirán acorde a la necesidad y se reconocerán de acuerdo con la oferta económica del oferente que resulte aceptada, hasta el presupuesto designado para ello.</t>
  </si>
  <si>
    <t>Nota: La Corporación estima para el presupuesto de este proceso un AU de máximo el X% el cual podrá ser modificado en un porcentaje inferior de acuerdo a las pretensiones del oferente.</t>
  </si>
  <si>
    <t>Nota: El proponente deberá establecer los precios unitarios de cada uno de los grupos  de la propuesta económica y el valor total, de conformidad con el monto establecido para cada grupo antes de IVA , diligenciando la totalidad de las celdas  contenidas en el presente formato.</t>
  </si>
  <si>
    <t>Nota: Para la evaluación de la mejor oferta se tendrá en cuenta el menor precio antes de IVA de cada uno de los grupos.</t>
  </si>
  <si>
    <t xml:space="preserve">Nota: El precio a evaluar del proponente comprende la sumatoria de los ítems discriminados, que sumados conformarán el precio total oferente antes de AU e IVA. </t>
  </si>
  <si>
    <t>Nota: En el presente proceso se debe considerar que se ejecutará la totalidad del presupuesto estimado para cada uno de los grupos de acuerdo a la necesidad de la Corporación.</t>
  </si>
  <si>
    <t>Nota: Los recursos asignados por valor de XXXX ($xx) IVA y AU incluidos como bolsa son para distribuir de acuerdo con la priorización que se realice durante la ejecución del contrato. Por lo anterior, el costo directo del proponente seleccionado resultará de la interacción que se realice con la información del %A del oferente seleccionado, de la %U del oferente seleccionado, del IVA sobre xxx del oferente seleccionado y valor del presupuesto oficial como costo total a destinar en el alcance del contrato. La Corporación se reserva el derecho de requerir una o varias unidades de los ítems listados, así como de NO solicitar alguno de estos, de acuerdo a la necesidad.</t>
  </si>
  <si>
    <t>Nota: El oferente deberá discriminar el porcentaje de la Administración y Utilidad (A.U.). El factor Administración (A) deberá comprender todos los costos necesarios de administración en que incurrirá el Contratista por la ejecución de los trabajos objeto de la Invitación, incluyendo entre ellos, los impuestos y contibuciones a los que haya objeto. Igualmente deberá indicar el porcentaje de la Utilidad (U) o beneficio económico que pretende percibir. La Corporación estima como porcentaje oficial de AU el x%, cuando el porcentaje del A.U. del proponente, supere el porcentaje del A.U. oficial será RECHAZADO.</t>
  </si>
  <si>
    <t xml:space="preserve">Nota: En todo caso, el contrato será adjudicado por el valor del presupuesto oficial, es decir, la suma de xxxx ($ xxxx) IVA y AU incluidos, teniendo en cuenta que, si se obtienen descuentos en los ítems ofertados en la propuesta económica, los mismos serán reinvertidos en el contrato, por lo cual, este se adjudicará por el valor total del presupuesto oficial. </t>
  </si>
  <si>
    <t>Nota (para Concursos Públicos de Méritos): Todo el personal a contratar para la ejecución del contrato, en la modalidad de prestación de servicios profesionales y de apoyo a la gestión, se deberá remunerar, como mínimo, con los honorarios establecidos en la tabla de honorarios corporativas prevista para la vigencia 2020. En caso de que las condiciones contractuales exijan la celebración de contratos de trabajo o el contratista así lo decida, la remuneración deberá corresponder como mínimo a los honorarios mencionados menos el factor prestacional reconocido por la Corporación.</t>
  </si>
  <si>
    <t>Nota (proceso de obra pública): El rango de los precios unitarios se establecerá en pesos colombianos. El valor de cada ítem no podrá ser superior al valor establecido dentro del presupuesto oficial. En caso contrario la oferta será RECHAZADA. Los precios unitarios que ofrezca el oferente, serán los que correspondan a la fecha de presentación del presente formato  y deberán cubrir todos los costos de mano de obra, materiales, herramientas, equipos y transporte, trabajos diurnos y nocturnos o en días feriados, prestaciones sociales, y todos los demás gastos inherentes al cumplimiento satisfactorio del contrato. Si en los análisis de precios unitarios se han omitido costos, se mantendrá el precio propuesto, sin lugar a reclamos o revisiones posteriores. Los precios unitarios y totales de la obra a ejecutar y los errores y omisiones en estos precios, serán de responsabilidad absoluta y exclusiva del oferente.</t>
  </si>
  <si>
    <t>Nota (proceso que tenga factores a evaluar): En caso que el porcentaje del criterio XXXX (XXXXXXX) ofrecido por la mejor propuesta sea igual a 0% (cero %), para efecto de aplicar la fórmula, se utilizará el menor porcentaje mayor a 0% (cero %). Nótese que dicho menor porcentaje que sea mayor a 0% (cero %), también obtendrá el mayor puntaje en este ítem.</t>
  </si>
  <si>
    <t>Nota (proceso que tenga factores a evaluar): En caso que el porcentaje del criterio XXXX (XXXXXXX) ofrecido por la mejor propuesta sea igual a $0 (cero pesos), para efecto de aplicar la fórmula, se utilizará el menor porcentaje mayor a $0 (cero pesos). Nótese que dicho menor porcentaje que sea mayor a $0 (cero pesos), también obtendrá el mayor puntaje en este ítem.</t>
  </si>
  <si>
    <t>Notas varias</t>
  </si>
  <si>
    <t>Nota: Para la evaluación económica de las propuestas, la entidad podrá realizar las correcciones aritméticas a las que haya lugar, entendiendo por esto las correcciones de una operación matemática por error de cálculo numérico en que se incurre al elaborar la propuesta económica. Adicionalmente la Corporación, podrá solicitar a los proponentes las aclaraciones y explicaciones que se estimen pertinentes, así mismo, el valor total corregido no podrá exceder el valor total del presupuesto oficial.</t>
  </si>
  <si>
    <t>Nota: Se habla de “AU” porque la Corporación no paga Imprevistos</t>
  </si>
  <si>
    <t>REQUISITOS HABILITANTES CAPACIDAD FINANCIERA Y ORGANIZACIONAL</t>
  </si>
  <si>
    <t>REQUISITOS GENERALES</t>
  </si>
  <si>
    <t>REQUISITOS DE CAPACIDAD FINANCIERA GENERALES</t>
  </si>
  <si>
    <t>NOMBRE DEL INDICADOR</t>
  </si>
  <si>
    <t>VALORES MÍNIMOS EXIGIDOS</t>
  </si>
  <si>
    <t>Liquidez</t>
  </si>
  <si>
    <t>Debe demostrarse una liquidez MAYOR A UNO (1), expresado máximo con dos decimales, o el equivalente expresado en otra unidad.</t>
  </si>
  <si>
    <t>Nivel de Endeudamiento</t>
  </si>
  <si>
    <t xml:space="preserve">Debe demostrarse un endeudamiento MENOR O IGUAL AL SETENTA POR CIENTO (70%) expresado con dos decimales, o el equivalente expresado en otra unidad. </t>
  </si>
  <si>
    <t>Razón de Cobertura de Intereses</t>
  </si>
  <si>
    <t>Se deberá acreditar una razón de cobertura de intereses POSITIVA MAYOR O IGUAL a DOS (2), expresado con dos decimales, o el equivalente expresado en otra unidad.
Nota: cuando el resultado en el RUP de indeterminado, el proponente cumple con el indicador.</t>
  </si>
  <si>
    <t>REQUISITOS DE CAPACIDAD ORGANIZACIONAL GENERALES</t>
  </si>
  <si>
    <t>Rentabilidad del Patrimonio</t>
  </si>
  <si>
    <t>Los proponentes deberán presentar una Rentabilidad del Patrimonio MAYOR AL UNO PORCIENTO (1%), expresado con dos decimales, o el equivalente expresado en otra unidad.</t>
  </si>
  <si>
    <t>Rentabilidad del Activo</t>
  </si>
  <si>
    <t>Los proponentes deberán presentar una Rentabilidad del Activo MAYOR AL UNO PORCIENTO (1%), expresado con dos decimales, o el equivalente expresado en otra unidad.</t>
  </si>
  <si>
    <t>REQUISITOS DIFERENCIALES</t>
  </si>
  <si>
    <r>
      <t xml:space="preserve">En virtud del Decreto 1082 de 2015, artículos 2.2.1.2.4.2.15. y 2.2.1.2.4.2.18, </t>
    </r>
    <r>
      <rPr>
        <sz val="10"/>
        <rFont val="Arial"/>
        <family val="2"/>
      </rPr>
      <t xml:space="preserve">donde se estipula, </t>
    </r>
    <r>
      <rPr>
        <sz val="10"/>
        <color theme="1"/>
        <rFont val="Arial"/>
        <family val="2"/>
      </rPr>
      <t xml:space="preserve">
</t>
    </r>
  </si>
  <si>
    <r>
      <rPr>
        <b/>
        <sz val="10"/>
        <color theme="1"/>
        <rFont val="Arial"/>
        <family val="2"/>
      </rPr>
      <t>ARTÍCULO 2.2.1.2.4.2.15. Criterios diferenciales para emprendimientos y empresas de mujeres en el sistema de compras públicas</t>
    </r>
    <r>
      <rPr>
        <sz val="10"/>
        <color theme="1"/>
        <rFont val="Arial"/>
        <family val="2"/>
      </rPr>
      <t xml:space="preserve">. En los procesos de licitación pública, selección abreviada de menor cuantía y concurso de méritos, así como en los procesos competitivos que adelanten las Entidades Estatales no sometidas al Estatuto General de Contratación de la Administración Pública, las Entidades incluirán condiciones habilitantes para incentivar los emprendimientos y empresas de mujeres con domicilio en el territorio nacional. Para el efecto,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</si>
  <si>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Los requisitos mencionados deberán fijarse respetando las condiciones habilitantes requeridas para el cumplimiento adecuado del contrato, teniendo en cuenta el alcance de las obligaciones. En desarrollo de lo anterior, con la finalidad de beneficiar a las empresas y emprendimientos de mujeres, se establecerán condiciones más exigentes respecto a alguno o algunos de los criterios de participación antes enunciados frente a los demás proponentes que concurran al procedimiento de selección que no sean empresas o emprendimientos de mujeres.
De manera que no se ponga en riesgo el cumplimiento adecuado del objeto contractual, con excepción de los procedimientos donde el menor precio ofrecido sea el único factor de evaluación, las Entidades también otorgarán un puntaje adicional de hasta el cero punto veinticinco por ciento (0.25%) del valor total de los puntos establecidos en los pliegos de condiciones o documentos equivalentes, a los proponentes que acrediten alguno de los supuestos del artículo 2.2.1.2.4.2.14 del presente Decreto.
Las Entidades incluirán estos requisitos diferenciales y puntajes adicionales de acuerdo con los resultados del análisis del sector, desde la perspectiva del estudio de la oferta de las obras, bienes o servicios que requiere, sin perjuicio de los compromisos adquiridos por Colombia en los Acuerdos Comerciales vigentes.</t>
  </si>
  <si>
    <r>
      <rPr>
        <b/>
        <sz val="10"/>
        <color theme="1"/>
        <rFont val="Arial"/>
        <family val="2"/>
      </rPr>
      <t>PARÁGRAFO 1</t>
    </r>
    <r>
      <rPr>
        <sz val="10"/>
        <color theme="1"/>
        <rFont val="Arial"/>
        <family val="2"/>
      </rPr>
      <t xml:space="preserve">. Tratándose de proponentes plurales, los criterios diferenciales y los puntajes adicionales solo se aplicarán si por lo menos uno de los integrantes acredita que es emprendimiento y empresa de mujeres bajo los criterios dispuestos en el artículo precedente y que tiene una participación igual o superior al diez por ciento (10%) en el consorcio o la unión temporal.
</t>
    </r>
    <r>
      <rPr>
        <b/>
        <sz val="10"/>
        <color theme="1"/>
        <rFont val="Arial"/>
        <family val="2"/>
      </rPr>
      <t>PARÁGRAFO 2</t>
    </r>
    <r>
      <rPr>
        <sz val="10"/>
        <color theme="1"/>
        <rFont val="Arial"/>
        <family val="2"/>
      </rPr>
      <t>. Los incentivos contractuales para las empresas y emprendimientos de mujeres no excluyen la aplicación de los criterios diferenciales para Mipyme en el sistema de compras públicas.
(Adicionado por el Art. 3 del Decreto 1860 de 2021)</t>
    </r>
  </si>
  <si>
    <r>
      <rPr>
        <b/>
        <sz val="10"/>
        <color theme="1"/>
        <rFont val="Arial"/>
        <family val="2"/>
      </rPr>
      <t>ARTÍCULO 2.2.1.2.4.2.18. Criterios diferenciales para Mipyme en el sistema de compras públicas</t>
    </r>
    <r>
      <rPr>
        <sz val="10"/>
        <color theme="1"/>
        <rFont val="Arial"/>
        <family val="2"/>
      </rPr>
      <t xml:space="preserve">. De acuerdo con el numeral 1 del artículo 12 de la Ley 590 de 2000, según los resultados del análisis del sector, las Entidades Estatales indistintamente de su régimen de contratación, los patrimonios autónomos constituidos por Entidades Estatales y los particulares que ejecuten recursos públicos establecerán condiciones habilitantes diferenciales que promuevan y faciliten la participación en los procedimientos de selección competitivos de las Mipyme domiciliadas en Colombia. Para el efecto, en función de los criterios de clasificación empresarial, los Documentos del Proceso deberán incorporar requisitos habilitantes diferenciales relacionados con alguno o algunos de los siguientes aspectos:
1. Tiempo de experiencia.
2. Número de contratos para la acreditación de la experiencia.
3. Índices de capacidad financiera.
4. Índices de capacidad organizacional.
5. Valor de la garantía de seriedad de la oferta.
</t>
    </r>
  </si>
  <si>
    <t xml:space="preserve">Los requisitos mencionados deberán fijarse respetando las condiciones habilitantes requeridas para el cumplimiento adecuado del contrato, teniendo en cuenta el alcance de las obligaciones. En desarrollo de lo anterior, con la finalidad de beneficiar a las Mipyme, se establecerán condiciones más exigentes respecto a alguno o algunos de los criterios de participación antes enunciados frente a los demás proponentes que concurran al procedimiento de selección que no sean Mipyme.
Con excepción de los procedimientos de selección abreviada por subasta inversa y de mínima cuantía, las entidades sometidas al Estatuto General de Contratación de la Administración Pública, teniendo en cuenta los criterios de clasificación empresarial, podrán establecer puntajes adicionales para Mipyme. En ningún caso, estos podrán superar el cero punto veinticinco por ciento (0.25%) del total de los puntos establecidos en el pliego de condiciones.
</t>
  </si>
  <si>
    <r>
      <rPr>
        <b/>
        <sz val="10"/>
        <color theme="1"/>
        <rFont val="Arial"/>
        <family val="2"/>
      </rPr>
      <t>PARÁGRAFO 1.</t>
    </r>
    <r>
      <rPr>
        <sz val="10"/>
        <color theme="1"/>
        <rFont val="Arial"/>
        <family val="2"/>
      </rPr>
      <t xml:space="preserve"> Para los efectos de este artículo, los criterios de clasificación empresarial son los definidos en el artículo 2.2.1.13.2.2 del Decreto 1074 de 2015, Único Reglamentario del Sector Comercio, Industria y Turismo, o la norma que lo modifique, derogue o sustituya.
</t>
    </r>
    <r>
      <rPr>
        <b/>
        <sz val="10"/>
        <color theme="1"/>
        <rFont val="Arial"/>
        <family val="2"/>
      </rPr>
      <t xml:space="preserve">
PARÁGRAFO 2</t>
    </r>
    <r>
      <rPr>
        <sz val="10"/>
        <color theme="1"/>
        <rFont val="Arial"/>
        <family val="2"/>
      </rPr>
      <t xml:space="preserve">. Tratándose de proponentes plurales, los criterios diferenciales y los puntajes adicionales solo se aplicarán si por lo menos uno de los integrantes acredita la calidad de Mipyme y tiene una participación igual o superior al diez por ciento (10%) en el consorcio o la unión temporal.
</t>
    </r>
    <r>
      <rPr>
        <b/>
        <sz val="10"/>
        <color theme="1"/>
        <rFont val="Arial"/>
        <family val="2"/>
      </rPr>
      <t>PARÁGRAFO 3</t>
    </r>
    <r>
      <rPr>
        <sz val="10"/>
        <color theme="1"/>
        <rFont val="Arial"/>
        <family val="2"/>
      </rPr>
      <t>. Lo previsto en esta norma aplica sin perjuicio de lo dispuesto en los Acuerdos Comerciales suscritos por el Estado colombiano, pero no rige en las convocatorias limitadas que se realicen conforme a los artículos 2.2.1.2.4.2.2 y 2.2.1.2.4.2.3 de este Decreto."
(Adicionado por el Art. 3 del Decreto 1860 de 2021)</t>
    </r>
  </si>
  <si>
    <t xml:space="preserve">Se determinan los siguientes requisitos diferenciales, exclusivamente para las unidades económicas que cumplan con lo estipulado en los artículos 2.2.1.2.4.2.14 (Definición de emprendimientos y empresas de mujeres), 2.2.1.2.4.2.15 (Criterios diferenciales para emprendimientos y empresas de mujeres en el sistema de compras públicas) y  2.2.1.2.4.2.18 (Criterios diferenciales para Mipyme en el sistema de compras públicas) del Decreto 1082 de 2015, los demás proponentes deberán sujetarse a los requisitos generales de capacidad financiera y organizacional determinados para el proceso contractual. </t>
  </si>
  <si>
    <t>REQUISITOS DE CAPACIDAD FINANCIERA DIFERENCIALES</t>
  </si>
  <si>
    <t xml:space="preserve">Debe demostrarse un endeudamiento MENOR O IGUAL AL OCHENTA POR CIENTO (80%) expresado con dos decimales, o el equivalente expresado en otra unidad. </t>
  </si>
  <si>
    <t>Se deberá acreditar una razón de cobertura de intereses POSITIVA MAYOR O IGUAL a UNO PUNTO CINCO (1,50), expresado con dos decimales, o el equivalente expresado en otra unidad.
Nota: cuando el resultado en el RUP de indeterminado, el proponente cumple con el indicador.</t>
  </si>
  <si>
    <t>REQUISITOS DE CAPACIDAD ORGANIZACIONAL DIFERENCIALES</t>
  </si>
  <si>
    <t>Los proponentes deberán presentar una Rentabilidad del Patrimonio MAYOR O IGUAL AL CERO PUNTO CINCO PORCIENTO (0,50%), expresado con dos decimales, o el equivalente expresado en otra unidad.</t>
  </si>
  <si>
    <t>Los proponentes deberán presentar una Rentabilidad del Activo MAYOR O IGUAL AL CERO PUNTO CINCO PORCIENTO (0,50%), expresado con dos decimales, o el equivalente expresado en otra unidad.</t>
  </si>
  <si>
    <t>VERIFICACIÓN DE REQUISITOS HABILITANTES DE CAPACIDAD FINANCIERA Y ORGANIZACIONAL CONTENIDA EN EL RUP EN FIRME</t>
  </si>
  <si>
    <t xml:space="preserve">Para el presente proceso de contratación los indicadores financieros y organizacionales de los PROPONENTES PLURALES se calcularán de acuerdo a lo establecido en la Opción 2, Capítulo VII del manual Colombia Compra Eficiente.
La capacidad financiera y organizacional se tomará directamente del Registro Único de Proponentes – RUP.
A partir del 1 de junio de 2021, para efectos de la inscripción en el Registro Único de Proponentes, el interesado reportará la información contable de que tratan los numerales 1.3 y 2.3 del artículo 1° del Decreto 579 de 2021, correspondiente a los últimos tres (3) años fiscales anteriores al respectivo acto. En aquellos eventos en que el proponente no tenga la antigüedad suficiente para aportar la información financiera correspondiente a los tres (3) años descritos en el inciso anterior, podrá acreditar dicha información desde su primer cierre fiscal.
De conformidad con los parágrafos transitorios de los artículos 2.2.1.1.1.5.2. y 2.2.1.1.1.5.6., y en desarrollo del deber de análisis de las Entidades Estatales, de que trata el artículo 2.2.1.1.1.6.1. del Decreto 579 de 2021, a partir del 1 de julio de 2021 las Entidades Estatales establecerán y evaluarán los requisitos habilitantes de capacidad financiera y organizacional teniendo en cuenta la información que conste en el Registro Único de Proponentes. En todo caso, se establecerán indicadores proporcionales al procedimiento de contratación. Para ello, atendiendo a las condiciones aludidas, en relación con los indicadores de la capacidad financiera y organizacional, de los procesos de selección cuyo acto administrativo de apertura o invitación se publique a partir del 1 de julio de 2021, se tendrá en cuenta la información vigente y en firme en el RUP, por lo que las Entidades Estatales evaluarán estos indicadores, teniendo en cuenta el mejor año fiscal que se refleje en el registro de cada proponente.
</t>
  </si>
  <si>
    <t xml:space="preserve">El resultado de la verificación de los Indicadores de capacidad financiera y organizacional de los proponentes se expresará de acuerdo a lo siguiente:
CUMPLE: Si la totalidad de los indicadores presentados por el proponente en el RUP guardan correspondencia con los mínimos exigidos por la CORPORACIÓN.
NO CUMPLE: Cuando al menos uno de los indicadores presentados por el proponente en el RUP no guardan correspondencia con los mínimos exigidos por la CORPORACIÓN.
</t>
  </si>
  <si>
    <t>Esta hoja es informativo para que el Técnico y Supervisor conozca cual sería el valor base en caso que bajo cuenta y riesgo del contratista o conveniante decida cambiar la modalidad de contratación de prestación de servicios a laboral. Que para efectos metodologicos se calcula un factor prestacional que garantice que los recursos asignados contenga las prestaciones mínimas establecidas en el regímen salarial Colombiano y por tanto se genera una base sobre la cual sería el contrato laboral que haría el ejecutor del contrato. Sin que esto solidarice a la Corporación con el vinculo que se genera entre el Contratista que suscribe el contrato con Corantioquia y el contratista del contrato derivado.</t>
  </si>
  <si>
    <t>Técnico (*)</t>
  </si>
  <si>
    <t>Nota: El factor prestacional solo se establece con fines metodológicos para establecer un valor comparativo en caso que el ejecutor del proceso contractual no realice una contratación civil, sino una contratación laboral.</t>
  </si>
  <si>
    <t>DISCRIMINACIÓN DEL FACTOR PRESTACIONAL</t>
  </si>
  <si>
    <t>AÑO VIGENTE</t>
  </si>
  <si>
    <t>AUX TRANSPORTE MENSUAL</t>
  </si>
  <si>
    <t>ANÁLISIS  MÁS DE 2 SMMLV (%)</t>
  </si>
  <si>
    <t>FUNDAMENTOS LEGALES</t>
  </si>
  <si>
    <t>Ley 21 de 1982</t>
  </si>
  <si>
    <t>Ley 89 de 1988</t>
  </si>
  <si>
    <t>Ley 119 de 1994</t>
  </si>
  <si>
    <t>Artículo 249 y ss del CST</t>
  </si>
  <si>
    <t>Artículo 307 del CST</t>
  </si>
  <si>
    <t>Artículo 86 del CST</t>
  </si>
  <si>
    <t>Total Factor Prestacional</t>
  </si>
  <si>
    <t>Base SMMMLV</t>
  </si>
  <si>
    <t>Auxilio de transporte % Valor</t>
  </si>
  <si>
    <t>El auxilio de transporte y sus debidas prestaciones solo se reconocen a los trabajadores que devenguen hasta 2 SMMLVC</t>
  </si>
  <si>
    <t>TR DAÑO MATERIAL</t>
  </si>
  <si>
    <t xml:space="preserve">AUTOS </t>
  </si>
  <si>
    <t>SOAT</t>
  </si>
  <si>
    <t>VIDA GRUPO</t>
  </si>
  <si>
    <t>MANEJO SECTOR OFICIAL</t>
  </si>
  <si>
    <t>RESPOSABILIDAD CIVIL EXTRACONTRACTUAL</t>
  </si>
  <si>
    <t>TRANSPORTE DE MERCANCIAS</t>
  </si>
  <si>
    <t xml:space="preserve">TRANSPORTE DE VALORES </t>
  </si>
  <si>
    <t>RC SERVIDORES PUBLICOS</t>
  </si>
  <si>
    <t>CUMPLIMIENTO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</si>
</sst>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_);_(* \(#,##0.00\);_(* &quot;-&quot;??_);_(@_)"/>
    <numFmt numFmtId="165" formatCode="_(&quot;$&quot;\ * #,##0.00_);_(&quot;$&quot;\ * \(#,##0.00\);_(&quot;$&quot;\ * &quot;-&quot;??_);_(@_)"/>
    <numFmt numFmtId="166" formatCode="_([$$-240A]\ * #,##0.00_);_([$$-240A]\ * \(#,##0.00\);_([$$-240A]\ * &quot;-&quot;??_);_(@_)"/>
    <numFmt numFmtId="167" formatCode="_([$$-240A]\ * #,##0_);_([$$-240A]\ * \(#,##0\);_([$$-240A]\ * &quot;-&quot;??_);_(@_)"/>
    <numFmt numFmtId="168" formatCode="_-&quot;$&quot;* #,##0_-;\-&quot;$&quot;* #,##0_-;_-&quot;$&quot;* &quot;-&quot;??_-;_-@_-"/>
    <numFmt numFmtId="169" formatCode="_-&quot;$&quot;\ * #,##0_-;\-&quot;$&quot;\ * #,##0_-;_-&quot;$&quot;\ * &quot;-&quot;??_-;_-@_-"/>
    <numFmt numFmtId="170" formatCode="#,##0.000"/>
    <numFmt numFmtId="171" formatCode="0.0%"/>
    <numFmt numFmtId="172" formatCode="_(&quot;$&quot;\ * #,##0_);_(&quot;$&quot;\ * \(#,##0\);_(&quot;$&quot;\ * &quot;-&quot;_);_(@_)"/>
    <numFmt numFmtId="173" formatCode="_(&quot;$&quot;\ * #,##0_);_(&quot;$&quot;\ * \(#,##0\);_(&quot;$&quot;\ * &quot;-&quot;??_);_(@_)"/>
    <numFmt numFmtId="174" formatCode="_-[$$-240A]\ * #,##0.00_-;\-[$$-240A]\ * #,##0.00_-;_-[$$-240A]\ * &quot;-&quot;??_-;_-@_-"/>
    <numFmt numFmtId="175" formatCode="_ * #,##0_-_$_ ;_ * #,##0\-_$_ ;_ * &quot;-&quot;_-_$_ ;_ @_ "/>
    <numFmt numFmtId="176" formatCode="_ * #,##0.00_-_$_ ;_ * #,##0.00\-_$_ ;_ * &quot;-&quot;_-_$_ ;_ @_ "/>
    <numFmt numFmtId="177" formatCode="_-&quot;$&quot;* #,##0.00_-;\-&quot;$&quot;* #,##0.00_-;_-&quot;$&quot;* &quot;-&quot;??_-;_-@_-"/>
    <numFmt numFmtId="178" formatCode="_(* #,##0_);_(* \(#,##0\);_(* &quot;-&quot;_);_(@_)"/>
    <numFmt numFmtId="179" formatCode="#,##0.0"/>
    <numFmt numFmtId="180" formatCode="0.0"/>
    <numFmt numFmtId="181" formatCode="&quot;$&quot;\ #,##0"/>
    <numFmt numFmtId="182" formatCode="_-&quot;$&quot;* #,##0_-;\-&quot;$&quot;* #,##0_-;_-&quot;$&quot;* &quot;-&quot;_-;_-@_-"/>
    <numFmt numFmtId="183" formatCode="_-&quot;$&quot;\ * #,##0.00_-;\-&quot;$&quot;\ * #,##0.00_-;_-&quot;$&quot;\ * &quot;-&quot;_-;_-@_-"/>
    <numFmt numFmtId="184" formatCode="0.000000"/>
    <numFmt numFmtId="185" formatCode="_-[$$-240A]\ * #,##0_-;\-[$$-240A]\ * #,##0_-;_-[$$-240A]\ * &quot;-&quot;??_-;_-@_-"/>
    <numFmt numFmtId="186" formatCode="0.0000%"/>
  </numFmts>
  <fonts count="68" x14ac:knownFonts="1">
    <font>
      <sz val="10"/>
      <name val="Times New Roman"/>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1"/>
      <color indexed="8"/>
      <name val="Calibri"/>
      <family val="2"/>
    </font>
    <font>
      <sz val="10"/>
      <name val="Times New Roman"/>
      <family val="1"/>
    </font>
    <font>
      <sz val="10"/>
      <name val="Arial"/>
      <family val="2"/>
    </font>
    <font>
      <b/>
      <sz val="10"/>
      <name val="Arial"/>
      <family val="2"/>
    </font>
    <font>
      <sz val="8"/>
      <name val="Arial"/>
      <family val="2"/>
    </font>
    <font>
      <sz val="10"/>
      <color indexed="8"/>
      <name val="Arial"/>
      <family val="2"/>
    </font>
    <font>
      <b/>
      <sz val="10"/>
      <color indexed="8"/>
      <name val="Arial"/>
      <family val="2"/>
    </font>
    <font>
      <b/>
      <sz val="8"/>
      <name val="Arial"/>
      <family val="2"/>
    </font>
    <font>
      <b/>
      <sz val="9"/>
      <color indexed="81"/>
      <name val="Tahoma"/>
      <family val="2"/>
    </font>
    <font>
      <sz val="9"/>
      <color indexed="81"/>
      <name val="Tahoma"/>
      <family val="2"/>
    </font>
    <font>
      <sz val="8"/>
      <color indexed="81"/>
      <name val="Tahoma"/>
      <family val="2"/>
    </font>
    <font>
      <sz val="10"/>
      <name val="Times New Roman"/>
      <family val="1"/>
    </font>
    <font>
      <sz val="11"/>
      <color theme="1"/>
      <name val="Calibri"/>
      <family val="2"/>
      <scheme val="minor"/>
    </font>
    <font>
      <b/>
      <sz val="10"/>
      <color theme="1"/>
      <name val="Arial"/>
      <family val="2"/>
    </font>
    <font>
      <sz val="10"/>
      <color theme="1"/>
      <name val="Arial"/>
      <family val="2"/>
    </font>
    <font>
      <i/>
      <sz val="10"/>
      <color theme="1"/>
      <name val="Arial"/>
      <family val="2"/>
    </font>
    <font>
      <sz val="10"/>
      <color rgb="FF000000"/>
      <name val="Arial"/>
      <family val="2"/>
    </font>
    <font>
      <b/>
      <sz val="10"/>
      <color rgb="FF000000"/>
      <name val="Arial"/>
      <family val="2"/>
    </font>
    <font>
      <b/>
      <sz val="8"/>
      <color theme="1"/>
      <name val="Arial"/>
      <family val="2"/>
    </font>
    <font>
      <b/>
      <sz val="8"/>
      <color rgb="FF000000"/>
      <name val="Arial"/>
      <family val="2"/>
    </font>
    <font>
      <sz val="10"/>
      <color rgb="FF333333"/>
      <name val="Arial"/>
      <family val="2"/>
    </font>
    <font>
      <u/>
      <sz val="10"/>
      <color theme="10"/>
      <name val="Times New Roman"/>
      <family val="1"/>
    </font>
    <font>
      <b/>
      <u/>
      <sz val="10"/>
      <name val="Arial"/>
      <family val="2"/>
    </font>
    <font>
      <u/>
      <sz val="9"/>
      <color indexed="81"/>
      <name val="Tahoma"/>
      <family val="2"/>
    </font>
    <font>
      <sz val="2"/>
      <name val="Arial"/>
      <family val="2"/>
    </font>
    <font>
      <b/>
      <sz val="9"/>
      <name val="Arial"/>
      <family val="2"/>
    </font>
    <font>
      <sz val="9"/>
      <name val="Arial"/>
      <family val="2"/>
    </font>
    <font>
      <b/>
      <u/>
      <sz val="9"/>
      <color indexed="81"/>
      <name val="Tahoma"/>
      <family val="2"/>
    </font>
    <font>
      <b/>
      <sz val="12"/>
      <color theme="1"/>
      <name val="Times New Roman"/>
      <family val="1"/>
    </font>
    <font>
      <sz val="10"/>
      <color theme="1"/>
      <name val="Times New Roman"/>
      <family val="1"/>
    </font>
    <font>
      <b/>
      <sz val="10"/>
      <color theme="1"/>
      <name val="Times New Roman"/>
      <family val="1"/>
    </font>
    <font>
      <u/>
      <sz val="12"/>
      <color theme="10"/>
      <name val="Times New Roman"/>
      <family val="1"/>
    </font>
    <font>
      <u/>
      <sz val="10"/>
      <color theme="1"/>
      <name val="Arial"/>
      <family val="2"/>
    </font>
    <font>
      <u/>
      <sz val="10"/>
      <color theme="10"/>
      <name val="Arial"/>
      <family val="2"/>
    </font>
    <font>
      <b/>
      <u/>
      <sz val="10"/>
      <color theme="1"/>
      <name val="Arial"/>
      <family val="2"/>
    </font>
    <font>
      <sz val="10"/>
      <color theme="0"/>
      <name val="Arial"/>
      <family val="2"/>
    </font>
    <font>
      <sz val="8"/>
      <name val="Times New Roman"/>
      <family val="1"/>
    </font>
    <font>
      <b/>
      <sz val="12"/>
      <name val="Arial"/>
      <family val="2"/>
    </font>
    <font>
      <b/>
      <sz val="12"/>
      <color rgb="FF000000"/>
      <name val="Arial"/>
      <family val="2"/>
    </font>
    <font>
      <sz val="11"/>
      <color theme="1"/>
      <name val="Arial"/>
      <family val="2"/>
    </font>
    <font>
      <sz val="12"/>
      <color theme="1"/>
      <name val="Arial"/>
      <family val="2"/>
    </font>
    <font>
      <sz val="12"/>
      <color rgb="FF000000"/>
      <name val="Arial"/>
      <family val="2"/>
    </font>
    <font>
      <sz val="12"/>
      <name val="Arial"/>
      <family val="2"/>
    </font>
    <font>
      <b/>
      <i/>
      <u/>
      <sz val="11"/>
      <color theme="1"/>
      <name val="Arial"/>
      <family val="2"/>
    </font>
    <font>
      <sz val="10"/>
      <name val="Times New Roman"/>
      <family val="1"/>
    </font>
    <font>
      <b/>
      <sz val="11"/>
      <name val="Arial"/>
      <family val="2"/>
    </font>
    <font>
      <sz val="11"/>
      <name val="Arial"/>
      <family val="2"/>
    </font>
    <font>
      <b/>
      <sz val="11"/>
      <color theme="1"/>
      <name val="Arial"/>
      <family val="2"/>
    </font>
    <font>
      <sz val="11"/>
      <color rgb="FF323130"/>
      <name val="Arial"/>
      <family val="2"/>
    </font>
    <font>
      <sz val="11"/>
      <color indexed="8"/>
      <name val="Arial"/>
      <family val="2"/>
    </font>
    <font>
      <b/>
      <sz val="11"/>
      <color rgb="FFFF0000"/>
      <name val="Arial"/>
      <family val="2"/>
    </font>
  </fonts>
  <fills count="2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5" tint="0.59999389629810485"/>
        <bgColor indexed="64"/>
      </patternFill>
    </fill>
    <fill>
      <patternFill patternType="solid">
        <fgColor rgb="FFFFC000"/>
        <bgColor indexed="64"/>
      </patternFill>
    </fill>
    <fill>
      <patternFill patternType="solid">
        <fgColor theme="9" tint="-0.249977111117893"/>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2F2F2"/>
        <bgColor indexed="64"/>
      </patternFill>
    </fill>
    <fill>
      <patternFill patternType="solid">
        <fgColor theme="2"/>
        <bgColor indexed="64"/>
      </patternFill>
    </fill>
    <fill>
      <patternFill patternType="solid">
        <fgColor rgb="FF00B0F0"/>
        <bgColor indexed="64"/>
      </patternFill>
    </fill>
    <fill>
      <patternFill patternType="solid">
        <fgColor rgb="FFFFFFFF"/>
        <bgColor indexed="64"/>
      </patternFill>
    </fill>
    <fill>
      <patternFill patternType="solid">
        <fgColor rgb="FF0070C0"/>
        <bgColor indexed="64"/>
      </patternFill>
    </fill>
    <fill>
      <patternFill patternType="solid">
        <fgColor theme="2" tint="-9.9978637043366805E-2"/>
        <bgColor indexed="64"/>
      </patternFill>
    </fill>
  </fills>
  <borders count="7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bottom/>
      <diagonal/>
    </border>
    <border>
      <left/>
      <right style="medium">
        <color indexed="64"/>
      </right>
      <top/>
      <bottom/>
      <diagonal/>
    </border>
    <border>
      <left/>
      <right style="medium">
        <color indexed="64"/>
      </right>
      <top style="medium">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thin">
        <color indexed="64"/>
      </right>
      <top/>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ck">
        <color indexed="64"/>
      </left>
      <right/>
      <top/>
      <bottom/>
      <diagonal/>
    </border>
    <border>
      <left style="medium">
        <color indexed="64"/>
      </left>
      <right/>
      <top style="thin">
        <color indexed="64"/>
      </top>
      <bottom/>
      <diagonal/>
    </border>
    <border>
      <left style="medium">
        <color indexed="64"/>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medium">
        <color indexed="64"/>
      </right>
      <top/>
      <bottom/>
      <diagonal/>
    </border>
  </borders>
  <cellStyleXfs count="77">
    <xf numFmtId="0" fontId="0" fillId="0" borderId="0"/>
    <xf numFmtId="41" fontId="18" fillId="0" borderId="0" applyFont="0" applyFill="0" applyBorder="0" applyAlignment="0" applyProtection="0"/>
    <xf numFmtId="164" fontId="17" fillId="0" borderId="0" applyFont="0" applyFill="0" applyBorder="0" applyAlignment="0" applyProtection="0"/>
    <xf numFmtId="164" fontId="16" fillId="0" borderId="0" applyFont="0" applyFill="0" applyBorder="0" applyAlignment="0" applyProtection="0"/>
    <xf numFmtId="164" fontId="17" fillId="0" borderId="0" applyFont="0" applyFill="0" applyBorder="0" applyAlignment="0" applyProtection="0"/>
    <xf numFmtId="164" fontId="16" fillId="0" borderId="0" applyFont="0" applyFill="0" applyBorder="0" applyAlignment="0" applyProtection="0"/>
    <xf numFmtId="43" fontId="18" fillId="0" borderId="0" applyFont="0" applyFill="0" applyBorder="0" applyAlignment="0" applyProtection="0"/>
    <xf numFmtId="165" fontId="28" fillId="0" borderId="0" applyFont="0" applyFill="0" applyBorder="0" applyAlignment="0" applyProtection="0"/>
    <xf numFmtId="165" fontId="18" fillId="0" borderId="0" applyFont="0" applyFill="0" applyBorder="0" applyAlignment="0" applyProtection="0"/>
    <xf numFmtId="0" fontId="18" fillId="0" borderId="0"/>
    <xf numFmtId="0" fontId="19" fillId="0" borderId="0"/>
    <xf numFmtId="0" fontId="18" fillId="0" borderId="0"/>
    <xf numFmtId="0" fontId="18" fillId="0" borderId="0"/>
    <xf numFmtId="0" fontId="29" fillId="0" borderId="0"/>
    <xf numFmtId="0" fontId="19" fillId="0" borderId="0"/>
    <xf numFmtId="0" fontId="19" fillId="0" borderId="0"/>
    <xf numFmtId="9" fontId="18" fillId="0" borderId="0" applyFont="0" applyFill="0" applyBorder="0" applyAlignment="0" applyProtection="0"/>
    <xf numFmtId="9" fontId="18" fillId="0" borderId="0" applyFont="0" applyFill="0" applyBorder="0" applyAlignment="0" applyProtection="0"/>
    <xf numFmtId="0" fontId="15" fillId="0" borderId="0"/>
    <xf numFmtId="44" fontId="15" fillId="0" borderId="0" applyFont="0" applyFill="0" applyBorder="0" applyAlignment="0" applyProtection="0"/>
    <xf numFmtId="9" fontId="15" fillId="0" borderId="0" applyFont="0" applyFill="0" applyBorder="0" applyAlignment="0" applyProtection="0"/>
    <xf numFmtId="0" fontId="15" fillId="0" borderId="0"/>
    <xf numFmtId="170" fontId="19" fillId="0" borderId="0" applyFont="0" applyFill="0" applyBorder="0" applyAlignment="0" applyProtection="0"/>
    <xf numFmtId="42" fontId="15" fillId="0" borderId="0" applyFont="0" applyFill="0" applyBorder="0" applyAlignment="0" applyProtection="0"/>
    <xf numFmtId="164" fontId="15" fillId="0" borderId="0" applyFont="0" applyFill="0" applyBorder="0" applyAlignment="0" applyProtection="0"/>
    <xf numFmtId="0" fontId="14" fillId="0" borderId="0"/>
    <xf numFmtId="42" fontId="14" fillId="0" borderId="0" applyFont="0" applyFill="0" applyBorder="0" applyAlignment="0" applyProtection="0"/>
    <xf numFmtId="0" fontId="19" fillId="0" borderId="0"/>
    <xf numFmtId="0" fontId="18" fillId="0" borderId="0"/>
    <xf numFmtId="172" fontId="18" fillId="0" borderId="0" applyFont="0" applyFill="0" applyBorder="0" applyAlignment="0" applyProtection="0"/>
    <xf numFmtId="0" fontId="19" fillId="0" borderId="0"/>
    <xf numFmtId="164" fontId="19" fillId="0" borderId="0" applyFont="0" applyFill="0" applyBorder="0" applyAlignment="0" applyProtection="0"/>
    <xf numFmtId="9" fontId="19" fillId="0" borderId="0" applyFont="0" applyFill="0" applyBorder="0" applyAlignment="0" applyProtection="0"/>
    <xf numFmtId="165" fontId="18" fillId="0" borderId="0" applyFont="0" applyFill="0" applyBorder="0" applyAlignment="0" applyProtection="0"/>
    <xf numFmtId="0" fontId="13" fillId="0" borderId="0"/>
    <xf numFmtId="44" fontId="13" fillId="0" borderId="0" applyFont="0" applyFill="0" applyBorder="0" applyAlignment="0" applyProtection="0"/>
    <xf numFmtId="0" fontId="12" fillId="0" borderId="0"/>
    <xf numFmtId="44" fontId="12" fillId="0" borderId="0" applyFont="0" applyFill="0" applyBorder="0" applyAlignment="0" applyProtection="0"/>
    <xf numFmtId="9" fontId="12" fillId="0" borderId="0" applyFont="0" applyFill="0" applyBorder="0" applyAlignment="0" applyProtection="0"/>
    <xf numFmtId="0" fontId="11" fillId="0" borderId="0"/>
    <xf numFmtId="42" fontId="11" fillId="0" borderId="0" applyFont="0" applyFill="0" applyBorder="0" applyAlignment="0" applyProtection="0"/>
    <xf numFmtId="0" fontId="11" fillId="0" borderId="0"/>
    <xf numFmtId="9" fontId="11" fillId="0" borderId="0" applyFont="0" applyFill="0" applyBorder="0" applyAlignment="0" applyProtection="0"/>
    <xf numFmtId="42" fontId="18" fillId="0" borderId="0" applyFont="0" applyFill="0" applyBorder="0" applyAlignment="0" applyProtection="0"/>
    <xf numFmtId="0" fontId="10" fillId="0" borderId="0"/>
    <xf numFmtId="0" fontId="31" fillId="0" borderId="0"/>
    <xf numFmtId="43" fontId="31" fillId="0" borderId="0" applyFont="0" applyFill="0" applyBorder="0" applyAlignment="0" applyProtection="0"/>
    <xf numFmtId="9" fontId="31" fillId="0" borderId="0" applyFont="0" applyFill="0" applyBorder="0" applyAlignment="0" applyProtection="0"/>
    <xf numFmtId="0" fontId="9" fillId="0" borderId="0"/>
    <xf numFmtId="177" fontId="9" fillId="0" borderId="0" applyFont="0" applyFill="0" applyBorder="0" applyAlignment="0" applyProtection="0"/>
    <xf numFmtId="0" fontId="19" fillId="0" borderId="0"/>
    <xf numFmtId="9" fontId="9" fillId="0" borderId="0" applyFont="0" applyFill="0" applyBorder="0" applyAlignment="0" applyProtection="0"/>
    <xf numFmtId="0" fontId="8" fillId="0" borderId="0"/>
    <xf numFmtId="172" fontId="8" fillId="0" borderId="0" applyFont="0" applyFill="0" applyBorder="0" applyAlignment="0" applyProtection="0"/>
    <xf numFmtId="178" fontId="8" fillId="0" borderId="0" applyFont="0" applyFill="0" applyBorder="0" applyAlignment="0" applyProtection="0"/>
    <xf numFmtId="0" fontId="7" fillId="0" borderId="0"/>
    <xf numFmtId="42" fontId="7" fillId="0" borderId="0" applyFont="0" applyFill="0" applyBorder="0" applyAlignment="0" applyProtection="0"/>
    <xf numFmtId="0" fontId="38" fillId="0" borderId="0" applyNumberFormat="0" applyFill="0" applyBorder="0" applyAlignment="0" applyProtection="0"/>
    <xf numFmtId="0" fontId="6" fillId="0" borderId="0"/>
    <xf numFmtId="9" fontId="6" fillId="0" borderId="0" applyFont="0" applyFill="0" applyBorder="0" applyAlignment="0" applyProtection="0"/>
    <xf numFmtId="0" fontId="5" fillId="0" borderId="0"/>
    <xf numFmtId="182" fontId="19" fillId="0" borderId="0" applyFont="0" applyFill="0" applyBorder="0" applyAlignment="0" applyProtection="0"/>
    <xf numFmtId="44" fontId="5" fillId="0" borderId="0" applyFont="0" applyFill="0" applyBorder="0" applyAlignment="0" applyProtection="0"/>
    <xf numFmtId="42" fontId="5" fillId="0" borderId="0" applyFont="0" applyFill="0" applyBorder="0" applyAlignment="0" applyProtection="0"/>
    <xf numFmtId="41" fontId="61" fillId="0" borderId="0" applyFont="0" applyFill="0" applyBorder="0" applyAlignment="0" applyProtection="0"/>
    <xf numFmtId="0" fontId="4" fillId="0" borderId="0"/>
    <xf numFmtId="44" fontId="4" fillId="0" borderId="0" applyFont="0" applyFill="0" applyBorder="0" applyAlignment="0" applyProtection="0"/>
    <xf numFmtId="9" fontId="4" fillId="0" borderId="0" applyFont="0" applyFill="0" applyBorder="0" applyAlignment="0" applyProtection="0"/>
    <xf numFmtId="42" fontId="4" fillId="0" borderId="0" applyFont="0" applyFill="0" applyBorder="0" applyAlignment="0" applyProtection="0"/>
    <xf numFmtId="41" fontId="4" fillId="0" borderId="0" applyFont="0" applyFill="0" applyBorder="0" applyAlignment="0" applyProtection="0"/>
    <xf numFmtId="0" fontId="3" fillId="0" borderId="0"/>
    <xf numFmtId="42" fontId="3" fillId="0" borderId="0" applyFont="0" applyFill="0" applyBorder="0" applyAlignment="0" applyProtection="0"/>
    <xf numFmtId="44" fontId="3" fillId="0" borderId="0" applyFont="0" applyFill="0" applyBorder="0" applyAlignment="0" applyProtection="0"/>
    <xf numFmtId="0" fontId="2" fillId="0" borderId="0"/>
    <xf numFmtId="0" fontId="1" fillId="0" borderId="0"/>
    <xf numFmtId="44" fontId="1" fillId="0" borderId="0" applyFont="0" applyFill="0" applyBorder="0" applyAlignment="0" applyProtection="0"/>
    <xf numFmtId="42" fontId="1" fillId="0" borderId="0" applyFont="0" applyFill="0" applyBorder="0" applyAlignment="0" applyProtection="0"/>
  </cellStyleXfs>
  <cellXfs count="1855">
    <xf numFmtId="0" fontId="0" fillId="0" borderId="0" xfId="0"/>
    <xf numFmtId="3" fontId="19" fillId="0" borderId="0" xfId="10" applyNumberFormat="1" applyAlignment="1" applyProtection="1">
      <alignment horizontal="center" vertical="center"/>
      <protection locked="0"/>
    </xf>
    <xf numFmtId="0" fontId="19" fillId="0" borderId="0" xfId="14" applyAlignment="1">
      <alignment vertical="center"/>
    </xf>
    <xf numFmtId="0" fontId="22" fillId="0" borderId="4" xfId="9" applyFont="1" applyBorder="1" applyAlignment="1" applyProtection="1">
      <alignment horizontal="center" vertical="center" wrapText="1"/>
      <protection locked="0"/>
    </xf>
    <xf numFmtId="9" fontId="22" fillId="0" borderId="4" xfId="16" applyFont="1" applyFill="1" applyBorder="1" applyAlignment="1" applyProtection="1">
      <alignment horizontal="center" vertical="center" wrapText="1"/>
      <protection locked="0"/>
    </xf>
    <xf numFmtId="0" fontId="22" fillId="0" borderId="4" xfId="9" applyFont="1" applyBorder="1" applyAlignment="1" applyProtection="1">
      <alignment horizontal="center" vertical="center"/>
      <protection locked="0"/>
    </xf>
    <xf numFmtId="9" fontId="22" fillId="0" borderId="4" xfId="16" applyFont="1" applyFill="1" applyBorder="1" applyAlignment="1" applyProtection="1">
      <alignment horizontal="center" vertical="center"/>
      <protection locked="0"/>
    </xf>
    <xf numFmtId="171" fontId="19" fillId="3" borderId="4" xfId="14" applyNumberFormat="1" applyFill="1" applyBorder="1" applyAlignment="1" applyProtection="1">
      <alignment vertical="center"/>
      <protection locked="0"/>
    </xf>
    <xf numFmtId="0" fontId="22" fillId="0" borderId="16" xfId="9" applyFont="1" applyBorder="1" applyAlignment="1" applyProtection="1">
      <alignment horizontal="left" vertical="center" wrapText="1"/>
      <protection locked="0"/>
    </xf>
    <xf numFmtId="173" fontId="22" fillId="0" borderId="4" xfId="7" applyNumberFormat="1" applyFont="1" applyFill="1" applyBorder="1" applyAlignment="1" applyProtection="1">
      <alignment horizontal="center" vertical="center" wrapText="1"/>
      <protection locked="0"/>
    </xf>
    <xf numFmtId="0" fontId="33" fillId="0" borderId="16" xfId="9" applyFont="1" applyBorder="1" applyAlignment="1" applyProtection="1">
      <alignment horizontal="left" vertical="center" wrapText="1"/>
      <protection locked="0"/>
    </xf>
    <xf numFmtId="3" fontId="33" fillId="0" borderId="4" xfId="9" applyNumberFormat="1" applyFont="1" applyBorder="1" applyAlignment="1" applyProtection="1">
      <alignment horizontal="center" vertical="center"/>
      <protection locked="0"/>
    </xf>
    <xf numFmtId="2" fontId="22" fillId="0" borderId="4" xfId="9" applyNumberFormat="1" applyFont="1" applyBorder="1" applyAlignment="1" applyProtection="1">
      <alignment horizontal="center" vertical="center" wrapText="1"/>
      <protection locked="0"/>
    </xf>
    <xf numFmtId="0" fontId="19" fillId="0" borderId="0" xfId="0" applyFont="1"/>
    <xf numFmtId="172" fontId="19" fillId="0" borderId="38" xfId="53" applyFont="1" applyBorder="1"/>
    <xf numFmtId="172" fontId="19" fillId="0" borderId="0" xfId="53" applyFont="1"/>
    <xf numFmtId="0" fontId="31" fillId="0" borderId="0" xfId="52" applyFont="1"/>
    <xf numFmtId="0" fontId="31" fillId="0" borderId="38" xfId="52" applyFont="1" applyBorder="1"/>
    <xf numFmtId="172" fontId="31" fillId="0" borderId="38" xfId="53" applyFont="1" applyBorder="1"/>
    <xf numFmtId="172" fontId="30" fillId="0" borderId="4" xfId="53" applyFont="1" applyFill="1" applyBorder="1"/>
    <xf numFmtId="0" fontId="31" fillId="0" borderId="20" xfId="52" applyFont="1" applyBorder="1"/>
    <xf numFmtId="0" fontId="31" fillId="0" borderId="21" xfId="52" applyFont="1" applyBorder="1"/>
    <xf numFmtId="0" fontId="31" fillId="0" borderId="35" xfId="52" applyFont="1" applyBorder="1"/>
    <xf numFmtId="0" fontId="31" fillId="0" borderId="9" xfId="52" applyFont="1" applyBorder="1"/>
    <xf numFmtId="0" fontId="31" fillId="0" borderId="48" xfId="52" applyFont="1" applyBorder="1"/>
    <xf numFmtId="0" fontId="30" fillId="0" borderId="0" xfId="52" applyFont="1"/>
    <xf numFmtId="0" fontId="31" fillId="0" borderId="12" xfId="52" applyFont="1" applyBorder="1"/>
    <xf numFmtId="0" fontId="31" fillId="0" borderId="22" xfId="52" applyFont="1" applyBorder="1"/>
    <xf numFmtId="0" fontId="31" fillId="0" borderId="36" xfId="52" applyFont="1" applyBorder="1"/>
    <xf numFmtId="0" fontId="31" fillId="0" borderId="0" xfId="55" applyFont="1"/>
    <xf numFmtId="0" fontId="20" fillId="0" borderId="0" xfId="9" applyFont="1" applyAlignment="1" applyProtection="1">
      <alignment horizontal="center" vertical="top" wrapText="1"/>
      <protection locked="0"/>
    </xf>
    <xf numFmtId="0" fontId="20" fillId="0" borderId="0" xfId="0" applyFont="1" applyAlignment="1">
      <alignment horizontal="left"/>
    </xf>
    <xf numFmtId="0" fontId="19" fillId="5" borderId="4" xfId="9" applyFont="1" applyFill="1" applyBorder="1" applyAlignment="1" applyProtection="1">
      <alignment horizontal="justify" vertical="justify" wrapText="1"/>
      <protection locked="0"/>
    </xf>
    <xf numFmtId="9" fontId="19" fillId="5" borderId="4" xfId="14" applyNumberFormat="1" applyFill="1" applyBorder="1" applyAlignment="1" applyProtection="1">
      <alignment horizontal="center" vertical="center"/>
      <protection locked="0"/>
    </xf>
    <xf numFmtId="0" fontId="19" fillId="5" borderId="4" xfId="14" applyFill="1" applyBorder="1" applyAlignment="1" applyProtection="1">
      <alignment horizontal="center" vertical="center" wrapText="1"/>
      <protection locked="0"/>
    </xf>
    <xf numFmtId="0" fontId="19" fillId="8" borderId="4" xfId="9" applyFont="1" applyFill="1" applyBorder="1" applyAlignment="1" applyProtection="1">
      <alignment horizontal="justify" vertical="justify" wrapText="1"/>
      <protection locked="0"/>
    </xf>
    <xf numFmtId="9" fontId="19" fillId="8" borderId="4" xfId="14" applyNumberFormat="1" applyFill="1" applyBorder="1" applyAlignment="1" applyProtection="1">
      <alignment horizontal="center" vertical="center"/>
      <protection locked="0"/>
    </xf>
    <xf numFmtId="0" fontId="19" fillId="8" borderId="4" xfId="14" applyFill="1" applyBorder="1" applyAlignment="1" applyProtection="1">
      <alignment horizontal="center" vertical="center" wrapText="1"/>
      <protection locked="0"/>
    </xf>
    <xf numFmtId="0" fontId="22" fillId="0" borderId="4" xfId="9" applyFont="1" applyBorder="1" applyAlignment="1" applyProtection="1">
      <alignment horizontal="left" vertical="center" wrapText="1"/>
      <protection locked="0"/>
    </xf>
    <xf numFmtId="0" fontId="19" fillId="0" borderId="0" xfId="9" applyFont="1" applyAlignment="1">
      <alignment horizontal="center" vertical="center"/>
    </xf>
    <xf numFmtId="173" fontId="22" fillId="2" borderId="4" xfId="7" applyNumberFormat="1" applyFont="1" applyFill="1" applyBorder="1" applyAlignment="1" applyProtection="1">
      <alignment vertical="center" wrapText="1"/>
      <protection locked="0"/>
    </xf>
    <xf numFmtId="0" fontId="20" fillId="5" borderId="9" xfId="30" applyFont="1" applyFill="1" applyBorder="1" applyAlignment="1">
      <alignment horizontal="left" vertical="center" wrapText="1"/>
    </xf>
    <xf numFmtId="0" fontId="19" fillId="0" borderId="0" xfId="9" applyFont="1" applyAlignment="1">
      <alignment horizontal="center"/>
    </xf>
    <xf numFmtId="0" fontId="20" fillId="5" borderId="58" xfId="30" applyFont="1" applyFill="1" applyBorder="1" applyAlignment="1">
      <alignment horizontal="left" vertical="center" wrapText="1"/>
    </xf>
    <xf numFmtId="172" fontId="30" fillId="5" borderId="4" xfId="53" applyFont="1" applyFill="1" applyBorder="1"/>
    <xf numFmtId="0" fontId="31" fillId="0" borderId="17" xfId="52" applyFont="1" applyBorder="1"/>
    <xf numFmtId="0" fontId="31" fillId="0" borderId="12" xfId="52" applyFont="1" applyBorder="1" applyAlignment="1">
      <alignment vertical="center"/>
    </xf>
    <xf numFmtId="0" fontId="32" fillId="0" borderId="12" xfId="52" applyFont="1" applyBorder="1" applyAlignment="1">
      <alignment horizontal="center" wrapText="1"/>
    </xf>
    <xf numFmtId="0" fontId="19" fillId="0" borderId="4" xfId="9" applyFont="1" applyBorder="1" applyAlignment="1" applyProtection="1">
      <alignment horizontal="justify" vertical="justify" wrapText="1"/>
      <protection locked="0"/>
    </xf>
    <xf numFmtId="0" fontId="22" fillId="2" borderId="37" xfId="21" applyFont="1" applyFill="1" applyBorder="1" applyAlignment="1" applyProtection="1">
      <alignment vertical="center" wrapText="1"/>
      <protection locked="0"/>
    </xf>
    <xf numFmtId="0" fontId="22" fillId="2" borderId="25" xfId="21" applyFont="1" applyFill="1" applyBorder="1" applyAlignment="1" applyProtection="1">
      <alignment vertical="center" wrapText="1"/>
      <protection locked="0"/>
    </xf>
    <xf numFmtId="1" fontId="19" fillId="8" borderId="4" xfId="14" applyNumberFormat="1" applyFill="1" applyBorder="1" applyAlignment="1" applyProtection="1">
      <alignment horizontal="center" vertical="center"/>
      <protection locked="0"/>
    </xf>
    <xf numFmtId="1" fontId="19" fillId="5" borderId="4" xfId="14" applyNumberFormat="1" applyFill="1" applyBorder="1" applyAlignment="1" applyProtection="1">
      <alignment horizontal="center" vertical="center"/>
      <protection locked="0"/>
    </xf>
    <xf numFmtId="171" fontId="20" fillId="0" borderId="0" xfId="10" applyNumberFormat="1" applyFont="1" applyAlignment="1" applyProtection="1">
      <alignment horizontal="center" vertical="center" wrapText="1"/>
      <protection locked="0"/>
    </xf>
    <xf numFmtId="171" fontId="19" fillId="0" borderId="0" xfId="10" applyNumberFormat="1" applyAlignment="1" applyProtection="1">
      <alignment horizontal="center" vertical="center" wrapText="1"/>
      <protection locked="0"/>
    </xf>
    <xf numFmtId="165" fontId="22" fillId="0" borderId="4" xfId="7" applyFont="1" applyFill="1" applyBorder="1" applyAlignment="1" applyProtection="1">
      <alignment horizontal="center" vertical="center" wrapText="1"/>
      <protection locked="0"/>
    </xf>
    <xf numFmtId="173" fontId="22" fillId="0" borderId="4" xfId="7" applyNumberFormat="1" applyFont="1" applyFill="1" applyBorder="1" applyAlignment="1" applyProtection="1">
      <alignment vertical="center" wrapText="1"/>
      <protection locked="0"/>
    </xf>
    <xf numFmtId="0" fontId="22" fillId="0" borderId="25" xfId="21" applyFont="1" applyBorder="1" applyAlignment="1" applyProtection="1">
      <alignment vertical="center" wrapText="1"/>
      <protection locked="0"/>
    </xf>
    <xf numFmtId="0" fontId="22" fillId="0" borderId="37" xfId="21" applyFont="1" applyBorder="1" applyAlignment="1" applyProtection="1">
      <alignment vertical="center" wrapText="1"/>
      <protection locked="0"/>
    </xf>
    <xf numFmtId="1" fontId="22" fillId="0" borderId="4" xfId="21" applyNumberFormat="1" applyFont="1" applyBorder="1" applyAlignment="1" applyProtection="1">
      <alignment vertical="center" wrapText="1"/>
      <protection locked="0"/>
    </xf>
    <xf numFmtId="0" fontId="19" fillId="0" borderId="0" xfId="10" applyAlignment="1" applyProtection="1">
      <alignment horizontal="center" vertical="center" wrapText="1"/>
      <protection locked="0"/>
    </xf>
    <xf numFmtId="0" fontId="19" fillId="0" borderId="0" xfId="9" applyFont="1" applyAlignment="1" applyProtection="1">
      <alignment vertical="center"/>
      <protection locked="0"/>
    </xf>
    <xf numFmtId="0" fontId="19" fillId="0" borderId="0" xfId="14" applyAlignment="1" applyProtection="1">
      <alignment vertical="center"/>
      <protection locked="0"/>
    </xf>
    <xf numFmtId="0" fontId="19" fillId="0" borderId="9" xfId="14" applyBorder="1" applyAlignment="1" applyProtection="1">
      <alignment vertical="top" wrapText="1"/>
      <protection locked="0"/>
    </xf>
    <xf numFmtId="0" fontId="19" fillId="0" borderId="0" xfId="14" applyAlignment="1" applyProtection="1">
      <alignment vertical="top" wrapText="1"/>
      <protection locked="0"/>
    </xf>
    <xf numFmtId="171" fontId="19" fillId="0" borderId="0" xfId="14" applyNumberFormat="1" applyAlignment="1" applyProtection="1">
      <alignment vertical="top" wrapText="1"/>
      <protection locked="0"/>
    </xf>
    <xf numFmtId="0" fontId="19" fillId="0" borderId="0" xfId="9" applyFont="1" applyAlignment="1" applyProtection="1">
      <alignment vertical="center" wrapText="1"/>
      <protection locked="0"/>
    </xf>
    <xf numFmtId="0" fontId="19" fillId="0" borderId="0" xfId="9" applyFont="1" applyAlignment="1" applyProtection="1">
      <alignment horizontal="center" vertical="center"/>
      <protection locked="0"/>
    </xf>
    <xf numFmtId="171" fontId="19" fillId="0" borderId="0" xfId="9" applyNumberFormat="1" applyFont="1" applyAlignment="1" applyProtection="1">
      <alignment horizontal="center" vertical="center"/>
      <protection locked="0"/>
    </xf>
    <xf numFmtId="0" fontId="19" fillId="0" borderId="0" xfId="9" applyFont="1" applyAlignment="1" applyProtection="1">
      <alignment horizontal="center" vertical="center" wrapText="1"/>
      <protection locked="0"/>
    </xf>
    <xf numFmtId="0" fontId="19" fillId="0" borderId="0" xfId="9" applyFont="1" applyAlignment="1" applyProtection="1">
      <alignment horizontal="left" vertical="center" wrapText="1"/>
      <protection locked="0"/>
    </xf>
    <xf numFmtId="0" fontId="19" fillId="0" borderId="0" xfId="9" applyFont="1" applyProtection="1">
      <protection locked="0"/>
    </xf>
    <xf numFmtId="0" fontId="20" fillId="0" borderId="9" xfId="14" applyFont="1" applyBorder="1" applyAlignment="1" applyProtection="1">
      <alignment horizontal="center" vertical="center" wrapText="1"/>
      <protection locked="0"/>
    </xf>
    <xf numFmtId="0" fontId="20" fillId="0" borderId="0" xfId="14" applyFont="1" applyAlignment="1" applyProtection="1">
      <alignment horizontal="center" vertical="center" wrapText="1"/>
      <protection locked="0"/>
    </xf>
    <xf numFmtId="171" fontId="20" fillId="0" borderId="0" xfId="14" applyNumberFormat="1" applyFont="1" applyAlignment="1" applyProtection="1">
      <alignment horizontal="center" vertical="center" wrapText="1"/>
      <protection locked="0"/>
    </xf>
    <xf numFmtId="0" fontId="20" fillId="0" borderId="0" xfId="14" applyFont="1" applyAlignment="1" applyProtection="1">
      <alignment horizontal="center" vertical="center"/>
      <protection locked="0"/>
    </xf>
    <xf numFmtId="0" fontId="20" fillId="5" borderId="23" xfId="14" applyFont="1" applyFill="1" applyBorder="1" applyAlignment="1" applyProtection="1">
      <alignment horizontal="center" vertical="center" wrapText="1"/>
      <protection locked="0"/>
    </xf>
    <xf numFmtId="0" fontId="20" fillId="0" borderId="16" xfId="14" applyFont="1" applyBorder="1" applyAlignment="1" applyProtection="1">
      <alignment horizontal="center" vertical="center" wrapText="1"/>
      <protection locked="0"/>
    </xf>
    <xf numFmtId="1" fontId="21" fillId="0" borderId="0" xfId="14" applyNumberFormat="1" applyFont="1" applyAlignment="1" applyProtection="1">
      <alignment horizontal="left" vertical="center"/>
      <protection locked="0"/>
    </xf>
    <xf numFmtId="0" fontId="20" fillId="0" borderId="0" xfId="14" applyFont="1" applyAlignment="1" applyProtection="1">
      <alignment vertical="center"/>
      <protection locked="0"/>
    </xf>
    <xf numFmtId="0" fontId="20" fillId="8" borderId="16" xfId="14" applyFont="1" applyFill="1" applyBorder="1" applyAlignment="1" applyProtection="1">
      <alignment vertical="center" wrapText="1"/>
      <protection locked="0"/>
    </xf>
    <xf numFmtId="0" fontId="20" fillId="5" borderId="16" xfId="14" applyFont="1" applyFill="1" applyBorder="1" applyAlignment="1" applyProtection="1">
      <alignment vertical="center" wrapText="1"/>
      <protection locked="0"/>
    </xf>
    <xf numFmtId="0" fontId="20" fillId="0" borderId="16" xfId="14" applyFont="1" applyBorder="1" applyAlignment="1" applyProtection="1">
      <alignment vertical="center" wrapText="1"/>
      <protection locked="0"/>
    </xf>
    <xf numFmtId="10" fontId="20" fillId="3" borderId="13" xfId="14" applyNumberFormat="1" applyFont="1" applyFill="1" applyBorder="1" applyAlignment="1" applyProtection="1">
      <alignment vertical="center" wrapText="1"/>
      <protection locked="0"/>
    </xf>
    <xf numFmtId="0" fontId="19" fillId="0" borderId="9" xfId="14" applyBorder="1" applyAlignment="1" applyProtection="1">
      <alignment vertical="center"/>
      <protection locked="0"/>
    </xf>
    <xf numFmtId="9" fontId="19" fillId="0" borderId="0" xfId="14" applyNumberFormat="1" applyAlignment="1" applyProtection="1">
      <alignment vertical="center"/>
      <protection locked="0"/>
    </xf>
    <xf numFmtId="171" fontId="19" fillId="0" borderId="0" xfId="14" applyNumberFormat="1" applyAlignment="1" applyProtection="1">
      <alignment vertical="center"/>
      <protection locked="0"/>
    </xf>
    <xf numFmtId="9" fontId="19" fillId="3" borderId="4" xfId="14" applyNumberFormat="1" applyFill="1" applyBorder="1" applyAlignment="1" applyProtection="1">
      <alignment vertical="center"/>
      <protection locked="0"/>
    </xf>
    <xf numFmtId="0" fontId="19" fillId="0" borderId="0" xfId="14" applyAlignment="1" applyProtection="1">
      <alignment horizontal="center" vertical="center"/>
      <protection locked="0"/>
    </xf>
    <xf numFmtId="0" fontId="19" fillId="5" borderId="4" xfId="14" applyFill="1" applyBorder="1" applyAlignment="1" applyProtection="1">
      <alignment vertical="center"/>
      <protection locked="0"/>
    </xf>
    <xf numFmtId="0" fontId="20" fillId="0" borderId="4" xfId="14" applyFont="1" applyBorder="1" applyAlignment="1" applyProtection="1">
      <alignment vertical="center" wrapText="1"/>
      <protection locked="0"/>
    </xf>
    <xf numFmtId="0" fontId="19" fillId="3" borderId="4" xfId="14" applyFill="1" applyBorder="1" applyAlignment="1" applyProtection="1">
      <alignment vertical="center"/>
      <protection locked="0"/>
    </xf>
    <xf numFmtId="0" fontId="19" fillId="3" borderId="4" xfId="14" applyFill="1" applyBorder="1" applyAlignment="1" applyProtection="1">
      <alignment vertical="center" wrapText="1"/>
      <protection locked="0"/>
    </xf>
    <xf numFmtId="165" fontId="19" fillId="0" borderId="4" xfId="7" applyFont="1" applyFill="1" applyBorder="1" applyAlignment="1" applyProtection="1">
      <alignment vertical="center"/>
      <protection locked="0"/>
    </xf>
    <xf numFmtId="0" fontId="19" fillId="0" borderId="17" xfId="14" applyBorder="1" applyAlignment="1" applyProtection="1">
      <alignment vertical="center"/>
      <protection locked="0"/>
    </xf>
    <xf numFmtId="0" fontId="19" fillId="0" borderId="0" xfId="10" applyAlignment="1" applyProtection="1">
      <alignment vertical="center" wrapText="1"/>
      <protection locked="0"/>
    </xf>
    <xf numFmtId="0" fontId="20" fillId="0" borderId="0" xfId="10" applyFont="1" applyAlignment="1" applyProtection="1">
      <alignment vertical="center" wrapText="1"/>
      <protection locked="0"/>
    </xf>
    <xf numFmtId="3" fontId="19" fillId="0" borderId="0" xfId="10" applyNumberFormat="1" applyAlignment="1" applyProtection="1">
      <alignment vertical="center" wrapText="1"/>
      <protection locked="0"/>
    </xf>
    <xf numFmtId="3" fontId="20" fillId="0" borderId="0" xfId="10" applyNumberFormat="1" applyFont="1" applyAlignment="1" applyProtection="1">
      <alignment horizontal="right" vertical="center" wrapText="1"/>
      <protection locked="0"/>
    </xf>
    <xf numFmtId="171" fontId="19" fillId="0" borderId="0" xfId="9" applyNumberFormat="1" applyFont="1" applyProtection="1">
      <protection locked="0"/>
    </xf>
    <xf numFmtId="0" fontId="30" fillId="5" borderId="4" xfId="9" applyFont="1" applyFill="1" applyBorder="1" applyAlignment="1" applyProtection="1">
      <alignment horizontal="center" vertical="center" wrapText="1"/>
      <protection locked="0"/>
    </xf>
    <xf numFmtId="0" fontId="30" fillId="14" borderId="23" xfId="9" applyFont="1" applyFill="1" applyBorder="1" applyAlignment="1" applyProtection="1">
      <alignment horizontal="center" vertical="center" wrapText="1"/>
      <protection locked="0"/>
    </xf>
    <xf numFmtId="167" fontId="22" fillId="0" borderId="4" xfId="8" applyNumberFormat="1" applyFont="1" applyFill="1" applyBorder="1" applyAlignment="1" applyProtection="1">
      <alignment horizontal="right" vertical="center" wrapText="1"/>
      <protection locked="0"/>
    </xf>
    <xf numFmtId="167" fontId="23" fillId="5" borderId="4" xfId="8" applyNumberFormat="1" applyFont="1" applyFill="1" applyBorder="1" applyAlignment="1" applyProtection="1">
      <alignment horizontal="right" vertical="center" wrapText="1"/>
      <protection locked="0"/>
    </xf>
    <xf numFmtId="167" fontId="23" fillId="5" borderId="13" xfId="8" applyNumberFormat="1" applyFont="1" applyFill="1" applyBorder="1" applyAlignment="1" applyProtection="1">
      <alignment horizontal="right" vertical="center" wrapText="1"/>
      <protection locked="0"/>
    </xf>
    <xf numFmtId="0" fontId="23" fillId="0" borderId="0" xfId="9" applyFont="1" applyAlignment="1" applyProtection="1">
      <alignment horizontal="right" vertical="center"/>
      <protection locked="0"/>
    </xf>
    <xf numFmtId="0" fontId="19" fillId="0" borderId="0" xfId="9" applyFont="1" applyAlignment="1" applyProtection="1">
      <alignment horizontal="right" vertical="center"/>
      <protection locked="0"/>
    </xf>
    <xf numFmtId="3" fontId="23" fillId="0" borderId="0" xfId="9" applyNumberFormat="1" applyFont="1" applyAlignment="1" applyProtection="1">
      <alignment horizontal="center" vertical="center" wrapText="1"/>
      <protection locked="0"/>
    </xf>
    <xf numFmtId="0" fontId="34" fillId="5" borderId="4" xfId="9" applyFont="1" applyFill="1" applyBorder="1" applyAlignment="1" applyProtection="1">
      <alignment horizontal="center" vertical="center" wrapText="1"/>
      <protection locked="0"/>
    </xf>
    <xf numFmtId="0" fontId="33" fillId="0" borderId="37" xfId="9" applyFont="1" applyBorder="1" applyAlignment="1" applyProtection="1">
      <alignment horizontal="center" vertical="center" wrapText="1"/>
      <protection locked="0"/>
    </xf>
    <xf numFmtId="0" fontId="33" fillId="0" borderId="4" xfId="9" applyFont="1" applyBorder="1" applyAlignment="1" applyProtection="1">
      <alignment horizontal="center" vertical="center" wrapText="1"/>
      <protection locked="0"/>
    </xf>
    <xf numFmtId="173" fontId="33" fillId="0" borderId="4" xfId="7" applyNumberFormat="1" applyFont="1" applyBorder="1" applyAlignment="1" applyProtection="1">
      <alignment horizontal="center" vertical="center" wrapText="1"/>
      <protection locked="0"/>
    </xf>
    <xf numFmtId="173" fontId="23" fillId="5" borderId="13" xfId="7" applyNumberFormat="1" applyFont="1" applyFill="1" applyBorder="1" applyAlignment="1" applyProtection="1">
      <alignment horizontal="right" vertical="center" wrapText="1"/>
      <protection locked="0"/>
    </xf>
    <xf numFmtId="167" fontId="23" fillId="0" borderId="0" xfId="8" applyNumberFormat="1" applyFont="1" applyFill="1" applyBorder="1" applyAlignment="1" applyProtection="1">
      <alignment horizontal="right" vertical="center" wrapText="1"/>
      <protection locked="0"/>
    </xf>
    <xf numFmtId="171" fontId="20" fillId="0" borderId="0" xfId="9" applyNumberFormat="1" applyFont="1" applyAlignment="1" applyProtection="1">
      <alignment vertical="center"/>
      <protection locked="0"/>
    </xf>
    <xf numFmtId="167" fontId="22" fillId="4" borderId="23" xfId="8" applyNumberFormat="1" applyFont="1" applyFill="1" applyBorder="1" applyAlignment="1" applyProtection="1">
      <alignment horizontal="right" vertical="center" wrapText="1"/>
      <protection locked="0"/>
    </xf>
    <xf numFmtId="167" fontId="23" fillId="4" borderId="14" xfId="8" applyNumberFormat="1" applyFont="1" applyFill="1" applyBorder="1" applyAlignment="1" applyProtection="1">
      <alignment horizontal="right" vertical="center" wrapText="1"/>
      <protection locked="0"/>
    </xf>
    <xf numFmtId="0" fontId="20" fillId="0" borderId="0" xfId="9" applyFont="1" applyAlignment="1" applyProtection="1">
      <alignment horizontal="right" vertical="center"/>
      <protection locked="0"/>
    </xf>
    <xf numFmtId="171" fontId="19" fillId="0" borderId="0" xfId="9" applyNumberFormat="1" applyFont="1" applyAlignment="1" applyProtection="1">
      <alignment vertical="center"/>
      <protection locked="0"/>
    </xf>
    <xf numFmtId="171" fontId="20" fillId="5" borderId="23" xfId="9" applyNumberFormat="1" applyFont="1" applyFill="1" applyBorder="1" applyAlignment="1">
      <alignment vertical="center"/>
    </xf>
    <xf numFmtId="171" fontId="20" fillId="5" borderId="14" xfId="9" applyNumberFormat="1" applyFont="1" applyFill="1" applyBorder="1" applyAlignment="1">
      <alignment vertical="center"/>
    </xf>
    <xf numFmtId="0" fontId="30" fillId="14" borderId="23" xfId="9" applyFont="1" applyFill="1" applyBorder="1" applyAlignment="1">
      <alignment horizontal="center" vertical="center" wrapText="1"/>
    </xf>
    <xf numFmtId="171" fontId="19" fillId="0" borderId="23" xfId="16" applyNumberFormat="1" applyFont="1" applyFill="1" applyBorder="1" applyAlignment="1" applyProtection="1">
      <alignment vertical="center"/>
    </xf>
    <xf numFmtId="0" fontId="20" fillId="5" borderId="4" xfId="0" applyFont="1" applyFill="1" applyBorder="1" applyAlignment="1" applyProtection="1">
      <alignment horizontal="center" vertical="center"/>
      <protection locked="0"/>
    </xf>
    <xf numFmtId="0" fontId="20" fillId="5" borderId="23" xfId="0" applyFont="1" applyFill="1" applyBorder="1" applyAlignment="1" applyProtection="1">
      <alignment horizontal="center" vertical="center"/>
      <protection locked="0"/>
    </xf>
    <xf numFmtId="167" fontId="21" fillId="0" borderId="0" xfId="9" applyNumberFormat="1" applyFont="1" applyAlignment="1" applyProtection="1">
      <alignment vertical="center"/>
      <protection locked="0"/>
    </xf>
    <xf numFmtId="173" fontId="19" fillId="0" borderId="4" xfId="7" applyNumberFormat="1" applyFont="1" applyBorder="1" applyAlignment="1" applyProtection="1">
      <alignment vertical="center"/>
      <protection locked="0"/>
    </xf>
    <xf numFmtId="173" fontId="19" fillId="0" borderId="23" xfId="7" applyNumberFormat="1" applyFont="1" applyBorder="1" applyAlignment="1" applyProtection="1">
      <alignment vertical="center"/>
      <protection locked="0"/>
    </xf>
    <xf numFmtId="173" fontId="19" fillId="5" borderId="4" xfId="7" applyNumberFormat="1" applyFont="1" applyFill="1" applyBorder="1" applyAlignment="1" applyProtection="1">
      <alignment vertical="center"/>
      <protection locked="0"/>
    </xf>
    <xf numFmtId="173" fontId="19" fillId="5" borderId="23" xfId="7" applyNumberFormat="1" applyFont="1" applyFill="1" applyBorder="1" applyAlignment="1" applyProtection="1">
      <alignment vertical="center"/>
      <protection locked="0"/>
    </xf>
    <xf numFmtId="173" fontId="19" fillId="0" borderId="4" xfId="7" applyNumberFormat="1" applyFont="1" applyFill="1" applyBorder="1" applyAlignment="1" applyProtection="1">
      <alignment vertical="center"/>
      <protection locked="0"/>
    </xf>
    <xf numFmtId="173" fontId="19" fillId="0" borderId="23" xfId="7" applyNumberFormat="1" applyFont="1" applyFill="1" applyBorder="1" applyAlignment="1" applyProtection="1">
      <alignment vertical="center"/>
      <protection locked="0"/>
    </xf>
    <xf numFmtId="173" fontId="19" fillId="5" borderId="13" xfId="7" applyNumberFormat="1" applyFont="1" applyFill="1" applyBorder="1" applyAlignment="1" applyProtection="1">
      <alignment vertical="center"/>
      <protection locked="0"/>
    </xf>
    <xf numFmtId="173" fontId="19" fillId="5" borderId="14" xfId="7" applyNumberFormat="1" applyFont="1" applyFill="1" applyBorder="1" applyAlignment="1" applyProtection="1">
      <alignment vertical="center"/>
      <protection locked="0"/>
    </xf>
    <xf numFmtId="173" fontId="19" fillId="0" borderId="0" xfId="9" applyNumberFormat="1" applyFont="1" applyAlignment="1" applyProtection="1">
      <alignment vertical="center"/>
      <protection locked="0"/>
    </xf>
    <xf numFmtId="173" fontId="20" fillId="5" borderId="4" xfId="0" applyNumberFormat="1" applyFont="1" applyFill="1" applyBorder="1" applyAlignment="1" applyProtection="1">
      <alignment horizontal="center" vertical="center"/>
      <protection locked="0"/>
    </xf>
    <xf numFmtId="173" fontId="20" fillId="5" borderId="23" xfId="0" applyNumberFormat="1" applyFont="1" applyFill="1" applyBorder="1" applyAlignment="1" applyProtection="1">
      <alignment horizontal="center" vertical="center"/>
      <protection locked="0"/>
    </xf>
    <xf numFmtId="173" fontId="23" fillId="0" borderId="0" xfId="7" applyNumberFormat="1" applyFont="1" applyFill="1" applyBorder="1" applyAlignment="1" applyProtection="1">
      <alignment horizontal="right" vertical="center" wrapText="1"/>
      <protection locked="0"/>
    </xf>
    <xf numFmtId="173" fontId="19" fillId="0" borderId="0" xfId="7" applyNumberFormat="1" applyFont="1" applyFill="1" applyBorder="1" applyAlignment="1" applyProtection="1">
      <alignment vertical="center"/>
      <protection locked="0"/>
    </xf>
    <xf numFmtId="0" fontId="41" fillId="0" borderId="0" xfId="9" applyFont="1" applyAlignment="1" applyProtection="1">
      <alignment horizontal="left" vertical="center"/>
      <protection locked="0"/>
    </xf>
    <xf numFmtId="173" fontId="20" fillId="5" borderId="16" xfId="0" applyNumberFormat="1" applyFont="1" applyFill="1" applyBorder="1" applyAlignment="1" applyProtection="1">
      <alignment horizontal="center" vertical="center"/>
      <protection locked="0"/>
    </xf>
    <xf numFmtId="173" fontId="19" fillId="3" borderId="16" xfId="9" applyNumberFormat="1" applyFont="1" applyFill="1" applyBorder="1" applyAlignment="1" applyProtection="1">
      <alignment vertical="center"/>
      <protection locked="0"/>
    </xf>
    <xf numFmtId="173" fontId="19" fillId="3" borderId="4" xfId="9" applyNumberFormat="1" applyFont="1" applyFill="1" applyBorder="1" applyAlignment="1" applyProtection="1">
      <alignment vertical="center"/>
      <protection locked="0"/>
    </xf>
    <xf numFmtId="173" fontId="19" fillId="3" borderId="23" xfId="9" applyNumberFormat="1" applyFont="1" applyFill="1" applyBorder="1" applyAlignment="1" applyProtection="1">
      <alignment vertical="center"/>
      <protection locked="0"/>
    </xf>
    <xf numFmtId="173" fontId="19" fillId="0" borderId="4" xfId="9" applyNumberFormat="1" applyFont="1" applyBorder="1" applyAlignment="1" applyProtection="1">
      <alignment vertical="center"/>
      <protection locked="0"/>
    </xf>
    <xf numFmtId="173" fontId="19" fillId="0" borderId="23" xfId="9" applyNumberFormat="1" applyFont="1" applyBorder="1" applyAlignment="1" applyProtection="1">
      <alignment vertical="center"/>
      <protection locked="0"/>
    </xf>
    <xf numFmtId="9" fontId="23" fillId="3" borderId="4" xfId="9" applyNumberFormat="1" applyFont="1" applyFill="1" applyBorder="1" applyAlignment="1" applyProtection="1">
      <alignment horizontal="right" vertical="center" wrapText="1"/>
      <protection locked="0"/>
    </xf>
    <xf numFmtId="167" fontId="19" fillId="0" borderId="0" xfId="9" applyNumberFormat="1" applyFont="1" applyAlignment="1" applyProtection="1">
      <alignment vertical="center"/>
      <protection locked="0"/>
    </xf>
    <xf numFmtId="0" fontId="19" fillId="0" borderId="49" xfId="9" applyFont="1" applyBorder="1" applyAlignment="1" applyProtection="1">
      <alignment horizontal="left" vertical="center"/>
      <protection locked="0"/>
    </xf>
    <xf numFmtId="0" fontId="19" fillId="0" borderId="62" xfId="9" applyFont="1" applyBorder="1" applyAlignment="1" applyProtection="1">
      <alignment horizontal="left" vertical="center"/>
      <protection locked="0"/>
    </xf>
    <xf numFmtId="0" fontId="23" fillId="0" borderId="0" xfId="9" applyFont="1" applyAlignment="1" applyProtection="1">
      <alignment horizontal="left" vertical="center"/>
      <protection locked="0"/>
    </xf>
    <xf numFmtId="171" fontId="20" fillId="5" borderId="4" xfId="9" applyNumberFormat="1" applyFont="1" applyFill="1" applyBorder="1" applyAlignment="1">
      <alignment vertical="center"/>
    </xf>
    <xf numFmtId="171" fontId="19" fillId="0" borderId="4" xfId="16" applyNumberFormat="1" applyFont="1" applyFill="1" applyBorder="1" applyAlignment="1" applyProtection="1">
      <alignment vertical="center"/>
    </xf>
    <xf numFmtId="171" fontId="20" fillId="5" borderId="13" xfId="9" applyNumberFormat="1" applyFont="1" applyFill="1" applyBorder="1" applyAlignment="1">
      <alignment vertical="center"/>
    </xf>
    <xf numFmtId="171" fontId="19" fillId="0" borderId="37" xfId="16" applyNumberFormat="1" applyFont="1" applyFill="1" applyBorder="1" applyAlignment="1" applyProtection="1">
      <alignment vertical="center"/>
    </xf>
    <xf numFmtId="171" fontId="20" fillId="5" borderId="52" xfId="9" applyNumberFormat="1" applyFont="1" applyFill="1" applyBorder="1" applyAlignment="1">
      <alignment vertical="center"/>
    </xf>
    <xf numFmtId="0" fontId="23" fillId="14" borderId="4" xfId="9" applyFont="1" applyFill="1" applyBorder="1" applyAlignment="1">
      <alignment horizontal="center" vertical="center" wrapText="1"/>
    </xf>
    <xf numFmtId="0" fontId="23" fillId="14" borderId="23" xfId="9" applyFont="1" applyFill="1" applyBorder="1" applyAlignment="1">
      <alignment horizontal="center" vertical="center" wrapText="1"/>
    </xf>
    <xf numFmtId="165" fontId="19" fillId="0" borderId="0" xfId="7" applyFont="1" applyBorder="1" applyAlignment="1" applyProtection="1">
      <alignment vertical="center"/>
      <protection locked="0"/>
    </xf>
    <xf numFmtId="0" fontId="20" fillId="0" borderId="0" xfId="30" applyFont="1" applyAlignment="1" applyProtection="1">
      <alignment horizontal="right" vertical="center" wrapText="1"/>
      <protection locked="0"/>
    </xf>
    <xf numFmtId="0" fontId="19" fillId="0" borderId="0" xfId="30" applyAlignment="1" applyProtection="1">
      <alignment horizontal="left" vertical="center" wrapText="1"/>
      <protection locked="0"/>
    </xf>
    <xf numFmtId="0" fontId="20" fillId="0" borderId="0" xfId="30" applyFont="1" applyAlignment="1" applyProtection="1">
      <alignment horizontal="center" vertical="top" wrapText="1"/>
      <protection locked="0"/>
    </xf>
    <xf numFmtId="165" fontId="20" fillId="0" borderId="0" xfId="7" applyFont="1" applyBorder="1" applyAlignment="1" applyProtection="1">
      <alignment horizontal="center" vertical="top" wrapText="1"/>
      <protection locked="0"/>
    </xf>
    <xf numFmtId="165" fontId="19" fillId="0" borderId="0" xfId="7" applyFont="1" applyFill="1" applyBorder="1" applyAlignment="1" applyProtection="1">
      <alignment vertical="center"/>
      <protection locked="0"/>
    </xf>
    <xf numFmtId="165" fontId="30" fillId="5" borderId="4" xfId="7" applyFont="1" applyFill="1" applyBorder="1" applyAlignment="1" applyProtection="1">
      <alignment horizontal="center" vertical="center" wrapText="1"/>
      <protection locked="0"/>
    </xf>
    <xf numFmtId="0" fontId="20" fillId="5" borderId="4" xfId="30" applyFont="1" applyFill="1" applyBorder="1" applyAlignment="1" applyProtection="1">
      <alignment horizontal="center" vertical="center" wrapText="1"/>
      <protection locked="0"/>
    </xf>
    <xf numFmtId="165" fontId="20" fillId="5" borderId="4" xfId="7" applyFont="1" applyFill="1" applyBorder="1" applyAlignment="1" applyProtection="1">
      <alignment horizontal="center" vertical="center"/>
      <protection locked="0"/>
    </xf>
    <xf numFmtId="165" fontId="19" fillId="0" borderId="4" xfId="7" applyFont="1" applyBorder="1" applyAlignment="1" applyProtection="1">
      <alignment vertical="center"/>
      <protection locked="0"/>
    </xf>
    <xf numFmtId="0" fontId="19" fillId="0" borderId="4" xfId="30" applyBorder="1" applyAlignment="1" applyProtection="1">
      <alignment horizontal="left" vertical="center" wrapText="1"/>
      <protection locked="0"/>
    </xf>
    <xf numFmtId="9" fontId="19" fillId="0" borderId="4" xfId="16" applyFont="1" applyFill="1" applyBorder="1" applyAlignment="1" applyProtection="1">
      <alignment horizontal="left" vertical="center" wrapText="1"/>
      <protection locked="0"/>
    </xf>
    <xf numFmtId="173" fontId="19" fillId="0" borderId="4" xfId="7" applyNumberFormat="1" applyFont="1" applyFill="1" applyBorder="1" applyAlignment="1" applyProtection="1">
      <alignment horizontal="left" vertical="center" wrapText="1"/>
      <protection locked="0"/>
    </xf>
    <xf numFmtId="2" fontId="19" fillId="0" borderId="4" xfId="30" applyNumberFormat="1" applyBorder="1" applyAlignment="1" applyProtection="1">
      <alignment horizontal="left" vertical="center" wrapText="1"/>
      <protection locked="0"/>
    </xf>
    <xf numFmtId="173" fontId="20" fillId="3" borderId="4" xfId="7" applyNumberFormat="1" applyFont="1" applyFill="1" applyBorder="1" applyAlignment="1" applyProtection="1">
      <alignment horizontal="center" vertical="center" wrapText="1"/>
      <protection locked="0"/>
    </xf>
    <xf numFmtId="0" fontId="19" fillId="0" borderId="4" xfId="9" applyFont="1" applyBorder="1" applyAlignment="1" applyProtection="1">
      <alignment horizontal="left" vertical="center" wrapText="1"/>
      <protection locked="0"/>
    </xf>
    <xf numFmtId="173" fontId="19" fillId="0" borderId="4" xfId="7" applyNumberFormat="1" applyFont="1" applyFill="1" applyBorder="1" applyAlignment="1" applyProtection="1">
      <alignment vertical="center" wrapText="1"/>
      <protection locked="0"/>
    </xf>
    <xf numFmtId="173" fontId="20" fillId="3" borderId="4" xfId="7" applyNumberFormat="1" applyFont="1" applyFill="1" applyBorder="1" applyAlignment="1" applyProtection="1">
      <alignment vertical="center" wrapText="1"/>
      <protection locked="0"/>
    </xf>
    <xf numFmtId="173" fontId="20" fillId="5" borderId="31" xfId="7" applyNumberFormat="1" applyFont="1" applyFill="1" applyBorder="1" applyAlignment="1" applyProtection="1">
      <alignment horizontal="center" vertical="center" wrapText="1"/>
      <protection locked="0"/>
    </xf>
    <xf numFmtId="173" fontId="20" fillId="5" borderId="24" xfId="7" applyNumberFormat="1" applyFont="1" applyFill="1" applyBorder="1" applyAlignment="1" applyProtection="1">
      <alignment horizontal="center" vertical="center" wrapText="1"/>
      <protection locked="0"/>
    </xf>
    <xf numFmtId="9" fontId="19" fillId="0" borderId="4" xfId="16" applyFont="1" applyFill="1" applyBorder="1" applyAlignment="1" applyProtection="1">
      <alignment horizontal="right" vertical="center" wrapText="1"/>
      <protection locked="0"/>
    </xf>
    <xf numFmtId="165" fontId="19" fillId="0" borderId="23" xfId="7" applyFont="1" applyFill="1" applyBorder="1" applyAlignment="1" applyProtection="1">
      <alignment horizontal="left" vertical="center" wrapText="1"/>
      <protection locked="0"/>
    </xf>
    <xf numFmtId="173" fontId="20" fillId="6" borderId="7" xfId="7" applyNumberFormat="1" applyFont="1" applyFill="1" applyBorder="1" applyAlignment="1" applyProtection="1">
      <alignment horizontal="center" vertical="center" wrapText="1"/>
      <protection locked="0"/>
    </xf>
    <xf numFmtId="165" fontId="20" fillId="6" borderId="7" xfId="7" applyFont="1" applyFill="1" applyBorder="1" applyAlignment="1" applyProtection="1">
      <alignment horizontal="center" vertical="center" wrapText="1"/>
      <protection locked="0"/>
    </xf>
    <xf numFmtId="165" fontId="20" fillId="6" borderId="8" xfId="7" applyFont="1" applyFill="1" applyBorder="1" applyAlignment="1" applyProtection="1">
      <alignment horizontal="center" vertical="center" wrapText="1"/>
      <protection locked="0"/>
    </xf>
    <xf numFmtId="0" fontId="20" fillId="6" borderId="16" xfId="9" applyFont="1" applyFill="1" applyBorder="1" applyAlignment="1" applyProtection="1">
      <alignment horizontal="left" vertical="center" wrapText="1"/>
      <protection locked="0"/>
    </xf>
    <xf numFmtId="0" fontId="20" fillId="6" borderId="4" xfId="9" applyFont="1" applyFill="1" applyBorder="1" applyAlignment="1" applyProtection="1">
      <alignment horizontal="left" vertical="center" wrapText="1"/>
      <protection locked="0"/>
    </xf>
    <xf numFmtId="0" fontId="20" fillId="6" borderId="51" xfId="9" applyFont="1" applyFill="1" applyBorder="1" applyAlignment="1" applyProtection="1">
      <alignment horizontal="left" vertical="center" wrapText="1"/>
      <protection locked="0"/>
    </xf>
    <xf numFmtId="0" fontId="20" fillId="6" borderId="13" xfId="9" applyFont="1" applyFill="1" applyBorder="1" applyAlignment="1" applyProtection="1">
      <alignment horizontal="left" vertical="center" wrapText="1"/>
      <protection locked="0"/>
    </xf>
    <xf numFmtId="0" fontId="19" fillId="0" borderId="0" xfId="9" applyFont="1" applyAlignment="1" applyProtection="1">
      <alignment horizontal="left" vertical="top" wrapText="1"/>
      <protection locked="0"/>
    </xf>
    <xf numFmtId="165" fontId="19" fillId="0" borderId="0" xfId="7" applyFont="1" applyBorder="1" applyAlignment="1" applyProtection="1">
      <alignment horizontal="left" vertical="top" wrapText="1"/>
      <protection locked="0"/>
    </xf>
    <xf numFmtId="165" fontId="19" fillId="0" borderId="0" xfId="7" applyFont="1" applyBorder="1" applyAlignment="1" applyProtection="1">
      <alignment horizontal="right" vertical="top" wrapText="1"/>
      <protection locked="0"/>
    </xf>
    <xf numFmtId="0" fontId="20" fillId="0" borderId="0" xfId="30" applyFont="1" applyAlignment="1" applyProtection="1">
      <alignment horizontal="left" vertical="top" wrapText="1"/>
      <protection locked="0"/>
    </xf>
    <xf numFmtId="165" fontId="19" fillId="0" borderId="0" xfId="7" applyFont="1" applyBorder="1" applyAlignment="1" applyProtection="1">
      <alignment horizontal="center" vertical="center"/>
      <protection locked="0"/>
    </xf>
    <xf numFmtId="165" fontId="20" fillId="5" borderId="23" xfId="7" applyFont="1" applyFill="1" applyBorder="1" applyAlignment="1" applyProtection="1">
      <alignment horizontal="center" vertical="center"/>
      <protection locked="0"/>
    </xf>
    <xf numFmtId="173" fontId="19" fillId="0" borderId="0" xfId="9" applyNumberFormat="1" applyFont="1" applyProtection="1">
      <protection locked="0"/>
    </xf>
    <xf numFmtId="2" fontId="19" fillId="0" borderId="4" xfId="9" applyNumberFormat="1" applyFont="1" applyBorder="1" applyAlignment="1" applyProtection="1">
      <alignment horizontal="left" vertical="center" wrapText="1"/>
      <protection locked="0"/>
    </xf>
    <xf numFmtId="173" fontId="19" fillId="0" borderId="23" xfId="7" applyNumberFormat="1" applyFont="1" applyFill="1" applyBorder="1" applyAlignment="1" applyProtection="1">
      <alignment horizontal="left" vertical="center" wrapText="1"/>
      <protection locked="0"/>
    </xf>
    <xf numFmtId="0" fontId="19" fillId="0" borderId="16" xfId="30" applyBorder="1" applyAlignment="1" applyProtection="1">
      <alignment horizontal="left" vertical="center" wrapText="1"/>
      <protection locked="0"/>
    </xf>
    <xf numFmtId="173" fontId="20" fillId="3" borderId="23" xfId="7" applyNumberFormat="1" applyFont="1" applyFill="1" applyBorder="1" applyAlignment="1" applyProtection="1">
      <alignment horizontal="center" vertical="center" wrapText="1"/>
      <protection locked="0"/>
    </xf>
    <xf numFmtId="165" fontId="34" fillId="5" borderId="4" xfId="7" applyFont="1" applyFill="1" applyBorder="1" applyAlignment="1" applyProtection="1">
      <alignment horizontal="center" vertical="center" wrapText="1"/>
      <protection locked="0"/>
    </xf>
    <xf numFmtId="165" fontId="19" fillId="0" borderId="4" xfId="7" applyFont="1" applyFill="1" applyBorder="1" applyAlignment="1" applyProtection="1">
      <alignment horizontal="left" vertical="center"/>
      <protection locked="0"/>
    </xf>
    <xf numFmtId="165" fontId="19" fillId="0" borderId="23" xfId="7" applyFont="1" applyFill="1" applyBorder="1" applyAlignment="1" applyProtection="1">
      <alignment horizontal="left" vertical="center"/>
      <protection locked="0"/>
    </xf>
    <xf numFmtId="173" fontId="20" fillId="8" borderId="4" xfId="7" applyNumberFormat="1" applyFont="1" applyFill="1" applyBorder="1" applyAlignment="1" applyProtection="1">
      <alignment horizontal="center" vertical="center" wrapText="1"/>
      <protection locked="0"/>
    </xf>
    <xf numFmtId="173" fontId="20" fillId="8" borderId="23" xfId="7" applyNumberFormat="1" applyFont="1" applyFill="1" applyBorder="1" applyAlignment="1" applyProtection="1">
      <alignment horizontal="center" vertical="center" wrapText="1"/>
      <protection locked="0"/>
    </xf>
    <xf numFmtId="0" fontId="19" fillId="0" borderId="0" xfId="9" applyFont="1" applyAlignment="1" applyProtection="1">
      <alignment horizontal="right" vertical="top" wrapText="1"/>
      <protection locked="0"/>
    </xf>
    <xf numFmtId="0" fontId="31" fillId="0" borderId="0" xfId="21" applyFont="1" applyAlignment="1" applyProtection="1">
      <alignment vertical="center"/>
      <protection locked="0"/>
    </xf>
    <xf numFmtId="0" fontId="31" fillId="2" borderId="0" xfId="21" applyFont="1" applyFill="1" applyAlignment="1" applyProtection="1">
      <alignment vertical="center"/>
      <protection locked="0"/>
    </xf>
    <xf numFmtId="165" fontId="31" fillId="0" borderId="0" xfId="7" applyFont="1" applyFill="1" applyAlignment="1" applyProtection="1">
      <alignment vertical="center"/>
      <protection locked="0"/>
    </xf>
    <xf numFmtId="0" fontId="30" fillId="3" borderId="1" xfId="21" applyFont="1" applyFill="1" applyBorder="1" applyAlignment="1" applyProtection="1">
      <alignment vertical="center"/>
      <protection locked="0"/>
    </xf>
    <xf numFmtId="0" fontId="30" fillId="0" borderId="0" xfId="21" applyFont="1" applyAlignment="1" applyProtection="1">
      <alignment vertical="center"/>
      <protection locked="0"/>
    </xf>
    <xf numFmtId="0" fontId="34" fillId="5" borderId="16" xfId="9" applyFont="1" applyFill="1" applyBorder="1" applyAlignment="1" applyProtection="1">
      <alignment horizontal="center" vertical="center" wrapText="1"/>
      <protection locked="0"/>
    </xf>
    <xf numFmtId="0" fontId="30" fillId="0" borderId="0" xfId="9" applyFont="1" applyAlignment="1" applyProtection="1">
      <alignment horizontal="center" vertical="center" wrapText="1"/>
      <protection locked="0"/>
    </xf>
    <xf numFmtId="10" fontId="31" fillId="0" borderId="0" xfId="20" applyNumberFormat="1" applyFont="1" applyFill="1" applyBorder="1" applyAlignment="1" applyProtection="1">
      <alignment vertical="center"/>
      <protection locked="0"/>
    </xf>
    <xf numFmtId="10" fontId="23" fillId="0" borderId="0" xfId="16" applyNumberFormat="1" applyFont="1" applyFill="1" applyBorder="1" applyAlignment="1" applyProtection="1">
      <alignment horizontal="right" vertical="center" wrapText="1"/>
      <protection locked="0"/>
    </xf>
    <xf numFmtId="165" fontId="31" fillId="2" borderId="0" xfId="7" applyFont="1" applyFill="1" applyAlignment="1" applyProtection="1">
      <alignment vertical="center"/>
      <protection locked="0"/>
    </xf>
    <xf numFmtId="169" fontId="30" fillId="0" borderId="58" xfId="21" applyNumberFormat="1" applyFont="1" applyBorder="1" applyAlignment="1" applyProtection="1">
      <alignment vertical="center"/>
      <protection locked="0"/>
    </xf>
    <xf numFmtId="0" fontId="34" fillId="14" borderId="6" xfId="9" applyFont="1" applyFill="1" applyBorder="1" applyAlignment="1" applyProtection="1">
      <alignment horizontal="center" vertical="center" wrapText="1"/>
      <protection locked="0"/>
    </xf>
    <xf numFmtId="0" fontId="22" fillId="2" borderId="16" xfId="21" applyFont="1" applyFill="1" applyBorder="1" applyAlignment="1" applyProtection="1">
      <alignment horizontal="left" vertical="center" wrapText="1"/>
      <protection locked="0"/>
    </xf>
    <xf numFmtId="0" fontId="31" fillId="2" borderId="4" xfId="21" applyFont="1" applyFill="1" applyBorder="1" applyAlignment="1" applyProtection="1">
      <alignment horizontal="justify" vertical="center" wrapText="1"/>
      <protection locked="0"/>
    </xf>
    <xf numFmtId="10" fontId="22" fillId="2" borderId="4" xfId="21" applyNumberFormat="1" applyFont="1" applyFill="1" applyBorder="1" applyAlignment="1" applyProtection="1">
      <alignment horizontal="left" vertical="center"/>
      <protection locked="0"/>
    </xf>
    <xf numFmtId="10" fontId="22" fillId="0" borderId="4" xfId="21" applyNumberFormat="1" applyFont="1" applyBorder="1" applyAlignment="1" applyProtection="1">
      <alignment horizontal="left" vertical="center"/>
      <protection locked="0"/>
    </xf>
    <xf numFmtId="0" fontId="22" fillId="2" borderId="16" xfId="21" applyFont="1" applyFill="1" applyBorder="1" applyAlignment="1" applyProtection="1">
      <alignment horizontal="left" vertical="center"/>
      <protection locked="0"/>
    </xf>
    <xf numFmtId="0" fontId="20" fillId="0" borderId="64" xfId="30" applyFont="1" applyBorder="1" applyAlignment="1" applyProtection="1">
      <alignment horizontal="left" vertical="top" wrapText="1"/>
      <protection locked="0"/>
    </xf>
    <xf numFmtId="0" fontId="20" fillId="0" borderId="0" xfId="30" applyFont="1" applyAlignment="1" applyProtection="1">
      <alignment vertical="center" wrapText="1"/>
      <protection locked="0"/>
    </xf>
    <xf numFmtId="0" fontId="20" fillId="0" borderId="0" xfId="30" applyFont="1" applyAlignment="1" applyProtection="1">
      <alignment horizontal="center" vertical="center" wrapText="1"/>
      <protection locked="0"/>
    </xf>
    <xf numFmtId="173" fontId="19" fillId="0" borderId="0" xfId="30" applyNumberFormat="1" applyAlignment="1" applyProtection="1">
      <alignment horizontal="center" vertical="center" wrapText="1"/>
      <protection locked="0"/>
    </xf>
    <xf numFmtId="0" fontId="19" fillId="0" borderId="0" xfId="30" applyAlignment="1" applyProtection="1">
      <alignment vertical="center" wrapText="1"/>
      <protection locked="0"/>
    </xf>
    <xf numFmtId="173" fontId="19" fillId="0" borderId="16" xfId="7" applyNumberFormat="1" applyFont="1" applyFill="1" applyBorder="1" applyAlignment="1" applyProtection="1">
      <alignment horizontal="center" vertical="center" wrapText="1"/>
      <protection locked="0"/>
    </xf>
    <xf numFmtId="9" fontId="19" fillId="0" borderId="4" xfId="30" applyNumberFormat="1" applyBorder="1" applyAlignment="1" applyProtection="1">
      <alignment horizontal="center" vertical="center" wrapText="1"/>
      <protection locked="0"/>
    </xf>
    <xf numFmtId="173" fontId="19" fillId="0" borderId="23" xfId="7" applyNumberFormat="1" applyFont="1" applyFill="1" applyBorder="1" applyAlignment="1" applyProtection="1">
      <alignment horizontal="center" vertical="center" wrapText="1"/>
      <protection locked="0"/>
    </xf>
    <xf numFmtId="173" fontId="19" fillId="0" borderId="18" xfId="7" applyNumberFormat="1" applyFont="1" applyFill="1" applyBorder="1" applyAlignment="1" applyProtection="1">
      <alignment horizontal="center" vertical="center" wrapText="1"/>
      <protection locked="0"/>
    </xf>
    <xf numFmtId="9" fontId="19" fillId="0" borderId="7" xfId="30" applyNumberFormat="1" applyBorder="1" applyAlignment="1" applyProtection="1">
      <alignment horizontal="center" vertical="center" wrapText="1"/>
      <protection locked="0"/>
    </xf>
    <xf numFmtId="173" fontId="19" fillId="0" borderId="8" xfId="7" applyNumberFormat="1" applyFont="1" applyFill="1" applyBorder="1" applyAlignment="1" applyProtection="1">
      <alignment horizontal="center" vertical="center" wrapText="1"/>
      <protection locked="0"/>
    </xf>
    <xf numFmtId="173" fontId="19" fillId="0" borderId="0" xfId="7" applyNumberFormat="1" applyFont="1" applyFill="1" applyBorder="1" applyAlignment="1" applyProtection="1">
      <alignment horizontal="center" vertical="center" wrapText="1"/>
      <protection locked="0"/>
    </xf>
    <xf numFmtId="9" fontId="19" fillId="0" borderId="0" xfId="30" applyNumberFormat="1" applyAlignment="1" applyProtection="1">
      <alignment horizontal="center" vertical="center" wrapText="1"/>
      <protection locked="0"/>
    </xf>
    <xf numFmtId="169" fontId="19" fillId="0" borderId="0" xfId="30" applyNumberFormat="1" applyAlignment="1" applyProtection="1">
      <alignment horizontal="center" vertical="center" wrapText="1"/>
      <protection locked="0"/>
    </xf>
    <xf numFmtId="173" fontId="19" fillId="0" borderId="4" xfId="7" applyNumberFormat="1" applyFont="1" applyFill="1" applyBorder="1" applyAlignment="1" applyProtection="1">
      <alignment horizontal="center" vertical="center" wrapText="1"/>
      <protection locked="0"/>
    </xf>
    <xf numFmtId="173" fontId="19" fillId="3" borderId="24" xfId="7" applyNumberFormat="1" applyFont="1" applyFill="1" applyBorder="1" applyAlignment="1" applyProtection="1">
      <alignment horizontal="center" vertical="center" wrapText="1"/>
    </xf>
    <xf numFmtId="173" fontId="19" fillId="3" borderId="23" xfId="7" applyNumberFormat="1" applyFont="1" applyFill="1" applyBorder="1" applyAlignment="1" applyProtection="1">
      <alignment horizontal="center" vertical="center" wrapText="1"/>
    </xf>
    <xf numFmtId="173" fontId="19" fillId="8" borderId="14" xfId="7" applyNumberFormat="1" applyFont="1" applyFill="1" applyBorder="1" applyAlignment="1" applyProtection="1">
      <alignment horizontal="center" vertical="center" wrapText="1"/>
    </xf>
    <xf numFmtId="173" fontId="19" fillId="3" borderId="4" xfId="9" applyNumberFormat="1" applyFont="1" applyFill="1" applyBorder="1"/>
    <xf numFmtId="0" fontId="31" fillId="0" borderId="0" xfId="52" applyFont="1" applyProtection="1">
      <protection locked="0"/>
    </xf>
    <xf numFmtId="0" fontId="19" fillId="0" borderId="0" xfId="9" applyFont="1" applyAlignment="1" applyProtection="1">
      <alignment horizontal="center"/>
      <protection locked="0"/>
    </xf>
    <xf numFmtId="0" fontId="20" fillId="0" borderId="0" xfId="30" applyFont="1" applyAlignment="1" applyProtection="1">
      <alignment horizontal="left" vertical="center" wrapText="1"/>
      <protection locked="0"/>
    </xf>
    <xf numFmtId="0" fontId="19" fillId="0" borderId="0" xfId="30" applyAlignment="1" applyProtection="1">
      <alignment horizontal="justify" vertical="center" wrapText="1"/>
      <protection locked="0"/>
    </xf>
    <xf numFmtId="0" fontId="31" fillId="0" borderId="0" xfId="52" applyFont="1" applyAlignment="1" applyProtection="1">
      <alignment vertical="center"/>
      <protection locked="0"/>
    </xf>
    <xf numFmtId="0" fontId="30" fillId="0" borderId="0" xfId="52" applyFont="1" applyAlignment="1" applyProtection="1">
      <alignment vertical="center"/>
      <protection locked="0"/>
    </xf>
    <xf numFmtId="0" fontId="31" fillId="5" borderId="4" xfId="52" applyFont="1" applyFill="1" applyBorder="1" applyAlignment="1" applyProtection="1">
      <alignment horizontal="center" vertical="center" wrapText="1"/>
      <protection locked="0"/>
    </xf>
    <xf numFmtId="0" fontId="31" fillId="14" borderId="4" xfId="52" applyFont="1" applyFill="1" applyBorder="1" applyAlignment="1" applyProtection="1">
      <alignment horizontal="center" vertical="center" wrapText="1"/>
      <protection locked="0"/>
    </xf>
    <xf numFmtId="0" fontId="33" fillId="0" borderId="4" xfId="52" applyFont="1" applyBorder="1" applyAlignment="1" applyProtection="1">
      <alignment horizontal="justify" vertical="center" wrapText="1"/>
      <protection locked="0"/>
    </xf>
    <xf numFmtId="0" fontId="31" fillId="0" borderId="4" xfId="52" applyFont="1" applyBorder="1" applyAlignment="1" applyProtection="1">
      <alignment vertical="center" wrapText="1"/>
      <protection locked="0"/>
    </xf>
    <xf numFmtId="0" fontId="31" fillId="0" borderId="4" xfId="52" applyFont="1" applyBorder="1" applyAlignment="1" applyProtection="1">
      <alignment horizontal="justify" vertical="center" wrapText="1"/>
      <protection locked="0"/>
    </xf>
    <xf numFmtId="0" fontId="19" fillId="0" borderId="4" xfId="52" applyFont="1" applyBorder="1" applyAlignment="1" applyProtection="1">
      <alignment horizontal="justify" vertical="center" wrapText="1"/>
      <protection locked="0"/>
    </xf>
    <xf numFmtId="0" fontId="31" fillId="0" borderId="0" xfId="52" applyFont="1" applyAlignment="1" applyProtection="1">
      <alignment horizontal="justify" vertical="center"/>
      <protection locked="0"/>
    </xf>
    <xf numFmtId="0" fontId="31" fillId="0" borderId="4" xfId="52" applyFont="1" applyBorder="1" applyAlignment="1">
      <alignment vertical="center" wrapText="1"/>
    </xf>
    <xf numFmtId="0" fontId="31" fillId="2" borderId="0" xfId="44" applyFont="1" applyFill="1" applyProtection="1">
      <protection locked="0"/>
    </xf>
    <xf numFmtId="0" fontId="31" fillId="0" borderId="0" xfId="28" applyFont="1" applyAlignment="1" applyProtection="1">
      <alignment horizontal="center" vertical="center"/>
      <protection locked="0"/>
    </xf>
    <xf numFmtId="0" fontId="30" fillId="5" borderId="0" xfId="28" applyFont="1" applyFill="1" applyAlignment="1" applyProtection="1">
      <alignment vertical="center"/>
      <protection locked="0"/>
    </xf>
    <xf numFmtId="173" fontId="31" fillId="2" borderId="0" xfId="44" applyNumberFormat="1" applyFont="1" applyFill="1" applyProtection="1">
      <protection locked="0"/>
    </xf>
    <xf numFmtId="0" fontId="31" fillId="0" borderId="0" xfId="44" applyFont="1" applyProtection="1">
      <protection locked="0"/>
    </xf>
    <xf numFmtId="0" fontId="30" fillId="2" borderId="0" xfId="44" applyFont="1" applyFill="1" applyAlignment="1" applyProtection="1">
      <alignment vertical="center" wrapText="1"/>
      <protection locked="0"/>
    </xf>
    <xf numFmtId="42" fontId="31" fillId="0" borderId="0" xfId="44" applyNumberFormat="1" applyFont="1" applyProtection="1">
      <protection locked="0"/>
    </xf>
    <xf numFmtId="0" fontId="19" fillId="0" borderId="0" xfId="44" applyFont="1" applyAlignment="1" applyProtection="1">
      <alignment wrapText="1"/>
      <protection locked="0"/>
    </xf>
    <xf numFmtId="0" fontId="31" fillId="0" borderId="0" xfId="44" applyFont="1" applyAlignment="1" applyProtection="1">
      <alignment wrapText="1"/>
      <protection locked="0"/>
    </xf>
    <xf numFmtId="0" fontId="30" fillId="0" borderId="0" xfId="28" applyFont="1" applyAlignment="1" applyProtection="1">
      <alignment vertical="center"/>
      <protection locked="0"/>
    </xf>
    <xf numFmtId="0" fontId="30" fillId="0" borderId="0" xfId="28" applyFont="1" applyAlignment="1" applyProtection="1">
      <alignment horizontal="left" vertical="center"/>
      <protection locked="0"/>
    </xf>
    <xf numFmtId="165" fontId="19" fillId="0" borderId="0" xfId="9" applyNumberFormat="1" applyFont="1" applyProtection="1">
      <protection locked="0"/>
    </xf>
    <xf numFmtId="2" fontId="19" fillId="0" borderId="0" xfId="9" applyNumberFormat="1" applyFont="1" applyProtection="1">
      <protection locked="0"/>
    </xf>
    <xf numFmtId="165" fontId="19" fillId="0" borderId="0" xfId="7" applyFont="1" applyProtection="1">
      <protection locked="0"/>
    </xf>
    <xf numFmtId="10" fontId="19" fillId="0" borderId="0" xfId="16" applyNumberFormat="1" applyFont="1" applyProtection="1">
      <protection locked="0"/>
    </xf>
    <xf numFmtId="0" fontId="31" fillId="0" borderId="0" xfId="28" applyFont="1" applyProtection="1">
      <protection locked="0"/>
    </xf>
    <xf numFmtId="0" fontId="31" fillId="2" borderId="0" xfId="36" applyFont="1" applyFill="1" applyProtection="1">
      <protection locked="0"/>
    </xf>
    <xf numFmtId="0" fontId="31" fillId="0" borderId="0" xfId="36" applyFont="1" applyProtection="1">
      <protection locked="0"/>
    </xf>
    <xf numFmtId="10" fontId="31" fillId="0" borderId="0" xfId="38" applyNumberFormat="1" applyFont="1" applyFill="1" applyBorder="1" applyProtection="1">
      <protection locked="0"/>
    </xf>
    <xf numFmtId="0" fontId="20" fillId="14" borderId="30" xfId="9" applyFont="1" applyFill="1" applyBorder="1" applyAlignment="1">
      <alignment horizontal="center" vertical="center" wrapText="1"/>
    </xf>
    <xf numFmtId="0" fontId="20" fillId="14" borderId="24" xfId="9" applyFont="1" applyFill="1" applyBorder="1" applyAlignment="1">
      <alignment horizontal="center" vertical="center" wrapText="1"/>
    </xf>
    <xf numFmtId="0" fontId="30" fillId="14" borderId="0" xfId="28" applyFont="1" applyFill="1" applyAlignment="1" applyProtection="1">
      <alignment vertical="center"/>
      <protection locked="0"/>
    </xf>
    <xf numFmtId="0" fontId="31" fillId="0" borderId="0" xfId="28" applyFont="1" applyAlignment="1" applyProtection="1">
      <alignment vertical="center" wrapText="1"/>
      <protection locked="0"/>
    </xf>
    <xf numFmtId="173" fontId="30" fillId="0" borderId="0" xfId="7" applyNumberFormat="1" applyFont="1" applyFill="1" applyBorder="1" applyAlignment="1" applyProtection="1">
      <alignment horizontal="left" vertical="center"/>
      <protection locked="0"/>
    </xf>
    <xf numFmtId="0" fontId="30" fillId="0" borderId="0" xfId="0" applyFont="1" applyAlignment="1" applyProtection="1">
      <alignment horizontal="left"/>
      <protection locked="0"/>
    </xf>
    <xf numFmtId="169" fontId="30" fillId="0" borderId="0" xfId="7" applyNumberFormat="1" applyFont="1" applyFill="1" applyBorder="1" applyProtection="1">
      <protection locked="0"/>
    </xf>
    <xf numFmtId="9" fontId="30" fillId="0" borderId="0" xfId="16" applyFont="1" applyFill="1" applyBorder="1" applyProtection="1">
      <protection locked="0"/>
    </xf>
    <xf numFmtId="0" fontId="30" fillId="0" borderId="0" xfId="36" applyFont="1" applyProtection="1">
      <protection locked="0"/>
    </xf>
    <xf numFmtId="169" fontId="31" fillId="0" borderId="0" xfId="37" applyNumberFormat="1" applyFont="1" applyFill="1" applyBorder="1" applyProtection="1">
      <protection locked="0"/>
    </xf>
    <xf numFmtId="0" fontId="31" fillId="0" borderId="0" xfId="36" applyFont="1" applyAlignment="1" applyProtection="1">
      <alignment vertical="top" wrapText="1"/>
      <protection locked="0"/>
    </xf>
    <xf numFmtId="169" fontId="31" fillId="2" borderId="0" xfId="37" applyNumberFormat="1" applyFont="1" applyFill="1" applyProtection="1">
      <protection locked="0"/>
    </xf>
    <xf numFmtId="0" fontId="30" fillId="3" borderId="16" xfId="0" applyFont="1" applyFill="1" applyBorder="1" applyAlignment="1">
      <alignment horizontal="center"/>
    </xf>
    <xf numFmtId="0" fontId="30" fillId="3" borderId="4" xfId="0" applyFont="1" applyFill="1" applyBorder="1" applyAlignment="1">
      <alignment horizontal="center"/>
    </xf>
    <xf numFmtId="0" fontId="31" fillId="0" borderId="0" xfId="55" applyFont="1" applyProtection="1">
      <protection locked="0"/>
    </xf>
    <xf numFmtId="0" fontId="30" fillId="5" borderId="16" xfId="55" applyFont="1" applyFill="1" applyBorder="1" applyAlignment="1">
      <alignment horizontal="center" vertical="center"/>
    </xf>
    <xf numFmtId="0" fontId="30" fillId="14" borderId="4" xfId="55" applyFont="1" applyFill="1" applyBorder="1" applyAlignment="1">
      <alignment horizontal="center" vertical="center" wrapText="1"/>
    </xf>
    <xf numFmtId="0" fontId="30" fillId="14" borderId="23" xfId="55" applyFont="1" applyFill="1" applyBorder="1" applyAlignment="1">
      <alignment horizontal="center" vertical="center" wrapText="1"/>
    </xf>
    <xf numFmtId="0" fontId="37" fillId="0" borderId="16" xfId="55" applyFont="1" applyBorder="1" applyAlignment="1">
      <alignment horizontal="left" vertical="center" wrapText="1"/>
    </xf>
    <xf numFmtId="0" fontId="31" fillId="0" borderId="16" xfId="55" applyFont="1" applyBorder="1" applyAlignment="1">
      <alignment horizontal="left" vertical="center"/>
    </xf>
    <xf numFmtId="0" fontId="31" fillId="0" borderId="51" xfId="55" applyFont="1" applyBorder="1" applyAlignment="1">
      <alignment horizontal="left" vertical="center"/>
    </xf>
    <xf numFmtId="0" fontId="31" fillId="2" borderId="0" xfId="34" applyFont="1" applyFill="1" applyProtection="1">
      <protection locked="0"/>
    </xf>
    <xf numFmtId="0" fontId="30" fillId="2" borderId="0" xfId="34" applyFont="1" applyFill="1" applyAlignment="1" applyProtection="1">
      <alignment horizontal="left" vertical="center"/>
      <protection locked="0"/>
    </xf>
    <xf numFmtId="0" fontId="30" fillId="3" borderId="31" xfId="34" applyFont="1" applyFill="1" applyBorder="1" applyAlignment="1" applyProtection="1">
      <alignment horizontal="center" vertical="center"/>
      <protection locked="0"/>
    </xf>
    <xf numFmtId="0" fontId="30" fillId="3" borderId="24" xfId="34" applyFont="1" applyFill="1" applyBorder="1" applyAlignment="1" applyProtection="1">
      <alignment horizontal="center" vertical="center" wrapText="1"/>
      <protection locked="0"/>
    </xf>
    <xf numFmtId="0" fontId="30" fillId="3" borderId="4" xfId="34" applyFont="1" applyFill="1" applyBorder="1" applyAlignment="1" applyProtection="1">
      <alignment horizontal="center" vertical="center"/>
      <protection locked="0"/>
    </xf>
    <xf numFmtId="0" fontId="30" fillId="3" borderId="23" xfId="34" applyFont="1" applyFill="1" applyBorder="1" applyAlignment="1" applyProtection="1">
      <alignment horizontal="center" vertical="center" wrapText="1"/>
      <protection locked="0"/>
    </xf>
    <xf numFmtId="6" fontId="30" fillId="2" borderId="4" xfId="34" applyNumberFormat="1" applyFont="1" applyFill="1" applyBorder="1" applyAlignment="1" applyProtection="1">
      <alignment horizontal="center" vertical="center" wrapText="1"/>
      <protection locked="0"/>
    </xf>
    <xf numFmtId="6" fontId="30" fillId="2" borderId="4" xfId="34" applyNumberFormat="1" applyFont="1" applyFill="1" applyBorder="1" applyAlignment="1" applyProtection="1">
      <alignment horizontal="center" vertical="center"/>
      <protection locked="0"/>
    </xf>
    <xf numFmtId="6" fontId="20" fillId="2" borderId="13" xfId="34" applyNumberFormat="1" applyFont="1" applyFill="1" applyBorder="1" applyAlignment="1" applyProtection="1">
      <alignment horizontal="center" vertical="center" wrapText="1"/>
      <protection locked="0"/>
    </xf>
    <xf numFmtId="6" fontId="19" fillId="2" borderId="14" xfId="34" applyNumberFormat="1" applyFont="1" applyFill="1" applyBorder="1" applyAlignment="1" applyProtection="1">
      <alignment horizontal="center" vertical="center" wrapText="1"/>
      <protection locked="0"/>
    </xf>
    <xf numFmtId="0" fontId="31" fillId="2" borderId="0" xfId="34" applyFont="1" applyFill="1" applyAlignment="1" applyProtection="1">
      <alignment horizontal="justify" vertical="center"/>
      <protection locked="0"/>
    </xf>
    <xf numFmtId="0" fontId="30" fillId="14" borderId="4" xfId="34" applyFont="1" applyFill="1" applyBorder="1" applyAlignment="1">
      <alignment horizontal="center" vertical="center"/>
    </xf>
    <xf numFmtId="0" fontId="30" fillId="14" borderId="23" xfId="34" applyFont="1" applyFill="1" applyBorder="1" applyAlignment="1">
      <alignment horizontal="center" vertical="center"/>
    </xf>
    <xf numFmtId="0" fontId="30" fillId="5" borderId="0" xfId="28" applyFont="1" applyFill="1" applyAlignment="1" applyProtection="1">
      <alignment vertical="center" wrapText="1"/>
      <protection locked="0"/>
    </xf>
    <xf numFmtId="0" fontId="31" fillId="0" borderId="0" xfId="34" applyFont="1" applyProtection="1">
      <protection locked="0"/>
    </xf>
    <xf numFmtId="0" fontId="30" fillId="0" borderId="0" xfId="28" applyFont="1" applyAlignment="1" applyProtection="1">
      <alignment vertical="center" wrapText="1"/>
      <protection locked="0"/>
    </xf>
    <xf numFmtId="0" fontId="30" fillId="0" borderId="0" xfId="28" applyFont="1" applyAlignment="1" applyProtection="1">
      <alignment horizontal="center" vertical="center"/>
      <protection locked="0"/>
    </xf>
    <xf numFmtId="173" fontId="19" fillId="8" borderId="23" xfId="9" applyNumberFormat="1" applyFont="1" applyFill="1" applyBorder="1"/>
    <xf numFmtId="0" fontId="19" fillId="0" borderId="16" xfId="30" applyBorder="1" applyAlignment="1" applyProtection="1">
      <alignment vertical="center" wrapText="1"/>
      <protection locked="0"/>
    </xf>
    <xf numFmtId="0" fontId="19" fillId="0" borderId="16" xfId="9" applyFont="1" applyBorder="1" applyProtection="1">
      <protection locked="0"/>
    </xf>
    <xf numFmtId="0" fontId="19" fillId="0" borderId="51" xfId="9" applyFont="1" applyBorder="1" applyProtection="1">
      <protection locked="0"/>
    </xf>
    <xf numFmtId="173" fontId="19" fillId="0" borderId="13" xfId="7" applyNumberFormat="1" applyFont="1" applyFill="1" applyBorder="1" applyAlignment="1" applyProtection="1">
      <alignment horizontal="center" vertical="center" wrapText="1"/>
      <protection locked="0"/>
    </xf>
    <xf numFmtId="173" fontId="19" fillId="3" borderId="13" xfId="9" applyNumberFormat="1" applyFont="1" applyFill="1" applyBorder="1"/>
    <xf numFmtId="173" fontId="19" fillId="8" borderId="14" xfId="9" applyNumberFormat="1" applyFont="1" applyFill="1" applyBorder="1"/>
    <xf numFmtId="173" fontId="19" fillId="0" borderId="37" xfId="7" applyNumberFormat="1" applyFont="1" applyFill="1" applyBorder="1" applyAlignment="1" applyProtection="1">
      <alignment horizontal="center" vertical="center" wrapText="1"/>
      <protection locked="0"/>
    </xf>
    <xf numFmtId="173" fontId="19" fillId="0" borderId="52" xfId="7" applyNumberFormat="1" applyFont="1" applyFill="1" applyBorder="1" applyAlignment="1" applyProtection="1">
      <alignment horizontal="center" vertical="center" wrapText="1"/>
      <protection locked="0"/>
    </xf>
    <xf numFmtId="173" fontId="19" fillId="3" borderId="16" xfId="9" applyNumberFormat="1" applyFont="1" applyFill="1" applyBorder="1"/>
    <xf numFmtId="173" fontId="19" fillId="3" borderId="51" xfId="9" applyNumberFormat="1" applyFont="1" applyFill="1" applyBorder="1"/>
    <xf numFmtId="173" fontId="19" fillId="0" borderId="5" xfId="7" applyNumberFormat="1" applyFont="1" applyFill="1" applyBorder="1" applyAlignment="1" applyProtection="1">
      <alignment horizontal="center" vertical="center" wrapText="1"/>
      <protection locked="0"/>
    </xf>
    <xf numFmtId="173" fontId="19" fillId="0" borderId="43" xfId="7" applyNumberFormat="1" applyFont="1" applyFill="1" applyBorder="1" applyAlignment="1" applyProtection="1">
      <alignment horizontal="center" vertical="center" wrapText="1"/>
      <protection locked="0"/>
    </xf>
    <xf numFmtId="173" fontId="19" fillId="3" borderId="53" xfId="9" applyNumberFormat="1" applyFont="1" applyFill="1" applyBorder="1"/>
    <xf numFmtId="173" fontId="19" fillId="3" borderId="5" xfId="9" applyNumberFormat="1" applyFont="1" applyFill="1" applyBorder="1"/>
    <xf numFmtId="173" fontId="19" fillId="8" borderId="6" xfId="9" applyNumberFormat="1" applyFont="1" applyFill="1" applyBorder="1"/>
    <xf numFmtId="0" fontId="20" fillId="3" borderId="1" xfId="30" applyFont="1" applyFill="1" applyBorder="1" applyAlignment="1" applyProtection="1">
      <alignment horizontal="center" vertical="center" wrapText="1"/>
      <protection locked="0"/>
    </xf>
    <xf numFmtId="0" fontId="20" fillId="3" borderId="2" xfId="30" applyFont="1" applyFill="1" applyBorder="1" applyAlignment="1" applyProtection="1">
      <alignment horizontal="center" vertical="center" wrapText="1"/>
      <protection locked="0"/>
    </xf>
    <xf numFmtId="0" fontId="20" fillId="3" borderId="70" xfId="30" applyFont="1" applyFill="1" applyBorder="1" applyAlignment="1" applyProtection="1">
      <alignment horizontal="center" vertical="center" wrapText="1"/>
      <protection locked="0"/>
    </xf>
    <xf numFmtId="0" fontId="20" fillId="14" borderId="1" xfId="9" applyFont="1" applyFill="1" applyBorder="1" applyAlignment="1">
      <alignment horizontal="center" vertical="center" wrapText="1"/>
    </xf>
    <xf numFmtId="0" fontId="20" fillId="14" borderId="2" xfId="9" applyFont="1" applyFill="1" applyBorder="1" applyAlignment="1">
      <alignment horizontal="center" vertical="center" wrapText="1"/>
    </xf>
    <xf numFmtId="0" fontId="20" fillId="14" borderId="3" xfId="9" applyFont="1" applyFill="1" applyBorder="1" applyAlignment="1">
      <alignment horizontal="center" vertical="center" wrapText="1"/>
    </xf>
    <xf numFmtId="0" fontId="20" fillId="3" borderId="51" xfId="30" applyFont="1" applyFill="1" applyBorder="1" applyAlignment="1" applyProtection="1">
      <alignment horizontal="center" vertical="center" wrapText="1"/>
      <protection locked="0"/>
    </xf>
    <xf numFmtId="0" fontId="20" fillId="3" borderId="13" xfId="30" applyFont="1" applyFill="1" applyBorder="1" applyAlignment="1" applyProtection="1">
      <alignment horizontal="center" vertical="center" wrapText="1"/>
      <protection locked="0"/>
    </xf>
    <xf numFmtId="0" fontId="20" fillId="3" borderId="14" xfId="30" applyFont="1" applyFill="1" applyBorder="1" applyAlignment="1" applyProtection="1">
      <alignment horizontal="center" vertical="center" wrapText="1"/>
      <protection locked="0"/>
    </xf>
    <xf numFmtId="0" fontId="20" fillId="3" borderId="3" xfId="30" applyFont="1" applyFill="1" applyBorder="1" applyAlignment="1" applyProtection="1">
      <alignment horizontal="center" vertical="center" wrapText="1"/>
      <protection locked="0"/>
    </xf>
    <xf numFmtId="0" fontId="18" fillId="0" borderId="5" xfId="9" applyBorder="1" applyProtection="1">
      <protection locked="0"/>
    </xf>
    <xf numFmtId="0" fontId="19" fillId="0" borderId="0" xfId="9" applyFont="1" applyAlignment="1" applyProtection="1">
      <alignment horizontal="left" vertical="center"/>
      <protection locked="0"/>
    </xf>
    <xf numFmtId="0" fontId="38" fillId="0" borderId="0" xfId="57" applyAlignment="1" applyProtection="1">
      <alignment vertical="center"/>
      <protection locked="0"/>
    </xf>
    <xf numFmtId="167" fontId="23" fillId="4" borderId="6" xfId="8" applyNumberFormat="1" applyFont="1" applyFill="1" applyBorder="1" applyAlignment="1" applyProtection="1">
      <alignment horizontal="right" vertical="center" wrapText="1"/>
      <protection locked="0"/>
    </xf>
    <xf numFmtId="0" fontId="23" fillId="0" borderId="0" xfId="21" applyFont="1" applyAlignment="1">
      <alignment horizontal="left" vertical="center"/>
    </xf>
    <xf numFmtId="0" fontId="30" fillId="3" borderId="1" xfId="21" applyFont="1" applyFill="1" applyBorder="1" applyAlignment="1" applyProtection="1">
      <alignment vertical="center" wrapText="1"/>
      <protection locked="0"/>
    </xf>
    <xf numFmtId="0" fontId="23" fillId="0" borderId="0" xfId="21" applyFont="1" applyAlignment="1" applyProtection="1">
      <alignment horizontal="right" vertical="center"/>
      <protection locked="0"/>
    </xf>
    <xf numFmtId="10" fontId="23" fillId="0" borderId="0" xfId="16" applyNumberFormat="1" applyFont="1" applyFill="1" applyBorder="1" applyAlignment="1" applyProtection="1">
      <alignment horizontal="right" vertical="center" wrapText="1"/>
    </xf>
    <xf numFmtId="10" fontId="30" fillId="3" borderId="27" xfId="16" applyNumberFormat="1" applyFont="1" applyFill="1" applyBorder="1" applyAlignment="1" applyProtection="1">
      <alignment vertical="center"/>
      <protection locked="0"/>
    </xf>
    <xf numFmtId="173" fontId="30" fillId="3" borderId="58" xfId="7" applyNumberFormat="1" applyFont="1" applyFill="1" applyBorder="1" applyAlignment="1" applyProtection="1">
      <alignment vertical="center"/>
      <protection locked="0"/>
    </xf>
    <xf numFmtId="0" fontId="20" fillId="5" borderId="4" xfId="14" applyFont="1" applyFill="1" applyBorder="1" applyAlignment="1" applyProtection="1">
      <alignment horizontal="center" vertical="center" wrapText="1"/>
      <protection locked="0"/>
    </xf>
    <xf numFmtId="0" fontId="30" fillId="5" borderId="16" xfId="9" applyFont="1" applyFill="1" applyBorder="1" applyAlignment="1" applyProtection="1">
      <alignment horizontal="center" vertical="center" wrapText="1"/>
      <protection locked="0"/>
    </xf>
    <xf numFmtId="165" fontId="19" fillId="0" borderId="4" xfId="7" applyFont="1" applyFill="1" applyBorder="1" applyAlignment="1" applyProtection="1">
      <alignment horizontal="left" vertical="center" wrapText="1"/>
      <protection locked="0"/>
    </xf>
    <xf numFmtId="0" fontId="19" fillId="0" borderId="16" xfId="9" applyFont="1" applyBorder="1" applyAlignment="1" applyProtection="1">
      <alignment horizontal="left" vertical="center" wrapText="1"/>
      <protection locked="0"/>
    </xf>
    <xf numFmtId="165" fontId="20" fillId="0" borderId="0" xfId="7" applyFont="1" applyFill="1" applyBorder="1" applyAlignment="1" applyProtection="1">
      <alignment vertical="center" wrapText="1"/>
      <protection locked="0"/>
    </xf>
    <xf numFmtId="10" fontId="19" fillId="3" borderId="4" xfId="14" applyNumberFormat="1" applyFill="1" applyBorder="1" applyAlignment="1" applyProtection="1">
      <alignment vertical="center"/>
      <protection locked="0"/>
    </xf>
    <xf numFmtId="10" fontId="19" fillId="3" borderId="23" xfId="14" applyNumberFormat="1" applyFill="1" applyBorder="1" applyAlignment="1" applyProtection="1">
      <alignment vertical="center"/>
      <protection locked="0"/>
    </xf>
    <xf numFmtId="9" fontId="19" fillId="3" borderId="23" xfId="14" applyNumberFormat="1" applyFill="1" applyBorder="1" applyAlignment="1" applyProtection="1">
      <alignment vertical="center"/>
      <protection locked="0"/>
    </xf>
    <xf numFmtId="9" fontId="19" fillId="3" borderId="13" xfId="14" applyNumberFormat="1" applyFill="1" applyBorder="1" applyAlignment="1" applyProtection="1">
      <alignment vertical="center"/>
      <protection locked="0"/>
    </xf>
    <xf numFmtId="9" fontId="19" fillId="3" borderId="14" xfId="14" applyNumberFormat="1" applyFill="1" applyBorder="1" applyAlignment="1" applyProtection="1">
      <alignment vertical="center"/>
      <protection locked="0"/>
    </xf>
    <xf numFmtId="165" fontId="20" fillId="5" borderId="23" xfId="14" applyNumberFormat="1" applyFont="1" applyFill="1" applyBorder="1" applyAlignment="1" applyProtection="1">
      <alignment horizontal="center" vertical="center" wrapText="1"/>
      <protection locked="0"/>
    </xf>
    <xf numFmtId="0" fontId="19" fillId="0" borderId="23" xfId="14" applyBorder="1" applyAlignment="1" applyProtection="1">
      <alignment vertical="center"/>
      <protection locked="0"/>
    </xf>
    <xf numFmtId="9" fontId="20" fillId="5" borderId="14" xfId="16" applyFont="1" applyFill="1" applyBorder="1" applyAlignment="1" applyProtection="1">
      <alignment vertical="center"/>
      <protection locked="0"/>
    </xf>
    <xf numFmtId="0" fontId="20" fillId="6" borderId="1" xfId="9" applyFont="1" applyFill="1" applyBorder="1" applyAlignment="1" applyProtection="1">
      <alignment horizontal="left" vertical="center" wrapText="1"/>
      <protection locked="0"/>
    </xf>
    <xf numFmtId="0" fontId="20" fillId="6" borderId="2" xfId="9" applyFont="1" applyFill="1" applyBorder="1" applyAlignment="1" applyProtection="1">
      <alignment horizontal="left" vertical="center" wrapText="1"/>
      <protection locked="0"/>
    </xf>
    <xf numFmtId="173" fontId="20" fillId="5" borderId="13" xfId="7" applyNumberFormat="1" applyFont="1" applyFill="1" applyBorder="1" applyAlignment="1" applyProtection="1">
      <alignment horizontal="left" vertical="center" wrapText="1"/>
      <protection locked="0"/>
    </xf>
    <xf numFmtId="173" fontId="20" fillId="5" borderId="14" xfId="7" applyNumberFormat="1" applyFont="1" applyFill="1" applyBorder="1" applyAlignment="1" applyProtection="1">
      <alignment horizontal="left" vertical="center" wrapText="1"/>
      <protection locked="0"/>
    </xf>
    <xf numFmtId="0" fontId="19" fillId="0" borderId="4" xfId="9" applyFont="1" applyBorder="1" applyAlignment="1" applyProtection="1">
      <alignment vertical="center"/>
      <protection locked="0"/>
    </xf>
    <xf numFmtId="0" fontId="19" fillId="0" borderId="16" xfId="9" applyFont="1" applyBorder="1" applyAlignment="1" applyProtection="1">
      <alignment vertical="center"/>
      <protection locked="0"/>
    </xf>
    <xf numFmtId="0" fontId="19" fillId="0" borderId="51" xfId="9" applyFont="1" applyBorder="1" applyAlignment="1" applyProtection="1">
      <alignment vertical="center"/>
      <protection locked="0"/>
    </xf>
    <xf numFmtId="0" fontId="19" fillId="0" borderId="13" xfId="9" applyFont="1" applyBorder="1" applyAlignment="1" applyProtection="1">
      <alignment vertical="center"/>
      <protection locked="0"/>
    </xf>
    <xf numFmtId="173" fontId="19" fillId="0" borderId="13" xfId="9" applyNumberFormat="1" applyFont="1" applyBorder="1" applyAlignment="1" applyProtection="1">
      <alignment vertical="center"/>
      <protection locked="0"/>
    </xf>
    <xf numFmtId="9" fontId="19" fillId="0" borderId="23" xfId="16" applyFont="1" applyBorder="1" applyAlignment="1" applyProtection="1">
      <alignment vertical="center"/>
      <protection hidden="1"/>
    </xf>
    <xf numFmtId="9" fontId="19" fillId="0" borderId="14" xfId="16" applyFont="1" applyBorder="1" applyAlignment="1" applyProtection="1">
      <alignment vertical="center"/>
      <protection hidden="1"/>
    </xf>
    <xf numFmtId="0" fontId="23" fillId="3" borderId="30" xfId="9" applyFont="1" applyFill="1" applyBorder="1" applyAlignment="1" applyProtection="1">
      <alignment horizontal="center" vertical="center" wrapText="1"/>
      <protection locked="0"/>
    </xf>
    <xf numFmtId="0" fontId="23" fillId="3" borderId="31" xfId="9" applyFont="1" applyFill="1" applyBorder="1" applyAlignment="1" applyProtection="1">
      <alignment horizontal="center" vertical="center" wrapText="1"/>
      <protection locked="0"/>
    </xf>
    <xf numFmtId="0" fontId="23" fillId="14" borderId="24" xfId="9" applyFont="1" applyFill="1" applyBorder="1" applyAlignment="1" applyProtection="1">
      <alignment horizontal="center" vertical="center" wrapText="1"/>
      <protection hidden="1"/>
    </xf>
    <xf numFmtId="167" fontId="19" fillId="0" borderId="0" xfId="9" applyNumberFormat="1" applyFont="1" applyAlignment="1" applyProtection="1">
      <alignment horizontal="left" vertical="center"/>
      <protection locked="0"/>
    </xf>
    <xf numFmtId="0" fontId="38" fillId="0" borderId="0" xfId="57" applyFill="1" applyAlignment="1" applyProtection="1">
      <alignment vertical="center"/>
      <protection locked="0"/>
    </xf>
    <xf numFmtId="1" fontId="19" fillId="0" borderId="0" xfId="14" applyNumberFormat="1" applyAlignment="1" applyProtection="1">
      <alignment vertical="center"/>
      <protection locked="0"/>
    </xf>
    <xf numFmtId="0" fontId="38" fillId="3" borderId="58" xfId="57" applyFill="1" applyBorder="1" applyAlignment="1" applyProtection="1">
      <alignment vertical="center"/>
      <protection locked="0"/>
    </xf>
    <xf numFmtId="0" fontId="38" fillId="0" borderId="0" xfId="57" applyFill="1" applyBorder="1" applyAlignment="1" applyProtection="1">
      <alignment vertical="center"/>
      <protection locked="0"/>
    </xf>
    <xf numFmtId="9" fontId="19" fillId="0" borderId="37" xfId="16" applyFont="1" applyFill="1" applyBorder="1" applyAlignment="1" applyProtection="1">
      <alignment horizontal="right" vertical="center" wrapText="1"/>
      <protection locked="0"/>
    </xf>
    <xf numFmtId="173" fontId="19" fillId="0" borderId="16" xfId="7" applyNumberFormat="1" applyFont="1" applyFill="1" applyBorder="1" applyAlignment="1" applyProtection="1">
      <alignment horizontal="left" vertical="center" wrapText="1"/>
      <protection locked="0"/>
    </xf>
    <xf numFmtId="173" fontId="20" fillId="5" borderId="51" xfId="7" applyNumberFormat="1" applyFont="1" applyFill="1" applyBorder="1" applyAlignment="1" applyProtection="1">
      <alignment horizontal="left" vertical="center" wrapText="1"/>
      <protection locked="0"/>
    </xf>
    <xf numFmtId="0" fontId="38" fillId="0" borderId="0" xfId="57" applyFill="1" applyBorder="1" applyProtection="1">
      <protection locked="0"/>
    </xf>
    <xf numFmtId="0" fontId="34" fillId="5" borderId="37" xfId="9" applyFont="1" applyFill="1" applyBorder="1" applyAlignment="1" applyProtection="1">
      <alignment horizontal="center" vertical="center" wrapText="1"/>
      <protection locked="0"/>
    </xf>
    <xf numFmtId="0" fontId="23" fillId="0" borderId="9" xfId="9" applyFont="1" applyBorder="1" applyAlignment="1" applyProtection="1">
      <alignment horizontal="right" vertical="center"/>
      <protection locked="0"/>
    </xf>
    <xf numFmtId="0" fontId="19" fillId="0" borderId="48" xfId="9" applyFont="1" applyBorder="1" applyAlignment="1" applyProtection="1">
      <alignment vertical="center"/>
      <protection locked="0"/>
    </xf>
    <xf numFmtId="0" fontId="19" fillId="0" borderId="23" xfId="9" applyFont="1" applyBorder="1" applyAlignment="1" applyProtection="1">
      <alignment vertical="center"/>
      <protection locked="0"/>
    </xf>
    <xf numFmtId="0" fontId="20" fillId="5" borderId="16" xfId="9" applyFont="1" applyFill="1" applyBorder="1" applyAlignment="1" applyProtection="1">
      <alignment horizontal="center" vertical="center"/>
      <protection locked="0"/>
    </xf>
    <xf numFmtId="0" fontId="20" fillId="5" borderId="4" xfId="9" applyFont="1" applyFill="1" applyBorder="1" applyAlignment="1" applyProtection="1">
      <alignment horizontal="center" vertical="center"/>
      <protection locked="0"/>
    </xf>
    <xf numFmtId="0" fontId="20" fillId="5" borderId="23" xfId="9" applyFont="1" applyFill="1" applyBorder="1" applyAlignment="1" applyProtection="1">
      <alignment horizontal="center" vertical="center"/>
      <protection locked="0"/>
    </xf>
    <xf numFmtId="0" fontId="19" fillId="0" borderId="14" xfId="9" applyFont="1" applyBorder="1" applyAlignment="1" applyProtection="1">
      <alignment vertical="center"/>
      <protection locked="0"/>
    </xf>
    <xf numFmtId="0" fontId="19" fillId="0" borderId="0" xfId="21" applyFont="1" applyAlignment="1" applyProtection="1">
      <alignment vertical="center"/>
      <protection locked="0"/>
    </xf>
    <xf numFmtId="165" fontId="19" fillId="0" borderId="0" xfId="7" applyFont="1" applyFill="1" applyAlignment="1" applyProtection="1">
      <alignment vertical="center"/>
      <protection locked="0"/>
    </xf>
    <xf numFmtId="0" fontId="20" fillId="3" borderId="4" xfId="0" applyFont="1" applyFill="1" applyBorder="1" applyAlignment="1">
      <alignment horizontal="center" vertical="center" wrapText="1" readingOrder="1"/>
    </xf>
    <xf numFmtId="0" fontId="20" fillId="3" borderId="4" xfId="0" applyFont="1" applyFill="1" applyBorder="1" applyAlignment="1">
      <alignment horizontal="justify" vertical="center" wrapText="1" readingOrder="1"/>
    </xf>
    <xf numFmtId="0" fontId="31" fillId="0" borderId="0" xfId="21" applyFont="1" applyAlignment="1" applyProtection="1">
      <alignment horizontal="justify" vertical="center" wrapText="1"/>
      <protection locked="0"/>
    </xf>
    <xf numFmtId="0" fontId="19" fillId="0" borderId="9" xfId="0" applyFont="1" applyBorder="1" applyAlignment="1">
      <alignment horizontal="justify" vertical="top" wrapText="1"/>
    </xf>
    <xf numFmtId="165" fontId="31" fillId="0" borderId="48" xfId="7" applyFont="1" applyFill="1" applyBorder="1" applyAlignment="1" applyProtection="1">
      <alignment horizontal="justify" vertical="center" wrapText="1"/>
      <protection locked="0"/>
    </xf>
    <xf numFmtId="0" fontId="31" fillId="0" borderId="0" xfId="21" applyFont="1" applyAlignment="1" applyProtection="1">
      <alignment horizontal="justify" vertical="center"/>
      <protection locked="0"/>
    </xf>
    <xf numFmtId="0" fontId="31" fillId="0" borderId="4" xfId="21" applyFont="1" applyBorder="1" applyAlignment="1" applyProtection="1">
      <alignment vertical="center"/>
      <protection locked="0"/>
    </xf>
    <xf numFmtId="0" fontId="31" fillId="0" borderId="23" xfId="21" applyFont="1" applyBorder="1" applyAlignment="1" applyProtection="1">
      <alignment vertical="center"/>
      <protection locked="0"/>
    </xf>
    <xf numFmtId="0" fontId="50" fillId="0" borderId="0" xfId="57" applyFont="1" applyFill="1" applyAlignment="1" applyProtection="1">
      <alignment vertical="center"/>
      <protection locked="0"/>
    </xf>
    <xf numFmtId="14" fontId="31" fillId="0" borderId="4" xfId="21" applyNumberFormat="1" applyFont="1" applyBorder="1" applyAlignment="1" applyProtection="1">
      <alignment vertical="center"/>
      <protection locked="0"/>
    </xf>
    <xf numFmtId="0" fontId="31" fillId="0" borderId="16" xfId="21" applyFont="1" applyBorder="1" applyAlignment="1" applyProtection="1">
      <alignment horizontal="justify" vertical="center"/>
      <protection locked="0"/>
    </xf>
    <xf numFmtId="0" fontId="31" fillId="0" borderId="23" xfId="21" applyFont="1" applyBorder="1" applyAlignment="1" applyProtection="1">
      <alignment horizontal="justify" vertical="center"/>
      <protection locked="0"/>
    </xf>
    <xf numFmtId="0" fontId="31" fillId="0" borderId="23" xfId="21" applyFont="1" applyBorder="1" applyAlignment="1" applyProtection="1">
      <alignment horizontal="justify" vertical="center" wrapText="1"/>
      <protection locked="0"/>
    </xf>
    <xf numFmtId="0" fontId="31" fillId="0" borderId="51" xfId="21" applyFont="1" applyBorder="1" applyAlignment="1" applyProtection="1">
      <alignment horizontal="justify" vertical="center"/>
      <protection locked="0"/>
    </xf>
    <xf numFmtId="0" fontId="31" fillId="0" borderId="14" xfId="21" applyFont="1" applyBorder="1" applyAlignment="1" applyProtection="1">
      <alignment horizontal="justify" vertical="center" wrapText="1"/>
      <protection locked="0"/>
    </xf>
    <xf numFmtId="0" fontId="30" fillId="3" borderId="53" xfId="21" applyFont="1" applyFill="1" applyBorder="1" applyAlignment="1" applyProtection="1">
      <alignment horizontal="center" vertical="center"/>
      <protection locked="0"/>
    </xf>
    <xf numFmtId="0" fontId="30" fillId="3" borderId="5" xfId="21" applyFont="1" applyFill="1" applyBorder="1" applyAlignment="1" applyProtection="1">
      <alignment horizontal="center" vertical="center"/>
      <protection locked="0"/>
    </xf>
    <xf numFmtId="0" fontId="30" fillId="3" borderId="6" xfId="21" applyFont="1" applyFill="1" applyBorder="1" applyAlignment="1" applyProtection="1">
      <alignment horizontal="center" vertical="center"/>
      <protection locked="0"/>
    </xf>
    <xf numFmtId="0" fontId="50" fillId="0" borderId="23" xfId="57" applyFont="1" applyFill="1" applyBorder="1" applyAlignment="1" applyProtection="1">
      <alignment vertical="center"/>
      <protection locked="0"/>
    </xf>
    <xf numFmtId="0" fontId="50" fillId="0" borderId="14" xfId="57" applyFont="1" applyFill="1" applyBorder="1" applyAlignment="1" applyProtection="1">
      <alignment vertical="center"/>
      <protection locked="0"/>
    </xf>
    <xf numFmtId="0" fontId="31" fillId="0" borderId="16" xfId="21" applyFont="1" applyBorder="1" applyAlignment="1" applyProtection="1">
      <alignment vertical="center"/>
      <protection locked="0"/>
    </xf>
    <xf numFmtId="0" fontId="31" fillId="0" borderId="51" xfId="21" applyFont="1" applyBorder="1" applyAlignment="1" applyProtection="1">
      <alignment vertical="center"/>
      <protection locked="0"/>
    </xf>
    <xf numFmtId="14" fontId="31" fillId="0" borderId="13" xfId="21" applyNumberFormat="1" applyFont="1" applyBorder="1" applyAlignment="1" applyProtection="1">
      <alignment vertical="center"/>
      <protection locked="0"/>
    </xf>
    <xf numFmtId="0" fontId="31" fillId="0" borderId="13" xfId="21" applyFont="1" applyBorder="1" applyAlignment="1" applyProtection="1">
      <alignment vertical="center"/>
      <protection locked="0"/>
    </xf>
    <xf numFmtId="0" fontId="31" fillId="0" borderId="4" xfId="21" applyFont="1" applyBorder="1" applyAlignment="1" applyProtection="1">
      <alignment horizontal="right" vertical="center"/>
      <protection locked="0"/>
    </xf>
    <xf numFmtId="0" fontId="31" fillId="0" borderId="14" xfId="21" applyFont="1" applyBorder="1" applyAlignment="1" applyProtection="1">
      <alignment vertical="center"/>
      <protection locked="0"/>
    </xf>
    <xf numFmtId="0" fontId="31" fillId="0" borderId="16" xfId="21" applyFont="1" applyBorder="1" applyAlignment="1" applyProtection="1">
      <alignment vertical="center" wrapText="1"/>
      <protection locked="0"/>
    </xf>
    <xf numFmtId="14" fontId="31" fillId="0" borderId="4" xfId="21" applyNumberFormat="1" applyFont="1" applyBorder="1" applyAlignment="1" applyProtection="1">
      <alignment horizontal="right" vertical="center"/>
      <protection locked="0"/>
    </xf>
    <xf numFmtId="14" fontId="31" fillId="0" borderId="13" xfId="21" applyNumberFormat="1" applyFont="1" applyBorder="1" applyAlignment="1" applyProtection="1">
      <alignment horizontal="right" vertical="center"/>
      <protection locked="0"/>
    </xf>
    <xf numFmtId="167" fontId="23" fillId="5" borderId="14" xfId="8" applyNumberFormat="1" applyFont="1" applyFill="1" applyBorder="1" applyAlignment="1" applyProtection="1">
      <alignment horizontal="right" vertical="center" wrapText="1"/>
      <protection locked="0"/>
    </xf>
    <xf numFmtId="0" fontId="30" fillId="5" borderId="30" xfId="9" applyFont="1" applyFill="1" applyBorder="1" applyAlignment="1" applyProtection="1">
      <alignment horizontal="center" vertical="center" wrapText="1"/>
      <protection locked="0"/>
    </xf>
    <xf numFmtId="0" fontId="30" fillId="5" borderId="31" xfId="9" applyFont="1" applyFill="1" applyBorder="1" applyAlignment="1" applyProtection="1">
      <alignment horizontal="center" vertical="center" wrapText="1"/>
      <protection locked="0"/>
    </xf>
    <xf numFmtId="0" fontId="30" fillId="5" borderId="24" xfId="9" applyFont="1" applyFill="1" applyBorder="1" applyAlignment="1" applyProtection="1">
      <alignment horizontal="center" vertical="center" wrapText="1"/>
      <protection locked="0"/>
    </xf>
    <xf numFmtId="0" fontId="20" fillId="5" borderId="58" xfId="30" applyFont="1" applyFill="1" applyBorder="1" applyAlignment="1" applyProtection="1">
      <alignment horizontal="left" vertical="center" wrapText="1"/>
      <protection locked="0"/>
    </xf>
    <xf numFmtId="165" fontId="19" fillId="0" borderId="4" xfId="7" applyFont="1" applyFill="1" applyBorder="1" applyAlignment="1" applyProtection="1">
      <alignment horizontal="center" vertical="center" wrapText="1"/>
      <protection locked="0"/>
    </xf>
    <xf numFmtId="167" fontId="23" fillId="3" borderId="23" xfId="8" applyNumberFormat="1" applyFont="1" applyFill="1" applyBorder="1" applyAlignment="1" applyProtection="1">
      <alignment horizontal="right" vertical="center" wrapText="1"/>
      <protection locked="0"/>
    </xf>
    <xf numFmtId="165" fontId="19" fillId="0" borderId="23" xfId="7" applyFont="1" applyFill="1" applyBorder="1" applyAlignment="1" applyProtection="1">
      <alignment vertical="center"/>
      <protection locked="0"/>
    </xf>
    <xf numFmtId="0" fontId="23" fillId="0" borderId="66" xfId="21" applyFont="1" applyBorder="1" applyAlignment="1" applyProtection="1">
      <alignment horizontal="left" vertical="center"/>
      <protection locked="0"/>
    </xf>
    <xf numFmtId="0" fontId="23" fillId="0" borderId="58" xfId="21" applyFont="1" applyBorder="1" applyAlignment="1" applyProtection="1">
      <alignment horizontal="left" vertical="center"/>
      <protection locked="0"/>
    </xf>
    <xf numFmtId="0" fontId="38" fillId="0" borderId="0" xfId="57" applyBorder="1" applyProtection="1">
      <protection locked="0"/>
    </xf>
    <xf numFmtId="173" fontId="19" fillId="0" borderId="4" xfId="7" applyNumberFormat="1" applyFont="1" applyFill="1" applyBorder="1" applyAlignment="1" applyProtection="1">
      <alignment horizontal="left" vertical="center" wrapText="1"/>
      <protection hidden="1"/>
    </xf>
    <xf numFmtId="0" fontId="38" fillId="0" borderId="0" xfId="57" applyAlignment="1" applyProtection="1">
      <alignment horizontal="left" vertical="center"/>
      <protection locked="0"/>
    </xf>
    <xf numFmtId="0" fontId="38" fillId="0" borderId="0" xfId="57" applyFill="1" applyBorder="1" applyAlignment="1" applyProtection="1">
      <alignment horizontal="left" vertical="center"/>
      <protection locked="0"/>
    </xf>
    <xf numFmtId="10" fontId="31" fillId="0" borderId="23" xfId="20" applyNumberFormat="1" applyFont="1" applyFill="1" applyBorder="1" applyAlignment="1" applyProtection="1">
      <alignment vertical="center"/>
      <protection hidden="1"/>
    </xf>
    <xf numFmtId="10" fontId="23" fillId="5" borderId="14" xfId="16" applyNumberFormat="1" applyFont="1" applyFill="1" applyBorder="1" applyAlignment="1" applyProtection="1">
      <alignment horizontal="right" vertical="center" wrapText="1"/>
      <protection hidden="1"/>
    </xf>
    <xf numFmtId="0" fontId="30" fillId="14" borderId="4" xfId="44" applyFont="1" applyFill="1" applyBorder="1" applyAlignment="1">
      <alignment horizontal="center" vertical="center" wrapText="1"/>
    </xf>
    <xf numFmtId="173" fontId="31" fillId="2" borderId="4" xfId="44" applyNumberFormat="1" applyFont="1" applyFill="1" applyBorder="1" applyProtection="1">
      <protection hidden="1"/>
    </xf>
    <xf numFmtId="42" fontId="31" fillId="2" borderId="4" xfId="44" applyNumberFormat="1" applyFont="1" applyFill="1" applyBorder="1" applyProtection="1">
      <protection hidden="1"/>
    </xf>
    <xf numFmtId="0" fontId="19" fillId="0" borderId="16" xfId="9" applyFont="1" applyBorder="1" applyProtection="1">
      <protection hidden="1"/>
    </xf>
    <xf numFmtId="0" fontId="19" fillId="0" borderId="51" xfId="9" applyFont="1" applyBorder="1" applyProtection="1">
      <protection hidden="1"/>
    </xf>
    <xf numFmtId="0" fontId="30" fillId="7" borderId="5" xfId="7" applyNumberFormat="1" applyFont="1" applyFill="1" applyBorder="1" applyAlignment="1" applyProtection="1">
      <alignment horizontal="right"/>
      <protection hidden="1"/>
    </xf>
    <xf numFmtId="0" fontId="30" fillId="11" borderId="5" xfId="7" applyNumberFormat="1" applyFont="1" applyFill="1" applyBorder="1" applyAlignment="1" applyProtection="1">
      <alignment horizontal="right"/>
      <protection hidden="1"/>
    </xf>
    <xf numFmtId="0" fontId="30" fillId="11" borderId="6" xfId="7" applyNumberFormat="1" applyFont="1" applyFill="1" applyBorder="1" applyAlignment="1" applyProtection="1">
      <alignment horizontal="right"/>
      <protection hidden="1"/>
    </xf>
    <xf numFmtId="173" fontId="31" fillId="7" borderId="4" xfId="7" applyNumberFormat="1" applyFont="1" applyFill="1" applyBorder="1" applyAlignment="1" applyProtection="1">
      <alignment horizontal="right"/>
      <protection hidden="1"/>
    </xf>
    <xf numFmtId="173" fontId="31" fillId="11" borderId="4" xfId="7" applyNumberFormat="1" applyFont="1" applyFill="1" applyBorder="1" applyAlignment="1" applyProtection="1">
      <alignment horizontal="right"/>
      <protection hidden="1"/>
    </xf>
    <xf numFmtId="173" fontId="31" fillId="11" borderId="23" xfId="7" applyNumberFormat="1" applyFont="1" applyFill="1" applyBorder="1" applyAlignment="1" applyProtection="1">
      <alignment horizontal="right"/>
      <protection hidden="1"/>
    </xf>
    <xf numFmtId="169" fontId="30" fillId="7" borderId="4" xfId="7" applyNumberFormat="1" applyFont="1" applyFill="1" applyBorder="1" applyProtection="1">
      <protection hidden="1"/>
    </xf>
    <xf numFmtId="169" fontId="30" fillId="11" borderId="4" xfId="7" applyNumberFormat="1" applyFont="1" applyFill="1" applyBorder="1" applyProtection="1">
      <protection hidden="1"/>
    </xf>
    <xf numFmtId="169" fontId="30" fillId="11" borderId="23" xfId="7" applyNumberFormat="1" applyFont="1" applyFill="1" applyBorder="1" applyProtection="1">
      <protection hidden="1"/>
    </xf>
    <xf numFmtId="169" fontId="30" fillId="3" borderId="4" xfId="7" applyNumberFormat="1" applyFont="1" applyFill="1" applyBorder="1" applyAlignment="1" applyProtection="1">
      <alignment horizontal="center"/>
      <protection hidden="1"/>
    </xf>
    <xf numFmtId="169" fontId="30" fillId="3" borderId="23" xfId="7" applyNumberFormat="1" applyFont="1" applyFill="1" applyBorder="1" applyAlignment="1" applyProtection="1">
      <alignment horizontal="center"/>
      <protection hidden="1"/>
    </xf>
    <xf numFmtId="0" fontId="30" fillId="3" borderId="4" xfId="0" applyFont="1" applyFill="1" applyBorder="1" applyProtection="1">
      <protection hidden="1"/>
    </xf>
    <xf numFmtId="0" fontId="30" fillId="3" borderId="23" xfId="0" applyFont="1" applyFill="1" applyBorder="1" applyProtection="1">
      <protection hidden="1"/>
    </xf>
    <xf numFmtId="169" fontId="31" fillId="0" borderId="4" xfId="7" applyNumberFormat="1" applyFont="1" applyBorder="1" applyProtection="1">
      <protection hidden="1"/>
    </xf>
    <xf numFmtId="169" fontId="31" fillId="0" borderId="23" xfId="7" applyNumberFormat="1" applyFont="1" applyBorder="1" applyProtection="1">
      <protection hidden="1"/>
    </xf>
    <xf numFmtId="169" fontId="31" fillId="3" borderId="4" xfId="7" applyNumberFormat="1" applyFont="1" applyFill="1" applyBorder="1" applyProtection="1">
      <protection hidden="1"/>
    </xf>
    <xf numFmtId="169" fontId="31" fillId="3" borderId="23" xfId="7" applyNumberFormat="1" applyFont="1" applyFill="1" applyBorder="1" applyProtection="1">
      <protection hidden="1"/>
    </xf>
    <xf numFmtId="169" fontId="30" fillId="3" borderId="4" xfId="7" applyNumberFormat="1" applyFont="1" applyFill="1" applyBorder="1" applyProtection="1">
      <protection hidden="1"/>
    </xf>
    <xf numFmtId="169" fontId="30" fillId="3" borderId="23" xfId="7" applyNumberFormat="1" applyFont="1" applyFill="1" applyBorder="1" applyProtection="1">
      <protection hidden="1"/>
    </xf>
    <xf numFmtId="169" fontId="30" fillId="3" borderId="13" xfId="7" applyNumberFormat="1" applyFont="1" applyFill="1" applyBorder="1" applyProtection="1">
      <protection hidden="1"/>
    </xf>
    <xf numFmtId="169" fontId="30" fillId="3" borderId="14" xfId="7" applyNumberFormat="1" applyFont="1" applyFill="1" applyBorder="1" applyProtection="1">
      <protection hidden="1"/>
    </xf>
    <xf numFmtId="0" fontId="31" fillId="0" borderId="16" xfId="0" applyFont="1" applyBorder="1" applyProtection="1">
      <protection hidden="1"/>
    </xf>
    <xf numFmtId="10" fontId="31" fillId="0" borderId="4" xfId="0" applyNumberFormat="1" applyFont="1" applyBorder="1" applyProtection="1">
      <protection hidden="1"/>
    </xf>
    <xf numFmtId="10" fontId="31" fillId="0" borderId="4" xfId="16" applyNumberFormat="1" applyFont="1" applyBorder="1" applyProtection="1">
      <protection hidden="1"/>
    </xf>
    <xf numFmtId="0" fontId="31" fillId="7" borderId="16" xfId="0" applyFont="1" applyFill="1" applyBorder="1" applyProtection="1">
      <protection hidden="1"/>
    </xf>
    <xf numFmtId="10" fontId="31" fillId="7" borderId="4" xfId="16" applyNumberFormat="1" applyFont="1" applyFill="1" applyBorder="1" applyProtection="1">
      <protection hidden="1"/>
    </xf>
    <xf numFmtId="2" fontId="31" fillId="0" borderId="4" xfId="16" applyNumberFormat="1" applyFont="1" applyFill="1" applyBorder="1" applyProtection="1">
      <protection hidden="1"/>
    </xf>
    <xf numFmtId="2" fontId="31" fillId="0" borderId="23" xfId="16" applyNumberFormat="1" applyFont="1" applyFill="1" applyBorder="1" applyProtection="1">
      <protection hidden="1"/>
    </xf>
    <xf numFmtId="169" fontId="31" fillId="3" borderId="4" xfId="37" applyNumberFormat="1" applyFont="1" applyFill="1" applyBorder="1" applyProtection="1">
      <protection hidden="1"/>
    </xf>
    <xf numFmtId="169" fontId="31" fillId="3" borderId="23" xfId="37" applyNumberFormat="1" applyFont="1" applyFill="1" applyBorder="1" applyProtection="1">
      <protection hidden="1"/>
    </xf>
    <xf numFmtId="169" fontId="31" fillId="0" borderId="13" xfId="37" applyNumberFormat="1" applyFont="1" applyFill="1" applyBorder="1" applyProtection="1">
      <protection hidden="1"/>
    </xf>
    <xf numFmtId="169" fontId="31" fillId="0" borderId="14" xfId="37" applyNumberFormat="1" applyFont="1" applyFill="1" applyBorder="1" applyProtection="1">
      <protection hidden="1"/>
    </xf>
    <xf numFmtId="0" fontId="31" fillId="0" borderId="53" xfId="36" applyFont="1" applyBorder="1" applyProtection="1">
      <protection hidden="1"/>
    </xf>
    <xf numFmtId="10" fontId="31" fillId="0" borderId="5" xfId="36" applyNumberFormat="1" applyFont="1" applyBorder="1" applyProtection="1">
      <protection hidden="1"/>
    </xf>
    <xf numFmtId="169" fontId="31" fillId="0" borderId="5" xfId="37" applyNumberFormat="1" applyFont="1" applyFill="1" applyBorder="1" applyProtection="1">
      <protection hidden="1"/>
    </xf>
    <xf numFmtId="169" fontId="31" fillId="0" borderId="6" xfId="37" applyNumberFormat="1" applyFont="1" applyFill="1" applyBorder="1" applyProtection="1">
      <protection hidden="1"/>
    </xf>
    <xf numFmtId="0" fontId="31" fillId="0" borderId="16" xfId="36" applyFont="1" applyBorder="1" applyProtection="1">
      <protection hidden="1"/>
    </xf>
    <xf numFmtId="9" fontId="31" fillId="0" borderId="4" xfId="36" applyNumberFormat="1" applyFont="1" applyBorder="1" applyProtection="1">
      <protection hidden="1"/>
    </xf>
    <xf numFmtId="169" fontId="31" fillId="0" borderId="4" xfId="37" applyNumberFormat="1" applyFont="1" applyFill="1" applyBorder="1" applyProtection="1">
      <protection hidden="1"/>
    </xf>
    <xf numFmtId="169" fontId="31" fillId="0" borderId="23" xfId="37" applyNumberFormat="1" applyFont="1" applyFill="1" applyBorder="1" applyProtection="1">
      <protection hidden="1"/>
    </xf>
    <xf numFmtId="10" fontId="31" fillId="0" borderId="4" xfId="36" applyNumberFormat="1" applyFont="1" applyBorder="1" applyProtection="1">
      <protection hidden="1"/>
    </xf>
    <xf numFmtId="169" fontId="30" fillId="3" borderId="13" xfId="37" applyNumberFormat="1" applyFont="1" applyFill="1" applyBorder="1" applyProtection="1">
      <protection hidden="1"/>
    </xf>
    <xf numFmtId="169" fontId="30" fillId="3" borderId="14" xfId="37" applyNumberFormat="1" applyFont="1" applyFill="1" applyBorder="1" applyProtection="1">
      <protection hidden="1"/>
    </xf>
    <xf numFmtId="42" fontId="37" fillId="0" borderId="4" xfId="56" applyFont="1" applyFill="1" applyBorder="1" applyAlignment="1" applyProtection="1">
      <alignment horizontal="left" vertical="center" wrapText="1"/>
      <protection hidden="1"/>
    </xf>
    <xf numFmtId="42" fontId="31" fillId="0" borderId="4" xfId="55" applyNumberFormat="1" applyFont="1" applyBorder="1" applyAlignment="1" applyProtection="1">
      <alignment horizontal="left"/>
      <protection hidden="1"/>
    </xf>
    <xf numFmtId="42" fontId="31" fillId="0" borderId="23" xfId="55" applyNumberFormat="1" applyFont="1" applyBorder="1" applyAlignment="1" applyProtection="1">
      <alignment horizontal="left"/>
      <protection hidden="1"/>
    </xf>
    <xf numFmtId="42" fontId="31" fillId="0" borderId="4" xfId="56" applyFont="1" applyFill="1" applyBorder="1" applyAlignment="1" applyProtection="1">
      <alignment horizontal="left" vertical="center"/>
      <protection hidden="1"/>
    </xf>
    <xf numFmtId="42" fontId="31" fillId="0" borderId="13" xfId="56" applyFont="1" applyFill="1" applyBorder="1" applyAlignment="1" applyProtection="1">
      <alignment horizontal="left" vertical="center"/>
      <protection hidden="1"/>
    </xf>
    <xf numFmtId="42" fontId="37" fillId="0" borderId="13" xfId="56" applyFont="1" applyFill="1" applyBorder="1" applyAlignment="1" applyProtection="1">
      <alignment horizontal="left" vertical="center" wrapText="1"/>
      <protection hidden="1"/>
    </xf>
    <xf numFmtId="42" fontId="31" fillId="0" borderId="13" xfId="55" applyNumberFormat="1" applyFont="1" applyBorder="1" applyAlignment="1" applyProtection="1">
      <alignment horizontal="left"/>
      <protection hidden="1"/>
    </xf>
    <xf numFmtId="42" fontId="31" fillId="0" borderId="14" xfId="55" applyNumberFormat="1" applyFont="1" applyBorder="1" applyAlignment="1" applyProtection="1">
      <alignment horizontal="left"/>
      <protection hidden="1"/>
    </xf>
    <xf numFmtId="173" fontId="31" fillId="2" borderId="4" xfId="7" applyNumberFormat="1" applyFont="1" applyFill="1" applyBorder="1" applyAlignment="1" applyProtection="1">
      <alignment vertical="center"/>
      <protection hidden="1"/>
    </xf>
    <xf numFmtId="173" fontId="31" fillId="2" borderId="23" xfId="7" applyNumberFormat="1" applyFont="1" applyFill="1" applyBorder="1" applyAlignment="1" applyProtection="1">
      <alignment vertical="center"/>
      <protection hidden="1"/>
    </xf>
    <xf numFmtId="173" fontId="31" fillId="2" borderId="13" xfId="7" applyNumberFormat="1" applyFont="1" applyFill="1" applyBorder="1" applyAlignment="1" applyProtection="1">
      <alignment vertical="center"/>
      <protection hidden="1"/>
    </xf>
    <xf numFmtId="173" fontId="31" fillId="2" borderId="14" xfId="7" applyNumberFormat="1" applyFont="1" applyFill="1" applyBorder="1" applyAlignment="1" applyProtection="1">
      <alignment vertical="center"/>
      <protection hidden="1"/>
    </xf>
    <xf numFmtId="0" fontId="30" fillId="2" borderId="4" xfId="34" applyFont="1" applyFill="1" applyBorder="1" applyAlignment="1" applyProtection="1">
      <alignment horizontal="center" vertical="center"/>
      <protection hidden="1"/>
    </xf>
    <xf numFmtId="10" fontId="30" fillId="2" borderId="4" xfId="34" applyNumberFormat="1" applyFont="1" applyFill="1" applyBorder="1" applyAlignment="1" applyProtection="1">
      <alignment horizontal="center" vertical="center"/>
      <protection hidden="1"/>
    </xf>
    <xf numFmtId="10" fontId="30" fillId="2" borderId="23" xfId="34" applyNumberFormat="1" applyFont="1" applyFill="1" applyBorder="1" applyAlignment="1" applyProtection="1">
      <alignment horizontal="center" vertical="center"/>
      <protection hidden="1"/>
    </xf>
    <xf numFmtId="0" fontId="30" fillId="2" borderId="23" xfId="34" applyFont="1" applyFill="1" applyBorder="1" applyAlignment="1" applyProtection="1">
      <alignment horizontal="center" vertical="center"/>
      <protection hidden="1"/>
    </xf>
    <xf numFmtId="167" fontId="23" fillId="3" borderId="23" xfId="19" applyNumberFormat="1" applyFont="1" applyFill="1" applyBorder="1" applyAlignment="1" applyProtection="1">
      <alignment horizontal="center" vertical="center" wrapText="1"/>
      <protection hidden="1"/>
    </xf>
    <xf numFmtId="167" fontId="23" fillId="3" borderId="14" xfId="19" applyNumberFormat="1" applyFont="1" applyFill="1" applyBorder="1" applyAlignment="1" applyProtection="1">
      <alignment horizontal="center" vertical="center" wrapText="1"/>
      <protection hidden="1"/>
    </xf>
    <xf numFmtId="0" fontId="31" fillId="0" borderId="0" xfId="21" applyFont="1" applyAlignment="1" applyProtection="1">
      <alignment horizontal="justify" vertical="top" wrapText="1"/>
      <protection locked="0"/>
    </xf>
    <xf numFmtId="0" fontId="31" fillId="0" borderId="0" xfId="21" applyFont="1" applyAlignment="1" applyProtection="1">
      <alignment horizontal="justify" vertical="top"/>
      <protection locked="0"/>
    </xf>
    <xf numFmtId="0" fontId="31" fillId="16" borderId="0" xfId="21" applyFont="1" applyFill="1" applyAlignment="1" applyProtection="1">
      <alignment vertical="center"/>
      <protection locked="0"/>
    </xf>
    <xf numFmtId="165" fontId="31" fillId="0" borderId="4" xfId="7" applyFont="1" applyFill="1" applyBorder="1" applyAlignment="1" applyProtection="1">
      <alignment vertical="center"/>
      <protection locked="0"/>
    </xf>
    <xf numFmtId="10" fontId="31" fillId="0" borderId="0" xfId="16" applyNumberFormat="1" applyFont="1" applyFill="1" applyBorder="1" applyAlignment="1" applyProtection="1">
      <alignment vertical="center"/>
      <protection locked="0"/>
    </xf>
    <xf numFmtId="0" fontId="34" fillId="0" borderId="0" xfId="9" applyFont="1" applyAlignment="1" applyProtection="1">
      <alignment horizontal="center" vertical="center" wrapText="1"/>
      <protection locked="0"/>
    </xf>
    <xf numFmtId="10" fontId="30" fillId="0" borderId="0" xfId="16" applyNumberFormat="1" applyFont="1" applyFill="1" applyBorder="1" applyAlignment="1" applyProtection="1">
      <alignment vertical="center"/>
      <protection locked="0"/>
    </xf>
    <xf numFmtId="173" fontId="31" fillId="16" borderId="0" xfId="21" applyNumberFormat="1" applyFont="1" applyFill="1" applyAlignment="1" applyProtection="1">
      <alignment vertical="center"/>
      <protection locked="0"/>
    </xf>
    <xf numFmtId="173" fontId="30" fillId="16" borderId="0" xfId="21" applyNumberFormat="1" applyFont="1" applyFill="1" applyAlignment="1" applyProtection="1">
      <alignment vertical="center"/>
      <protection locked="0"/>
    </xf>
    <xf numFmtId="0" fontId="31" fillId="16" borderId="0" xfId="21" applyFont="1" applyFill="1" applyAlignment="1" applyProtection="1">
      <alignment vertical="center"/>
      <protection hidden="1"/>
    </xf>
    <xf numFmtId="10" fontId="31" fillId="16" borderId="0" xfId="16" applyNumberFormat="1" applyFont="1" applyFill="1" applyAlignment="1" applyProtection="1">
      <alignment vertical="center"/>
      <protection hidden="1"/>
    </xf>
    <xf numFmtId="0" fontId="31" fillId="16" borderId="4" xfId="21" applyFont="1" applyFill="1" applyBorder="1" applyAlignment="1" applyProtection="1">
      <alignment vertical="center"/>
      <protection hidden="1"/>
    </xf>
    <xf numFmtId="0" fontId="31" fillId="16" borderId="4" xfId="21" applyFont="1" applyFill="1" applyBorder="1" applyAlignment="1" applyProtection="1">
      <alignment vertical="center" wrapText="1"/>
      <protection hidden="1"/>
    </xf>
    <xf numFmtId="10" fontId="31" fillId="16" borderId="4" xfId="16" applyNumberFormat="1" applyFont="1" applyFill="1" applyBorder="1" applyAlignment="1" applyProtection="1">
      <alignment vertical="center"/>
      <protection hidden="1"/>
    </xf>
    <xf numFmtId="10" fontId="31" fillId="16" borderId="4" xfId="21" applyNumberFormat="1" applyFont="1" applyFill="1" applyBorder="1" applyAlignment="1" applyProtection="1">
      <alignment vertical="center"/>
      <protection hidden="1"/>
    </xf>
    <xf numFmtId="0" fontId="34" fillId="16" borderId="4" xfId="9" applyFont="1" applyFill="1" applyBorder="1" applyAlignment="1" applyProtection="1">
      <alignment horizontal="center" vertical="center" wrapText="1"/>
      <protection hidden="1"/>
    </xf>
    <xf numFmtId="0" fontId="34" fillId="14" borderId="16" xfId="9" applyFont="1" applyFill="1" applyBorder="1" applyAlignment="1" applyProtection="1">
      <alignment horizontal="center" vertical="center" wrapText="1"/>
      <protection hidden="1"/>
    </xf>
    <xf numFmtId="0" fontId="31" fillId="0" borderId="16" xfId="21" applyFont="1" applyBorder="1" applyAlignment="1" applyProtection="1">
      <alignment vertical="center"/>
      <protection hidden="1"/>
    </xf>
    <xf numFmtId="0" fontId="34" fillId="14" borderId="23" xfId="9" applyFont="1" applyFill="1" applyBorder="1" applyAlignment="1" applyProtection="1">
      <alignment horizontal="center" vertical="center" wrapText="1"/>
      <protection hidden="1"/>
    </xf>
    <xf numFmtId="173" fontId="31" fillId="0" borderId="23" xfId="21" applyNumberFormat="1" applyFont="1" applyBorder="1" applyAlignment="1" applyProtection="1">
      <alignment vertical="center"/>
      <protection hidden="1"/>
    </xf>
    <xf numFmtId="173" fontId="30" fillId="14" borderId="14" xfId="21" applyNumberFormat="1" applyFont="1" applyFill="1" applyBorder="1" applyAlignment="1" applyProtection="1">
      <alignment vertical="center"/>
      <protection hidden="1"/>
    </xf>
    <xf numFmtId="0" fontId="34" fillId="14" borderId="4" xfId="9" applyFont="1" applyFill="1" applyBorder="1" applyAlignment="1" applyProtection="1">
      <alignment horizontal="center" vertical="center" wrapText="1"/>
      <protection hidden="1"/>
    </xf>
    <xf numFmtId="0" fontId="31" fillId="0" borderId="4" xfId="21" applyFont="1" applyBorder="1" applyAlignment="1" applyProtection="1">
      <alignment vertical="center"/>
      <protection hidden="1"/>
    </xf>
    <xf numFmtId="173" fontId="31" fillId="0" borderId="4" xfId="21" applyNumberFormat="1" applyFont="1" applyBorder="1" applyAlignment="1" applyProtection="1">
      <alignment vertical="center"/>
      <protection hidden="1"/>
    </xf>
    <xf numFmtId="10" fontId="31" fillId="0" borderId="4" xfId="21" applyNumberFormat="1" applyFont="1" applyBorder="1" applyAlignment="1" applyProtection="1">
      <alignment vertical="center"/>
      <protection hidden="1"/>
    </xf>
    <xf numFmtId="10" fontId="30" fillId="14" borderId="4" xfId="16" applyNumberFormat="1" applyFont="1" applyFill="1" applyBorder="1" applyAlignment="1" applyProtection="1">
      <alignment vertical="center"/>
      <protection hidden="1"/>
    </xf>
    <xf numFmtId="0" fontId="38" fillId="0" borderId="0" xfId="57" applyAlignment="1" applyProtection="1">
      <alignment horizontal="left" vertical="justify"/>
      <protection locked="0"/>
    </xf>
    <xf numFmtId="165" fontId="20" fillId="5" borderId="4" xfId="7" applyFont="1" applyFill="1" applyBorder="1" applyAlignment="1" applyProtection="1">
      <alignment vertical="center" wrapText="1"/>
      <protection locked="0"/>
    </xf>
    <xf numFmtId="165" fontId="19" fillId="0" borderId="4" xfId="7" applyFont="1" applyFill="1" applyBorder="1" applyAlignment="1" applyProtection="1">
      <alignment vertical="center" wrapText="1"/>
      <protection locked="0"/>
    </xf>
    <xf numFmtId="165" fontId="20" fillId="6" borderId="4" xfId="7" applyFont="1" applyFill="1" applyBorder="1" applyAlignment="1" applyProtection="1">
      <alignment vertical="center" wrapText="1"/>
      <protection locked="0"/>
    </xf>
    <xf numFmtId="0" fontId="30" fillId="0" borderId="0" xfId="48" applyFont="1" applyAlignment="1" applyProtection="1">
      <alignment horizontal="right" vertical="justify"/>
      <protection locked="0"/>
    </xf>
    <xf numFmtId="168" fontId="30" fillId="0" borderId="0" xfId="49" applyNumberFormat="1" applyFont="1" applyBorder="1" applyAlignment="1" applyProtection="1">
      <alignment horizontal="right" vertical="justify"/>
      <protection locked="0"/>
    </xf>
    <xf numFmtId="0" fontId="31" fillId="0" borderId="0" xfId="48" applyFont="1" applyAlignment="1" applyProtection="1">
      <alignment horizontal="justify" vertical="justify"/>
      <protection locked="0"/>
    </xf>
    <xf numFmtId="0" fontId="19" fillId="0" borderId="0" xfId="0" applyFont="1" applyProtection="1">
      <protection locked="0"/>
    </xf>
    <xf numFmtId="0" fontId="20" fillId="3" borderId="1" xfId="0" applyFont="1" applyFill="1" applyBorder="1" applyAlignment="1" applyProtection="1">
      <alignment horizontal="center" vertical="center" wrapText="1"/>
      <protection locked="0"/>
    </xf>
    <xf numFmtId="0" fontId="20" fillId="3" borderId="3" xfId="0" applyFont="1" applyFill="1" applyBorder="1" applyAlignment="1" applyProtection="1">
      <alignment horizontal="center" vertical="center" wrapText="1"/>
      <protection locked="0"/>
    </xf>
    <xf numFmtId="0" fontId="20" fillId="9" borderId="13" xfId="0" applyFont="1" applyFill="1" applyBorder="1" applyAlignment="1" applyProtection="1">
      <alignment horizontal="center" vertical="center" wrapText="1"/>
      <protection locked="0"/>
    </xf>
    <xf numFmtId="0" fontId="20" fillId="9" borderId="14" xfId="0" applyFont="1" applyFill="1" applyBorder="1" applyAlignment="1" applyProtection="1">
      <alignment horizontal="center" vertical="center" wrapText="1"/>
      <protection locked="0"/>
    </xf>
    <xf numFmtId="0" fontId="19" fillId="0" borderId="4" xfId="0" applyFont="1" applyBorder="1" applyAlignment="1" applyProtection="1">
      <alignment horizontal="center" vertical="center"/>
      <protection locked="0"/>
    </xf>
    <xf numFmtId="0" fontId="19" fillId="0" borderId="23" xfId="0" applyFont="1" applyBorder="1" applyAlignment="1" applyProtection="1">
      <alignment horizontal="center" vertical="center"/>
      <protection locked="0"/>
    </xf>
    <xf numFmtId="0" fontId="19" fillId="0" borderId="0" xfId="0" applyFont="1" applyAlignment="1" applyProtection="1">
      <alignment horizontal="left"/>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19" fillId="0" borderId="0" xfId="0" applyFont="1" applyAlignment="1" applyProtection="1">
      <alignment wrapText="1"/>
      <protection locked="0"/>
    </xf>
    <xf numFmtId="167" fontId="21" fillId="0" borderId="0" xfId="9" applyNumberFormat="1" applyFont="1" applyAlignment="1">
      <alignment vertical="center"/>
    </xf>
    <xf numFmtId="0" fontId="19" fillId="0" borderId="0" xfId="9" applyFont="1" applyAlignment="1">
      <alignment vertical="center"/>
    </xf>
    <xf numFmtId="0" fontId="31" fillId="0" borderId="4" xfId="21" applyFont="1" applyBorder="1" applyAlignment="1" applyProtection="1">
      <alignment horizontal="justify" vertical="center"/>
      <protection locked="0"/>
    </xf>
    <xf numFmtId="180" fontId="22" fillId="0" borderId="4" xfId="9" applyNumberFormat="1" applyFont="1" applyBorder="1" applyAlignment="1" applyProtection="1">
      <alignment horizontal="center" vertical="center" wrapText="1"/>
      <protection locked="0"/>
    </xf>
    <xf numFmtId="1" fontId="22" fillId="0" borderId="4" xfId="9" applyNumberFormat="1" applyFont="1" applyBorder="1" applyAlignment="1" applyProtection="1">
      <alignment horizontal="center" vertical="center" wrapText="1"/>
      <protection locked="0"/>
    </xf>
    <xf numFmtId="2" fontId="22" fillId="0" borderId="4" xfId="16" applyNumberFormat="1" applyFont="1" applyFill="1" applyBorder="1" applyAlignment="1" applyProtection="1">
      <alignment horizontal="center" vertical="center" wrapText="1"/>
      <protection locked="0"/>
    </xf>
    <xf numFmtId="173" fontId="19" fillId="0" borderId="19" xfId="7" applyNumberFormat="1" applyFont="1" applyBorder="1" applyAlignment="1" applyProtection="1">
      <alignment vertical="center"/>
      <protection locked="0"/>
    </xf>
    <xf numFmtId="0" fontId="30" fillId="5" borderId="71" xfId="28" applyFont="1" applyFill="1" applyBorder="1" applyAlignment="1" applyProtection="1">
      <alignment vertical="center"/>
      <protection locked="0"/>
    </xf>
    <xf numFmtId="0" fontId="30" fillId="5" borderId="58" xfId="28" applyFont="1" applyFill="1" applyBorder="1" applyAlignment="1" applyProtection="1">
      <alignment vertical="center"/>
      <protection locked="0"/>
    </xf>
    <xf numFmtId="173" fontId="19" fillId="0" borderId="23" xfId="7" applyNumberFormat="1" applyFont="1" applyFill="1" applyBorder="1" applyAlignment="1" applyProtection="1">
      <alignment horizontal="center"/>
    </xf>
    <xf numFmtId="173" fontId="19" fillId="0" borderId="14" xfId="7" applyNumberFormat="1" applyFont="1" applyFill="1" applyBorder="1" applyAlignment="1" applyProtection="1">
      <alignment horizontal="center"/>
    </xf>
    <xf numFmtId="0" fontId="31" fillId="0" borderId="0" xfId="21" applyFont="1" applyAlignment="1" applyProtection="1">
      <alignment horizontal="center" vertical="center"/>
      <protection locked="0"/>
    </xf>
    <xf numFmtId="0" fontId="20" fillId="5" borderId="0" xfId="30" applyFont="1" applyFill="1" applyAlignment="1" applyProtection="1">
      <alignment horizontal="left" vertical="center" wrapText="1"/>
      <protection locked="0"/>
    </xf>
    <xf numFmtId="0" fontId="23" fillId="3" borderId="4" xfId="9" applyFont="1" applyFill="1" applyBorder="1" applyAlignment="1" applyProtection="1">
      <alignment horizontal="center" vertical="center" wrapText="1"/>
      <protection locked="0"/>
    </xf>
    <xf numFmtId="0" fontId="20" fillId="0" borderId="0" xfId="9" applyFont="1" applyAlignment="1" applyProtection="1">
      <alignment horizontal="center" vertical="center" wrapText="1"/>
      <protection locked="0"/>
    </xf>
    <xf numFmtId="0" fontId="20" fillId="5" borderId="2" xfId="30" applyFont="1" applyFill="1" applyBorder="1" applyAlignment="1" applyProtection="1">
      <alignment horizontal="center" vertical="center" wrapText="1"/>
      <protection locked="0"/>
    </xf>
    <xf numFmtId="0" fontId="20" fillId="5" borderId="3" xfId="30" applyFont="1" applyFill="1" applyBorder="1" applyAlignment="1" applyProtection="1">
      <alignment horizontal="center" vertical="center" wrapText="1"/>
      <protection locked="0"/>
    </xf>
    <xf numFmtId="0" fontId="52" fillId="0" borderId="0" xfId="9" applyFont="1" applyAlignment="1" applyProtection="1">
      <alignment vertical="center"/>
      <protection locked="0"/>
    </xf>
    <xf numFmtId="0" fontId="52" fillId="0" borderId="0" xfId="9" applyFont="1" applyAlignment="1" applyProtection="1">
      <alignment vertical="center" wrapText="1"/>
      <protection hidden="1"/>
    </xf>
    <xf numFmtId="0" fontId="20" fillId="5" borderId="9" xfId="30" applyFont="1" applyFill="1" applyBorder="1" applyAlignment="1" applyProtection="1">
      <alignment vertical="center" wrapText="1"/>
      <protection locked="0"/>
    </xf>
    <xf numFmtId="0" fontId="19" fillId="0" borderId="0" xfId="30" applyAlignment="1" applyProtection="1">
      <alignment vertical="center" wrapText="1"/>
      <protection locked="0" hidden="1"/>
    </xf>
    <xf numFmtId="0" fontId="31" fillId="0" borderId="0" xfId="21" applyFont="1" applyAlignment="1" applyProtection="1">
      <alignment vertical="center"/>
      <protection hidden="1"/>
    </xf>
    <xf numFmtId="0" fontId="31" fillId="0" borderId="0" xfId="45" applyProtection="1">
      <protection locked="0"/>
    </xf>
    <xf numFmtId="0" fontId="38" fillId="0" borderId="0" xfId="57" applyProtection="1">
      <protection locked="0"/>
    </xf>
    <xf numFmtId="0" fontId="35" fillId="0" borderId="30" xfId="45" applyFont="1" applyBorder="1" applyAlignment="1" applyProtection="1">
      <alignment horizontal="center" vertical="center" wrapText="1"/>
      <protection locked="0"/>
    </xf>
    <xf numFmtId="0" fontId="35" fillId="0" borderId="31" xfId="45" applyFont="1" applyBorder="1" applyAlignment="1" applyProtection="1">
      <alignment horizontal="center" vertical="center" wrapText="1"/>
      <protection locked="0"/>
    </xf>
    <xf numFmtId="0" fontId="36" fillId="0" borderId="31" xfId="45" applyFont="1" applyBorder="1" applyAlignment="1" applyProtection="1">
      <alignment horizontal="center" vertical="center" wrapText="1"/>
      <protection locked="0"/>
    </xf>
    <xf numFmtId="175" fontId="24" fillId="3" borderId="51" xfId="45" applyNumberFormat="1" applyFont="1" applyFill="1" applyBorder="1" applyAlignment="1" applyProtection="1">
      <alignment horizontal="center" vertical="top" wrapText="1"/>
      <protection locked="0"/>
    </xf>
    <xf numFmtId="175" fontId="24" fillId="3" borderId="13" xfId="45" applyNumberFormat="1" applyFont="1" applyFill="1" applyBorder="1" applyAlignment="1" applyProtection="1">
      <alignment horizontal="center" vertical="center" wrapText="1"/>
      <protection locked="0"/>
    </xf>
    <xf numFmtId="0" fontId="30" fillId="0" borderId="16" xfId="45" applyFont="1" applyBorder="1" applyAlignment="1" applyProtection="1">
      <alignment horizontal="left" vertical="center" wrapText="1"/>
      <protection locked="0"/>
    </xf>
    <xf numFmtId="175" fontId="19" fillId="0" borderId="4" xfId="45" applyNumberFormat="1" applyFont="1" applyBorder="1" applyAlignment="1" applyProtection="1">
      <alignment horizontal="left" vertical="center" wrapText="1"/>
      <protection locked="0"/>
    </xf>
    <xf numFmtId="14" fontId="19" fillId="0" borderId="4" xfId="45" applyNumberFormat="1" applyFont="1" applyBorder="1" applyAlignment="1" applyProtection="1">
      <alignment horizontal="left" vertical="center" wrapText="1"/>
      <protection locked="0"/>
    </xf>
    <xf numFmtId="176" fontId="30" fillId="0" borderId="4" xfId="45" applyNumberFormat="1" applyFont="1" applyBorder="1" applyAlignment="1" applyProtection="1">
      <alignment horizontal="center" vertical="center"/>
      <protection locked="0"/>
    </xf>
    <xf numFmtId="9" fontId="20" fillId="0" borderId="4" xfId="46" applyNumberFormat="1" applyFont="1" applyFill="1" applyBorder="1" applyAlignment="1" applyProtection="1">
      <alignment horizontal="center" vertical="center"/>
      <protection locked="0"/>
    </xf>
    <xf numFmtId="176" fontId="20" fillId="0" borderId="4" xfId="45" applyNumberFormat="1" applyFont="1" applyBorder="1" applyAlignment="1" applyProtection="1">
      <alignment horizontal="center" vertical="center"/>
      <protection locked="0"/>
    </xf>
    <xf numFmtId="10" fontId="20" fillId="0" borderId="4" xfId="47" applyNumberFormat="1" applyFont="1" applyFill="1" applyBorder="1" applyAlignment="1" applyProtection="1">
      <alignment horizontal="center" vertical="center"/>
      <protection locked="0"/>
    </xf>
    <xf numFmtId="10" fontId="20" fillId="0" borderId="23" xfId="47" applyNumberFormat="1" applyFont="1" applyFill="1" applyBorder="1" applyAlignment="1" applyProtection="1">
      <alignment horizontal="center" vertical="center"/>
      <protection locked="0"/>
    </xf>
    <xf numFmtId="0" fontId="30" fillId="0" borderId="51" xfId="45" applyFont="1" applyBorder="1" applyAlignment="1" applyProtection="1">
      <alignment horizontal="left" vertical="center" wrapText="1"/>
      <protection locked="0"/>
    </xf>
    <xf numFmtId="175" fontId="19" fillId="0" borderId="13" xfId="45" applyNumberFormat="1" applyFont="1" applyBorder="1" applyAlignment="1" applyProtection="1">
      <alignment horizontal="left" vertical="center" wrapText="1"/>
      <protection locked="0"/>
    </xf>
    <xf numFmtId="176" fontId="30" fillId="0" borderId="13" xfId="45" applyNumberFormat="1" applyFont="1" applyBorder="1" applyAlignment="1" applyProtection="1">
      <alignment horizontal="center" vertical="center"/>
      <protection locked="0"/>
    </xf>
    <xf numFmtId="9" fontId="20" fillId="0" borderId="13" xfId="46" applyNumberFormat="1" applyFont="1" applyFill="1" applyBorder="1" applyAlignment="1" applyProtection="1">
      <alignment horizontal="center" vertical="center"/>
      <protection locked="0"/>
    </xf>
    <xf numFmtId="176" fontId="20" fillId="0" borderId="13" xfId="45" applyNumberFormat="1" applyFont="1" applyBorder="1" applyAlignment="1" applyProtection="1">
      <alignment horizontal="center" vertical="center"/>
      <protection locked="0"/>
    </xf>
    <xf numFmtId="10" fontId="20" fillId="0" borderId="13" xfId="47" applyNumberFormat="1" applyFont="1" applyFill="1" applyBorder="1" applyAlignment="1" applyProtection="1">
      <alignment horizontal="center" vertical="center"/>
      <protection locked="0"/>
    </xf>
    <xf numFmtId="10" fontId="20" fillId="0" borderId="14" xfId="47" applyNumberFormat="1" applyFont="1" applyFill="1" applyBorder="1" applyAlignment="1" applyProtection="1">
      <alignment horizontal="center" vertical="center"/>
      <protection locked="0"/>
    </xf>
    <xf numFmtId="0" fontId="30" fillId="0" borderId="0" xfId="45" applyFont="1" applyAlignment="1" applyProtection="1">
      <alignment horizontal="left" vertical="center" wrapText="1"/>
      <protection locked="0"/>
    </xf>
    <xf numFmtId="175" fontId="19" fillId="0" borderId="0" xfId="45" applyNumberFormat="1" applyFont="1" applyAlignment="1" applyProtection="1">
      <alignment horizontal="left" vertical="center" wrapText="1"/>
      <protection locked="0"/>
    </xf>
    <xf numFmtId="176" fontId="30" fillId="0" borderId="0" xfId="45" applyNumberFormat="1" applyFont="1" applyAlignment="1" applyProtection="1">
      <alignment horizontal="center" vertical="center"/>
      <protection locked="0"/>
    </xf>
    <xf numFmtId="9" fontId="20" fillId="0" borderId="0" xfId="46" applyNumberFormat="1" applyFont="1" applyFill="1" applyBorder="1" applyAlignment="1" applyProtection="1">
      <alignment horizontal="center" vertical="center"/>
      <protection locked="0"/>
    </xf>
    <xf numFmtId="176" fontId="20" fillId="0" borderId="0" xfId="45" applyNumberFormat="1" applyFont="1" applyAlignment="1" applyProtection="1">
      <alignment horizontal="center" vertical="center"/>
      <protection locked="0"/>
    </xf>
    <xf numFmtId="10" fontId="20" fillId="0" borderId="0" xfId="47" applyNumberFormat="1" applyFont="1" applyFill="1" applyBorder="1" applyAlignment="1" applyProtection="1">
      <alignment horizontal="center" vertical="center"/>
      <protection locked="0"/>
    </xf>
    <xf numFmtId="9" fontId="19" fillId="0" borderId="4" xfId="14" applyNumberFormat="1" applyBorder="1" applyAlignment="1" applyProtection="1">
      <alignment horizontal="center" vertical="center"/>
      <protection locked="0"/>
    </xf>
    <xf numFmtId="0" fontId="19" fillId="0" borderId="4" xfId="14" applyBorder="1" applyAlignment="1" applyProtection="1">
      <alignment horizontal="center" vertical="center" wrapText="1"/>
      <protection locked="0"/>
    </xf>
    <xf numFmtId="1" fontId="20" fillId="0" borderId="4" xfId="14" applyNumberFormat="1" applyFont="1" applyBorder="1" applyAlignment="1" applyProtection="1">
      <alignment horizontal="center" vertical="center" wrapText="1"/>
      <protection locked="0"/>
    </xf>
    <xf numFmtId="1" fontId="20" fillId="0" borderId="23" xfId="14" applyNumberFormat="1" applyFont="1" applyBorder="1" applyAlignment="1" applyProtection="1">
      <alignment horizontal="center" vertical="center" wrapText="1"/>
      <protection locked="0"/>
    </xf>
    <xf numFmtId="1" fontId="19" fillId="0" borderId="4" xfId="14" applyNumberFormat="1" applyBorder="1" applyAlignment="1" applyProtection="1">
      <alignment horizontal="center" vertical="center"/>
      <protection locked="0"/>
    </xf>
    <xf numFmtId="167" fontId="19" fillId="0" borderId="16" xfId="14" applyNumberFormat="1" applyBorder="1" applyAlignment="1" applyProtection="1">
      <alignment vertical="center"/>
      <protection locked="0"/>
    </xf>
    <xf numFmtId="167" fontId="19" fillId="0" borderId="4" xfId="14" applyNumberFormat="1" applyBorder="1" applyAlignment="1" applyProtection="1">
      <alignment vertical="center"/>
      <protection locked="0"/>
    </xf>
    <xf numFmtId="166" fontId="19" fillId="0" borderId="4" xfId="14" applyNumberFormat="1" applyBorder="1" applyAlignment="1" applyProtection="1">
      <alignment vertical="center"/>
      <protection locked="0"/>
    </xf>
    <xf numFmtId="166" fontId="19" fillId="0" borderId="23" xfId="14" applyNumberFormat="1" applyBorder="1" applyAlignment="1" applyProtection="1">
      <alignment vertical="center"/>
      <protection locked="0"/>
    </xf>
    <xf numFmtId="180" fontId="33" fillId="0" borderId="4" xfId="9" applyNumberFormat="1" applyFont="1" applyBorder="1" applyAlignment="1" applyProtection="1">
      <alignment horizontal="center" vertical="center"/>
      <protection locked="0"/>
    </xf>
    <xf numFmtId="167" fontId="19" fillId="0" borderId="16" xfId="9" applyNumberFormat="1" applyFont="1" applyBorder="1" applyAlignment="1" applyProtection="1">
      <alignment vertical="center"/>
      <protection locked="0"/>
    </xf>
    <xf numFmtId="167" fontId="19" fillId="0" borderId="4" xfId="9" applyNumberFormat="1" applyFont="1" applyBorder="1" applyAlignment="1" applyProtection="1">
      <alignment vertical="center"/>
      <protection locked="0"/>
    </xf>
    <xf numFmtId="2" fontId="22" fillId="0" borderId="4" xfId="7" applyNumberFormat="1" applyFont="1" applyFill="1" applyBorder="1" applyAlignment="1" applyProtection="1">
      <alignment horizontal="center" vertical="center" wrapText="1"/>
      <protection locked="0"/>
    </xf>
    <xf numFmtId="173" fontId="19" fillId="0" borderId="16" xfId="9" applyNumberFormat="1" applyFont="1" applyBorder="1" applyAlignment="1" applyProtection="1">
      <alignment vertical="center"/>
      <protection locked="0"/>
    </xf>
    <xf numFmtId="0" fontId="33" fillId="0" borderId="4" xfId="27" applyFont="1" applyBorder="1" applyAlignment="1" applyProtection="1">
      <alignment horizontal="center" vertical="center" wrapText="1"/>
      <protection locked="0"/>
    </xf>
    <xf numFmtId="173" fontId="33" fillId="0" borderId="4" xfId="7" applyNumberFormat="1" applyFont="1" applyFill="1" applyBorder="1" applyAlignment="1" applyProtection="1">
      <alignment horizontal="center" vertical="center" wrapText="1"/>
      <protection locked="0"/>
    </xf>
    <xf numFmtId="3" fontId="33" fillId="0" borderId="4" xfId="9" applyNumberFormat="1" applyFont="1" applyBorder="1" applyAlignment="1" applyProtection="1">
      <alignment horizontal="center" vertical="center" wrapText="1"/>
      <protection locked="0"/>
    </xf>
    <xf numFmtId="167" fontId="23" fillId="0" borderId="24" xfId="8" applyNumberFormat="1" applyFont="1" applyFill="1" applyBorder="1" applyAlignment="1" applyProtection="1">
      <alignment horizontal="right" vertical="center" wrapText="1"/>
      <protection locked="0"/>
    </xf>
    <xf numFmtId="167" fontId="22" fillId="0" borderId="23" xfId="8" applyNumberFormat="1" applyFont="1" applyFill="1" applyBorder="1" applyAlignment="1" applyProtection="1">
      <alignment horizontal="right" vertical="center" wrapText="1"/>
      <protection locked="0"/>
    </xf>
    <xf numFmtId="167" fontId="23" fillId="0" borderId="14" xfId="8" applyNumberFormat="1" applyFont="1" applyFill="1" applyBorder="1" applyAlignment="1" applyProtection="1">
      <alignment horizontal="right" vertical="center" wrapText="1"/>
      <protection locked="0"/>
    </xf>
    <xf numFmtId="9" fontId="23" fillId="0" borderId="4" xfId="9" applyNumberFormat="1" applyFont="1" applyBorder="1" applyAlignment="1" applyProtection="1">
      <alignment horizontal="right" vertical="center" wrapText="1"/>
      <protection locked="0"/>
    </xf>
    <xf numFmtId="9" fontId="23" fillId="0" borderId="4" xfId="9" applyNumberFormat="1" applyFont="1" applyBorder="1" applyAlignment="1" applyProtection="1">
      <alignment vertical="center" wrapText="1"/>
      <protection locked="0"/>
    </xf>
    <xf numFmtId="171" fontId="19" fillId="0" borderId="4" xfId="9" applyNumberFormat="1" applyFont="1" applyBorder="1" applyAlignment="1">
      <alignment vertical="center"/>
    </xf>
    <xf numFmtId="171" fontId="19" fillId="0" borderId="23" xfId="9" applyNumberFormat="1" applyFont="1" applyBorder="1" applyAlignment="1">
      <alignment vertical="center"/>
    </xf>
    <xf numFmtId="171" fontId="19" fillId="0" borderId="14" xfId="9" applyNumberFormat="1" applyFont="1" applyBorder="1" applyAlignment="1">
      <alignment vertical="center"/>
    </xf>
    <xf numFmtId="0" fontId="22" fillId="0" borderId="18" xfId="9" applyFont="1" applyBorder="1" applyAlignment="1" applyProtection="1">
      <alignment horizontal="left" vertical="center" wrapText="1"/>
      <protection locked="0"/>
    </xf>
    <xf numFmtId="0" fontId="22" fillId="0" borderId="7" xfId="9" applyFont="1" applyBorder="1" applyAlignment="1" applyProtection="1">
      <alignment horizontal="center" vertical="center" wrapText="1"/>
      <protection locked="0"/>
    </xf>
    <xf numFmtId="179" fontId="33" fillId="0" borderId="7" xfId="9" applyNumberFormat="1" applyFont="1" applyBorder="1" applyAlignment="1" applyProtection="1">
      <alignment horizontal="center" vertical="center"/>
      <protection locked="0"/>
    </xf>
    <xf numFmtId="167" fontId="22" fillId="0" borderId="8" xfId="8" applyNumberFormat="1" applyFont="1" applyFill="1" applyBorder="1" applyAlignment="1" applyProtection="1">
      <alignment horizontal="right" vertical="center" wrapText="1"/>
      <protection locked="0"/>
    </xf>
    <xf numFmtId="173" fontId="19" fillId="0" borderId="16" xfId="7" applyNumberFormat="1" applyFont="1" applyFill="1" applyBorder="1" applyAlignment="1" applyProtection="1">
      <alignment vertical="center"/>
      <protection locked="0"/>
    </xf>
    <xf numFmtId="173" fontId="19" fillId="0" borderId="51" xfId="7" applyNumberFormat="1" applyFont="1" applyFill="1" applyBorder="1" applyAlignment="1" applyProtection="1">
      <alignment vertical="center"/>
      <protection locked="0"/>
    </xf>
    <xf numFmtId="173" fontId="19" fillId="0" borderId="13" xfId="7" applyNumberFormat="1" applyFont="1" applyFill="1" applyBorder="1" applyAlignment="1" applyProtection="1">
      <alignment vertical="center"/>
      <protection locked="0"/>
    </xf>
    <xf numFmtId="173" fontId="19" fillId="0" borderId="14" xfId="7" applyNumberFormat="1" applyFont="1" applyFill="1" applyBorder="1" applyAlignment="1" applyProtection="1">
      <alignment vertical="center"/>
      <protection locked="0"/>
    </xf>
    <xf numFmtId="2" fontId="33" fillId="0" borderId="4" xfId="9" applyNumberFormat="1" applyFont="1" applyBorder="1" applyAlignment="1" applyProtection="1">
      <alignment horizontal="center" vertical="center"/>
      <protection locked="0"/>
    </xf>
    <xf numFmtId="173" fontId="19" fillId="0" borderId="19" xfId="7" applyNumberFormat="1" applyFont="1" applyFill="1" applyBorder="1" applyAlignment="1" applyProtection="1">
      <alignment vertical="center"/>
      <protection locked="0"/>
    </xf>
    <xf numFmtId="167" fontId="23" fillId="0" borderId="23" xfId="8" applyNumberFormat="1" applyFont="1" applyFill="1" applyBorder="1" applyAlignment="1" applyProtection="1">
      <alignment horizontal="right" vertical="center" wrapText="1"/>
      <protection locked="0"/>
    </xf>
    <xf numFmtId="173" fontId="22" fillId="0" borderId="23" xfId="7" applyNumberFormat="1" applyFont="1" applyFill="1" applyBorder="1" applyAlignment="1" applyProtection="1">
      <alignment horizontal="right" vertical="center" wrapText="1"/>
      <protection locked="0"/>
    </xf>
    <xf numFmtId="167" fontId="33" fillId="0" borderId="13" xfId="9" applyNumberFormat="1" applyFont="1" applyBorder="1" applyAlignment="1" applyProtection="1">
      <alignment horizontal="center" vertical="center" wrapText="1"/>
      <protection locked="0"/>
    </xf>
    <xf numFmtId="171" fontId="19" fillId="0" borderId="13" xfId="9" applyNumberFormat="1" applyFont="1" applyBorder="1" applyAlignment="1">
      <alignment vertical="center"/>
    </xf>
    <xf numFmtId="0" fontId="19" fillId="0" borderId="54" xfId="9" applyFont="1" applyBorder="1" applyProtection="1">
      <protection locked="0"/>
    </xf>
    <xf numFmtId="0" fontId="19" fillId="0" borderId="61" xfId="9" applyFont="1" applyBorder="1" applyProtection="1">
      <protection locked="0"/>
    </xf>
    <xf numFmtId="0" fontId="19" fillId="0" borderId="57" xfId="9" applyFont="1" applyBorder="1" applyProtection="1">
      <protection locked="0"/>
    </xf>
    <xf numFmtId="0" fontId="19" fillId="0" borderId="53" xfId="30" applyBorder="1" applyAlignment="1" applyProtection="1">
      <alignment vertical="center" wrapText="1"/>
      <protection locked="0"/>
    </xf>
    <xf numFmtId="0" fontId="19" fillId="0" borderId="5" xfId="30" applyBorder="1" applyAlignment="1" applyProtection="1">
      <alignment vertical="center" wrapText="1"/>
      <protection locked="0"/>
    </xf>
    <xf numFmtId="173" fontId="19" fillId="0" borderId="5" xfId="7" applyNumberFormat="1" applyFont="1" applyFill="1" applyBorder="1" applyAlignment="1" applyProtection="1">
      <alignment vertical="center" wrapText="1"/>
      <protection locked="0"/>
    </xf>
    <xf numFmtId="0" fontId="19" fillId="0" borderId="18" xfId="30" applyBorder="1" applyAlignment="1" applyProtection="1">
      <alignment vertical="center" wrapText="1"/>
      <protection locked="0"/>
    </xf>
    <xf numFmtId="0" fontId="19" fillId="0" borderId="7" xfId="30" applyBorder="1" applyAlignment="1" applyProtection="1">
      <alignment vertical="center" wrapText="1"/>
      <protection locked="0"/>
    </xf>
    <xf numFmtId="173" fontId="19" fillId="0" borderId="7" xfId="7" applyNumberFormat="1" applyFont="1" applyFill="1" applyBorder="1" applyAlignment="1" applyProtection="1">
      <alignment vertical="center" wrapText="1"/>
      <protection locked="0"/>
    </xf>
    <xf numFmtId="173" fontId="19" fillId="0" borderId="8" xfId="7" applyNumberFormat="1" applyFont="1" applyFill="1" applyBorder="1" applyAlignment="1" applyProtection="1">
      <alignment vertical="center" wrapText="1"/>
      <protection locked="0"/>
    </xf>
    <xf numFmtId="173" fontId="20" fillId="5" borderId="24" xfId="7" applyNumberFormat="1" applyFont="1" applyFill="1" applyBorder="1" applyAlignment="1" applyProtection="1">
      <alignment horizontal="left" vertical="top" wrapText="1"/>
      <protection locked="0"/>
    </xf>
    <xf numFmtId="9" fontId="20" fillId="5" borderId="4" xfId="30" applyNumberFormat="1" applyFont="1" applyFill="1" applyBorder="1" applyAlignment="1" applyProtection="1">
      <alignment vertical="center" wrapText="1"/>
      <protection locked="0"/>
    </xf>
    <xf numFmtId="173" fontId="20" fillId="5" borderId="23" xfId="7" applyNumberFormat="1" applyFont="1" applyFill="1" applyBorder="1" applyAlignment="1" applyProtection="1">
      <alignment horizontal="left" vertical="top" wrapText="1"/>
      <protection locked="0"/>
    </xf>
    <xf numFmtId="173" fontId="20" fillId="5" borderId="14" xfId="7" applyNumberFormat="1" applyFont="1" applyFill="1" applyBorder="1" applyAlignment="1" applyProtection="1">
      <alignment horizontal="left" vertical="top" wrapText="1"/>
      <protection locked="0"/>
    </xf>
    <xf numFmtId="173" fontId="19" fillId="0" borderId="6" xfId="7" applyNumberFormat="1" applyFont="1" applyFill="1" applyBorder="1" applyAlignment="1" applyProtection="1">
      <alignment vertical="center" wrapText="1"/>
      <protection locked="0"/>
    </xf>
    <xf numFmtId="0" fontId="20" fillId="6" borderId="53" xfId="9" applyFont="1" applyFill="1" applyBorder="1" applyAlignment="1" applyProtection="1">
      <alignment horizontal="left" vertical="center" wrapText="1"/>
      <protection locked="0"/>
    </xf>
    <xf numFmtId="0" fontId="20" fillId="6" borderId="5" xfId="9" applyFont="1" applyFill="1" applyBorder="1" applyAlignment="1" applyProtection="1">
      <alignment horizontal="left" vertical="center" wrapText="1"/>
      <protection locked="0"/>
    </xf>
    <xf numFmtId="0" fontId="20" fillId="0" borderId="4" xfId="9" applyFont="1" applyBorder="1" applyAlignment="1" applyProtection="1">
      <alignment horizontal="center" vertical="center" wrapText="1"/>
      <protection locked="0"/>
    </xf>
    <xf numFmtId="0" fontId="20" fillId="0" borderId="13" xfId="9" applyFont="1" applyBorder="1" applyAlignment="1" applyProtection="1">
      <alignment horizontal="center" vertical="center" wrapText="1"/>
      <protection locked="0"/>
    </xf>
    <xf numFmtId="0" fontId="20" fillId="0" borderId="5" xfId="9" applyFont="1" applyBorder="1" applyAlignment="1" applyProtection="1">
      <alignment horizontal="center" vertical="center" wrapText="1"/>
      <protection locked="0"/>
    </xf>
    <xf numFmtId="0" fontId="20" fillId="0" borderId="2" xfId="9" applyFont="1" applyBorder="1" applyAlignment="1" applyProtection="1">
      <alignment horizontal="center" vertical="center" wrapText="1"/>
      <protection locked="0"/>
    </xf>
    <xf numFmtId="173" fontId="20" fillId="0" borderId="0" xfId="9" applyNumberFormat="1" applyFont="1" applyAlignment="1" applyProtection="1">
      <alignment horizontal="center" vertical="center"/>
      <protection locked="0"/>
    </xf>
    <xf numFmtId="0" fontId="20" fillId="0" borderId="0" xfId="9" applyFont="1" applyAlignment="1" applyProtection="1">
      <alignment horizontal="center" vertical="center"/>
      <protection locked="0"/>
    </xf>
    <xf numFmtId="0" fontId="19" fillId="0" borderId="0" xfId="9" applyFont="1" applyAlignment="1" applyProtection="1">
      <alignment horizontal="justify" vertical="top" wrapText="1"/>
      <protection locked="0"/>
    </xf>
    <xf numFmtId="0" fontId="20" fillId="0" borderId="0" xfId="9" applyFont="1" applyAlignment="1" applyProtection="1">
      <alignment horizontal="left" vertical="center" wrapText="1"/>
      <protection locked="0"/>
    </xf>
    <xf numFmtId="169" fontId="31" fillId="0" borderId="3" xfId="19" applyNumberFormat="1" applyFont="1" applyFill="1" applyBorder="1" applyAlignment="1" applyProtection="1">
      <alignment vertical="center"/>
      <protection locked="0"/>
    </xf>
    <xf numFmtId="0" fontId="31" fillId="0" borderId="3" xfId="21" applyFont="1" applyBorder="1" applyAlignment="1" applyProtection="1">
      <alignment vertical="center"/>
      <protection locked="0"/>
    </xf>
    <xf numFmtId="1" fontId="22" fillId="0" borderId="4" xfId="20" applyNumberFormat="1" applyFont="1" applyFill="1" applyBorder="1" applyAlignment="1" applyProtection="1">
      <alignment vertical="center" wrapText="1"/>
      <protection locked="0"/>
    </xf>
    <xf numFmtId="1" fontId="22" fillId="0" borderId="4" xfId="24" applyNumberFormat="1" applyFont="1" applyFill="1" applyBorder="1" applyAlignment="1" applyProtection="1">
      <alignment vertical="center" wrapText="1"/>
      <protection locked="0"/>
    </xf>
    <xf numFmtId="0" fontId="19" fillId="2" borderId="0" xfId="9" applyFont="1" applyFill="1" applyProtection="1">
      <protection locked="0"/>
    </xf>
    <xf numFmtId="0" fontId="19" fillId="2" borderId="0" xfId="9" applyFont="1" applyFill="1" applyAlignment="1" applyProtection="1">
      <alignment horizontal="center" vertical="center"/>
      <protection locked="0"/>
    </xf>
    <xf numFmtId="173" fontId="19" fillId="0" borderId="4" xfId="7" applyNumberFormat="1" applyFont="1" applyBorder="1" applyAlignment="1" applyProtection="1">
      <alignment horizontal="center" vertical="center" wrapText="1"/>
      <protection locked="0"/>
    </xf>
    <xf numFmtId="169" fontId="19" fillId="0" borderId="4" xfId="30" applyNumberFormat="1" applyBorder="1" applyAlignment="1" applyProtection="1">
      <alignment horizontal="center" vertical="center" wrapText="1"/>
      <protection locked="0"/>
    </xf>
    <xf numFmtId="173" fontId="19" fillId="0" borderId="23" xfId="30" applyNumberFormat="1" applyBorder="1" applyAlignment="1" applyProtection="1">
      <alignment horizontal="center" vertical="center" wrapText="1"/>
      <protection locked="0"/>
    </xf>
    <xf numFmtId="0" fontId="19" fillId="0" borderId="51" xfId="30" applyBorder="1" applyAlignment="1" applyProtection="1">
      <alignment vertical="center" wrapText="1"/>
      <protection locked="0"/>
    </xf>
    <xf numFmtId="173" fontId="19" fillId="0" borderId="13" xfId="7" applyNumberFormat="1" applyFont="1" applyBorder="1" applyAlignment="1" applyProtection="1">
      <alignment horizontal="center" vertical="center" wrapText="1"/>
      <protection locked="0"/>
    </xf>
    <xf numFmtId="9" fontId="19" fillId="0" borderId="13" xfId="30" applyNumberFormat="1" applyBorder="1" applyAlignment="1" applyProtection="1">
      <alignment horizontal="center" vertical="center" wrapText="1"/>
      <protection locked="0"/>
    </xf>
    <xf numFmtId="169" fontId="19" fillId="0" borderId="13" xfId="30" applyNumberFormat="1" applyBorder="1" applyAlignment="1" applyProtection="1">
      <alignment horizontal="center" vertical="center" wrapText="1"/>
      <protection locked="0"/>
    </xf>
    <xf numFmtId="173" fontId="19" fillId="0" borderId="14" xfId="30" applyNumberFormat="1" applyBorder="1" applyAlignment="1" applyProtection="1">
      <alignment horizontal="center" vertical="center" wrapText="1"/>
      <protection locked="0"/>
    </xf>
    <xf numFmtId="0" fontId="20" fillId="5" borderId="16" xfId="30" applyFont="1" applyFill="1" applyBorder="1" applyAlignment="1" applyProtection="1">
      <alignment horizontal="right" vertical="center" wrapText="1"/>
      <protection locked="0"/>
    </xf>
    <xf numFmtId="0" fontId="20" fillId="3" borderId="16" xfId="30" applyFont="1" applyFill="1" applyBorder="1" applyAlignment="1" applyProtection="1">
      <alignment horizontal="center" vertical="center" wrapText="1"/>
      <protection locked="0"/>
    </xf>
    <xf numFmtId="0" fontId="20" fillId="3" borderId="4" xfId="30" applyFont="1" applyFill="1" applyBorder="1" applyAlignment="1" applyProtection="1">
      <alignment horizontal="center" vertical="center" wrapText="1"/>
      <protection locked="0"/>
    </xf>
    <xf numFmtId="0" fontId="20" fillId="3" borderId="23" xfId="30" applyFont="1" applyFill="1" applyBorder="1" applyAlignment="1" applyProtection="1">
      <alignment horizontal="center" vertical="center" wrapText="1"/>
      <protection locked="0"/>
    </xf>
    <xf numFmtId="173" fontId="19" fillId="0" borderId="7" xfId="7" applyNumberFormat="1" applyFont="1" applyBorder="1" applyAlignment="1" applyProtection="1">
      <alignment horizontal="center" vertical="center" wrapText="1"/>
      <protection locked="0"/>
    </xf>
    <xf numFmtId="169" fontId="19" fillId="0" borderId="7" xfId="30" applyNumberFormat="1" applyBorder="1" applyAlignment="1" applyProtection="1">
      <alignment horizontal="center" vertical="center" wrapText="1"/>
      <protection locked="0"/>
    </xf>
    <xf numFmtId="173" fontId="19" fillId="0" borderId="8" xfId="30" applyNumberFormat="1" applyBorder="1" applyAlignment="1" applyProtection="1">
      <alignment horizontal="center" vertical="center" wrapText="1"/>
      <protection locked="0"/>
    </xf>
    <xf numFmtId="0" fontId="20" fillId="5" borderId="30" xfId="30" applyFont="1" applyFill="1" applyBorder="1" applyAlignment="1" applyProtection="1">
      <alignment horizontal="right" vertical="center" wrapText="1"/>
      <protection locked="0"/>
    </xf>
    <xf numFmtId="0" fontId="19" fillId="0" borderId="4" xfId="9" applyFont="1" applyBorder="1" applyProtection="1">
      <protection locked="0"/>
    </xf>
    <xf numFmtId="173" fontId="19" fillId="0" borderId="1" xfId="7" applyNumberFormat="1" applyFont="1" applyFill="1" applyBorder="1" applyAlignment="1" applyProtection="1">
      <alignment horizontal="center" vertical="center" wrapText="1"/>
      <protection locked="0"/>
    </xf>
    <xf numFmtId="9" fontId="19" fillId="0" borderId="2" xfId="30" applyNumberFormat="1" applyBorder="1" applyAlignment="1" applyProtection="1">
      <alignment horizontal="center" vertical="center" wrapText="1"/>
      <protection locked="0"/>
    </xf>
    <xf numFmtId="169" fontId="19" fillId="0" borderId="2" xfId="30" applyNumberFormat="1" applyBorder="1" applyAlignment="1" applyProtection="1">
      <alignment horizontal="center" vertical="center" wrapText="1"/>
      <protection locked="0"/>
    </xf>
    <xf numFmtId="173" fontId="19" fillId="0" borderId="3" xfId="30" applyNumberFormat="1" applyBorder="1" applyAlignment="1" applyProtection="1">
      <alignment horizontal="center" vertical="center" wrapText="1"/>
      <protection locked="0"/>
    </xf>
    <xf numFmtId="9" fontId="19" fillId="0" borderId="5" xfId="30" applyNumberFormat="1" applyBorder="1" applyAlignment="1" applyProtection="1">
      <alignment horizontal="center" vertical="center" wrapText="1"/>
      <protection locked="0"/>
    </xf>
    <xf numFmtId="169" fontId="19" fillId="0" borderId="5" xfId="30" applyNumberFormat="1" applyBorder="1" applyAlignment="1" applyProtection="1">
      <alignment horizontal="center" vertical="center" wrapText="1"/>
      <protection locked="0"/>
    </xf>
    <xf numFmtId="173" fontId="19" fillId="0" borderId="6" xfId="30" applyNumberFormat="1" applyBorder="1" applyAlignment="1" applyProtection="1">
      <alignment horizontal="center" vertical="center" wrapText="1"/>
      <protection locked="0"/>
    </xf>
    <xf numFmtId="0" fontId="30" fillId="0" borderId="53" xfId="45" applyFont="1" applyBorder="1" applyAlignment="1" applyProtection="1">
      <alignment horizontal="left" vertical="center" wrapText="1"/>
      <protection locked="0"/>
    </xf>
    <xf numFmtId="175" fontId="19" fillId="0" borderId="5" xfId="45" applyNumberFormat="1" applyFont="1" applyBorder="1" applyAlignment="1" applyProtection="1">
      <alignment horizontal="left" vertical="center" wrapText="1"/>
      <protection locked="0"/>
    </xf>
    <xf numFmtId="14" fontId="19" fillId="0" borderId="5" xfId="45" applyNumberFormat="1" applyFont="1" applyBorder="1" applyAlignment="1" applyProtection="1">
      <alignment horizontal="left" vertical="center" wrapText="1"/>
      <protection locked="0"/>
    </xf>
    <xf numFmtId="176" fontId="30" fillId="0" borderId="5" xfId="45" applyNumberFormat="1" applyFont="1" applyBorder="1" applyAlignment="1" applyProtection="1">
      <alignment horizontal="center" vertical="center"/>
      <protection locked="0"/>
    </xf>
    <xf numFmtId="9" fontId="20" fillId="0" borderId="5" xfId="46" applyNumberFormat="1" applyFont="1" applyFill="1" applyBorder="1" applyAlignment="1" applyProtection="1">
      <alignment horizontal="center" vertical="center"/>
      <protection locked="0"/>
    </xf>
    <xf numFmtId="176" fontId="20" fillId="0" borderId="5" xfId="45" applyNumberFormat="1" applyFont="1" applyBorder="1" applyAlignment="1" applyProtection="1">
      <alignment horizontal="center" vertical="center"/>
      <protection locked="0"/>
    </xf>
    <xf numFmtId="10" fontId="20" fillId="0" borderId="5" xfId="47" applyNumberFormat="1" applyFont="1" applyFill="1" applyBorder="1" applyAlignment="1" applyProtection="1">
      <alignment horizontal="center" vertical="center"/>
      <protection locked="0"/>
    </xf>
    <xf numFmtId="10" fontId="20" fillId="0" borderId="6" xfId="47" applyNumberFormat="1" applyFont="1" applyFill="1" applyBorder="1" applyAlignment="1" applyProtection="1">
      <alignment horizontal="center" vertical="center"/>
      <protection locked="0"/>
    </xf>
    <xf numFmtId="171" fontId="20" fillId="0" borderId="5" xfId="46" applyNumberFormat="1" applyFont="1" applyFill="1" applyBorder="1" applyAlignment="1" applyProtection="1">
      <alignment horizontal="center" vertical="center"/>
      <protection locked="0"/>
    </xf>
    <xf numFmtId="173" fontId="19" fillId="0" borderId="53" xfId="7" applyNumberFormat="1" applyFont="1" applyFill="1" applyBorder="1" applyAlignment="1" applyProtection="1">
      <alignment horizontal="center" vertical="center" wrapText="1"/>
      <protection locked="0"/>
    </xf>
    <xf numFmtId="0" fontId="19" fillId="0" borderId="5" xfId="9" applyFont="1" applyBorder="1" applyAlignment="1" applyProtection="1">
      <alignment horizontal="left" vertical="top" wrapText="1"/>
      <protection locked="0"/>
    </xf>
    <xf numFmtId="173" fontId="19" fillId="0" borderId="6" xfId="7" applyNumberFormat="1" applyFont="1" applyFill="1" applyBorder="1" applyAlignment="1" applyProtection="1">
      <alignment horizontal="center" vertical="center" wrapText="1"/>
      <protection locked="0"/>
    </xf>
    <xf numFmtId="0" fontId="19" fillId="0" borderId="4" xfId="9" applyFont="1" applyBorder="1" applyAlignment="1" applyProtection="1">
      <alignment horizontal="left" vertical="top" wrapText="1"/>
      <protection locked="0"/>
    </xf>
    <xf numFmtId="9" fontId="19" fillId="0" borderId="58" xfId="30" applyNumberFormat="1" applyBorder="1" applyAlignment="1">
      <alignment vertical="center" wrapText="1"/>
    </xf>
    <xf numFmtId="0" fontId="19" fillId="0" borderId="58" xfId="30" applyBorder="1" applyAlignment="1">
      <alignment vertical="center" wrapText="1"/>
    </xf>
    <xf numFmtId="0" fontId="22" fillId="0" borderId="4" xfId="21" applyFont="1" applyBorder="1" applyAlignment="1" applyProtection="1">
      <alignment horizontal="left" vertical="center"/>
      <protection locked="0"/>
    </xf>
    <xf numFmtId="165" fontId="22" fillId="0" borderId="23" xfId="7" applyFont="1" applyFill="1" applyBorder="1" applyAlignment="1" applyProtection="1">
      <alignment horizontal="left" vertical="center"/>
      <protection hidden="1"/>
    </xf>
    <xf numFmtId="0" fontId="19" fillId="0" borderId="4" xfId="9" applyFont="1" applyBorder="1" applyAlignment="1" applyProtection="1">
      <alignment horizontal="center" vertical="center"/>
      <protection locked="0"/>
    </xf>
    <xf numFmtId="0" fontId="31" fillId="16" borderId="20" xfId="21" applyFont="1" applyFill="1" applyBorder="1" applyAlignment="1" applyProtection="1">
      <alignment vertical="center"/>
      <protection locked="0"/>
    </xf>
    <xf numFmtId="0" fontId="31" fillId="16" borderId="21" xfId="21" applyFont="1" applyFill="1" applyBorder="1" applyAlignment="1" applyProtection="1">
      <alignment vertical="center"/>
      <protection locked="0"/>
    </xf>
    <xf numFmtId="0" fontId="31" fillId="16" borderId="9" xfId="21" applyFont="1" applyFill="1" applyBorder="1" applyAlignment="1" applyProtection="1">
      <alignment vertical="center"/>
      <protection locked="0"/>
    </xf>
    <xf numFmtId="0" fontId="31" fillId="16" borderId="22" xfId="21" applyFont="1" applyFill="1" applyBorder="1" applyAlignment="1" applyProtection="1">
      <alignment vertical="center"/>
      <protection locked="0"/>
    </xf>
    <xf numFmtId="0" fontId="31" fillId="16" borderId="12" xfId="21" applyFont="1" applyFill="1" applyBorder="1" applyAlignment="1" applyProtection="1">
      <alignment vertical="center"/>
      <protection locked="0"/>
    </xf>
    <xf numFmtId="0" fontId="50" fillId="0" borderId="0" xfId="57" applyFont="1" applyAlignment="1" applyProtection="1">
      <alignment vertical="center"/>
      <protection locked="0"/>
    </xf>
    <xf numFmtId="167" fontId="50" fillId="0" borderId="0" xfId="57" applyNumberFormat="1" applyFont="1" applyAlignment="1" applyProtection="1">
      <alignment vertical="center"/>
      <protection locked="0"/>
    </xf>
    <xf numFmtId="0" fontId="19" fillId="0" borderId="14" xfId="9" applyFont="1" applyBorder="1" applyAlignment="1">
      <alignment horizontal="center" vertical="center"/>
    </xf>
    <xf numFmtId="0" fontId="19" fillId="0" borderId="14" xfId="9" applyFont="1" applyBorder="1" applyAlignment="1" applyProtection="1">
      <alignment horizontal="center" vertical="center"/>
      <protection locked="0"/>
    </xf>
    <xf numFmtId="0" fontId="19" fillId="0" borderId="13" xfId="9" applyFont="1" applyBorder="1" applyAlignment="1" applyProtection="1">
      <alignment horizontal="center" vertical="center"/>
      <protection locked="0"/>
    </xf>
    <xf numFmtId="0" fontId="50" fillId="0" borderId="0" xfId="57" applyFont="1"/>
    <xf numFmtId="0" fontId="19" fillId="0" borderId="53" xfId="0" applyFont="1" applyBorder="1" applyAlignment="1" applyProtection="1">
      <alignment vertical="center"/>
      <protection locked="0"/>
    </xf>
    <xf numFmtId="0" fontId="19" fillId="8" borderId="6" xfId="0" applyFont="1" applyFill="1" applyBorder="1" applyAlignment="1" applyProtection="1">
      <alignment vertical="center"/>
      <protection locked="0"/>
    </xf>
    <xf numFmtId="0" fontId="19" fillId="0" borderId="16" xfId="0" applyFont="1" applyBorder="1" applyAlignment="1" applyProtection="1">
      <alignment vertical="center"/>
      <protection locked="0"/>
    </xf>
    <xf numFmtId="0" fontId="19" fillId="15" borderId="23" xfId="0" applyFont="1" applyFill="1" applyBorder="1" applyAlignment="1" applyProtection="1">
      <alignment vertical="center"/>
      <protection locked="0"/>
    </xf>
    <xf numFmtId="0" fontId="19" fillId="0" borderId="51" xfId="0" applyFont="1" applyBorder="1" applyAlignment="1" applyProtection="1">
      <alignment vertical="center"/>
      <protection locked="0"/>
    </xf>
    <xf numFmtId="0" fontId="19" fillId="13" borderId="14" xfId="0" applyFont="1" applyFill="1" applyBorder="1" applyAlignment="1" applyProtection="1">
      <alignment vertical="center"/>
      <protection locked="0"/>
    </xf>
    <xf numFmtId="0" fontId="19" fillId="0" borderId="57" xfId="0" applyFont="1" applyBorder="1" applyAlignment="1" applyProtection="1">
      <alignment vertical="center"/>
      <protection locked="0"/>
    </xf>
    <xf numFmtId="0" fontId="19" fillId="14" borderId="15" xfId="0" applyFont="1" applyFill="1" applyBorder="1" applyAlignment="1" applyProtection="1">
      <alignment vertical="center"/>
      <protection locked="0"/>
    </xf>
    <xf numFmtId="10" fontId="31" fillId="17" borderId="4" xfId="16" applyNumberFormat="1" applyFont="1" applyFill="1" applyBorder="1" applyAlignment="1" applyProtection="1">
      <alignment vertical="center"/>
      <protection hidden="1"/>
    </xf>
    <xf numFmtId="10" fontId="31" fillId="0" borderId="4" xfId="16" applyNumberFormat="1" applyFont="1" applyBorder="1" applyAlignment="1" applyProtection="1">
      <alignment vertical="center"/>
      <protection hidden="1"/>
    </xf>
    <xf numFmtId="2" fontId="21" fillId="0" borderId="0" xfId="9" applyNumberFormat="1" applyFont="1" applyAlignment="1" applyProtection="1">
      <alignment vertical="center"/>
      <protection locked="0"/>
    </xf>
    <xf numFmtId="173" fontId="21" fillId="0" borderId="0" xfId="7" applyNumberFormat="1" applyFont="1" applyAlignment="1" applyProtection="1">
      <alignment vertical="center"/>
      <protection locked="0"/>
    </xf>
    <xf numFmtId="173" fontId="21" fillId="0" borderId="0" xfId="9" applyNumberFormat="1" applyFont="1" applyAlignment="1" applyProtection="1">
      <alignment vertical="center"/>
      <protection locked="0"/>
    </xf>
    <xf numFmtId="171" fontId="20" fillId="0" borderId="0" xfId="9" applyNumberFormat="1" applyFont="1" applyAlignment="1">
      <alignment vertical="center"/>
    </xf>
    <xf numFmtId="44" fontId="21" fillId="0" borderId="0" xfId="9" applyNumberFormat="1" applyFont="1" applyAlignment="1" applyProtection="1">
      <alignment vertical="center"/>
      <protection locked="0"/>
    </xf>
    <xf numFmtId="171" fontId="21" fillId="0" borderId="0" xfId="9" applyNumberFormat="1" applyFont="1" applyAlignment="1" applyProtection="1">
      <alignment vertical="center"/>
      <protection hidden="1"/>
    </xf>
    <xf numFmtId="0" fontId="21" fillId="0" borderId="0" xfId="9" applyFont="1" applyAlignment="1" applyProtection="1">
      <alignment vertical="center"/>
      <protection locked="0"/>
    </xf>
    <xf numFmtId="1" fontId="20" fillId="0" borderId="37" xfId="14" applyNumberFormat="1" applyFont="1" applyBorder="1" applyAlignment="1" applyProtection="1">
      <alignment horizontal="center" vertical="center" wrapText="1"/>
      <protection locked="0"/>
    </xf>
    <xf numFmtId="44" fontId="21" fillId="0" borderId="0" xfId="14" applyNumberFormat="1" applyFont="1" applyAlignment="1" applyProtection="1">
      <alignment vertical="center"/>
      <protection locked="0"/>
    </xf>
    <xf numFmtId="174" fontId="21" fillId="0" borderId="0" xfId="14" applyNumberFormat="1" applyFont="1" applyAlignment="1" applyProtection="1">
      <alignment vertical="center"/>
      <protection locked="0"/>
    </xf>
    <xf numFmtId="0" fontId="20" fillId="8" borderId="4" xfId="9" applyFont="1" applyFill="1" applyBorder="1" applyAlignment="1" applyProtection="1">
      <alignment horizontal="justify" vertical="justify" wrapText="1"/>
      <protection locked="0"/>
    </xf>
    <xf numFmtId="171" fontId="20" fillId="8" borderId="4" xfId="16" applyNumberFormat="1" applyFont="1" applyFill="1" applyBorder="1" applyAlignment="1" applyProtection="1">
      <alignment horizontal="center" vertical="center" wrapText="1"/>
      <protection hidden="1"/>
    </xf>
    <xf numFmtId="171" fontId="19" fillId="0" borderId="4" xfId="14" applyNumberFormat="1" applyBorder="1" applyAlignment="1" applyProtection="1">
      <alignment horizontal="center" vertical="center"/>
      <protection hidden="1"/>
    </xf>
    <xf numFmtId="171" fontId="19" fillId="8" borderId="4" xfId="14" applyNumberFormat="1" applyFill="1" applyBorder="1" applyAlignment="1" applyProtection="1">
      <alignment horizontal="center" vertical="center"/>
      <protection hidden="1"/>
    </xf>
    <xf numFmtId="171" fontId="19" fillId="5" borderId="4" xfId="14" applyNumberFormat="1" applyFill="1" applyBorder="1" applyAlignment="1" applyProtection="1">
      <alignment horizontal="center" vertical="center"/>
      <protection hidden="1"/>
    </xf>
    <xf numFmtId="0" fontId="19" fillId="0" borderId="37" xfId="9" applyFont="1" applyBorder="1" applyAlignment="1" applyProtection="1">
      <alignment horizontal="center" vertical="center"/>
      <protection locked="0"/>
    </xf>
    <xf numFmtId="0" fontId="31" fillId="0" borderId="0" xfId="28" applyFont="1" applyAlignment="1" applyProtection="1">
      <alignment horizontal="center" vertical="center" wrapText="1"/>
      <protection locked="0"/>
    </xf>
    <xf numFmtId="173" fontId="19" fillId="0" borderId="23" xfId="8" applyNumberFormat="1" applyFont="1" applyFill="1" applyBorder="1" applyAlignment="1" applyProtection="1">
      <alignment horizontal="center"/>
    </xf>
    <xf numFmtId="173" fontId="19" fillId="0" borderId="14" xfId="8" applyNumberFormat="1" applyFont="1" applyFill="1" applyBorder="1" applyAlignment="1" applyProtection="1">
      <alignment horizontal="center"/>
    </xf>
    <xf numFmtId="0" fontId="20" fillId="14" borderId="54" xfId="9" applyFont="1" applyFill="1" applyBorder="1" applyAlignment="1">
      <alignment horizontal="center" vertical="center" wrapText="1"/>
    </xf>
    <xf numFmtId="0" fontId="20" fillId="14" borderId="55" xfId="9" applyFont="1" applyFill="1" applyBorder="1" applyAlignment="1">
      <alignment horizontal="center" vertical="center" wrapText="1"/>
    </xf>
    <xf numFmtId="0" fontId="20" fillId="14" borderId="63" xfId="9" applyFont="1" applyFill="1" applyBorder="1" applyAlignment="1">
      <alignment horizontal="center" vertical="center" wrapText="1"/>
    </xf>
    <xf numFmtId="0" fontId="19" fillId="0" borderId="16" xfId="9" applyFont="1" applyBorder="1"/>
    <xf numFmtId="173" fontId="19" fillId="0" borderId="4" xfId="8" applyNumberFormat="1" applyFont="1" applyFill="1" applyBorder="1" applyAlignment="1" applyProtection="1">
      <alignment horizontal="center"/>
    </xf>
    <xf numFmtId="2" fontId="19" fillId="0" borderId="4" xfId="17" applyNumberFormat="1" applyFont="1" applyFill="1" applyBorder="1" applyAlignment="1" applyProtection="1">
      <alignment horizontal="center"/>
    </xf>
    <xf numFmtId="0" fontId="19" fillId="0" borderId="51" xfId="9" applyFont="1" applyBorder="1"/>
    <xf numFmtId="173" fontId="19" fillId="0" borderId="13" xfId="8" applyNumberFormat="1" applyFont="1" applyFill="1" applyBorder="1" applyAlignment="1" applyProtection="1">
      <alignment horizontal="center"/>
    </xf>
    <xf numFmtId="2" fontId="19" fillId="0" borderId="13" xfId="17" applyNumberFormat="1" applyFont="1" applyFill="1" applyBorder="1" applyAlignment="1" applyProtection="1">
      <alignment horizontal="center"/>
    </xf>
    <xf numFmtId="0" fontId="31" fillId="0" borderId="0" xfId="58" applyFont="1" applyProtection="1">
      <protection locked="0"/>
    </xf>
    <xf numFmtId="0" fontId="30" fillId="7" borderId="30" xfId="58" applyFont="1" applyFill="1" applyBorder="1" applyAlignment="1">
      <alignment horizontal="center" vertical="center"/>
    </xf>
    <xf numFmtId="0" fontId="30" fillId="7" borderId="31" xfId="58" applyFont="1" applyFill="1" applyBorder="1" applyAlignment="1">
      <alignment horizontal="center" vertical="center" wrapText="1"/>
    </xf>
    <xf numFmtId="0" fontId="30" fillId="3" borderId="16" xfId="58" applyFont="1" applyFill="1" applyBorder="1"/>
    <xf numFmtId="0" fontId="30" fillId="3" borderId="4" xfId="58" applyFont="1" applyFill="1" applyBorder="1"/>
    <xf numFmtId="0" fontId="31" fillId="2" borderId="16" xfId="58" applyFont="1" applyFill="1" applyBorder="1"/>
    <xf numFmtId="10" fontId="31" fillId="2" borderId="4" xfId="58" applyNumberFormat="1" applyFont="1" applyFill="1" applyBorder="1"/>
    <xf numFmtId="10" fontId="31" fillId="2" borderId="4" xfId="59" applyNumberFormat="1" applyFont="1" applyFill="1" applyBorder="1" applyProtection="1"/>
    <xf numFmtId="0" fontId="30" fillId="0" borderId="51" xfId="58" applyFont="1" applyBorder="1"/>
    <xf numFmtId="10" fontId="30" fillId="7" borderId="13" xfId="59" applyNumberFormat="1" applyFont="1" applyFill="1" applyBorder="1" applyProtection="1"/>
    <xf numFmtId="0" fontId="31" fillId="0" borderId="0" xfId="58" applyFont="1"/>
    <xf numFmtId="10" fontId="31" fillId="0" borderId="0" xfId="59" applyNumberFormat="1" applyFont="1" applyFill="1" applyBorder="1" applyProtection="1"/>
    <xf numFmtId="0" fontId="45" fillId="7" borderId="10" xfId="58" applyFont="1" applyFill="1" applyBorder="1"/>
    <xf numFmtId="0" fontId="45" fillId="7" borderId="2" xfId="58" applyFont="1" applyFill="1" applyBorder="1" applyAlignment="1">
      <alignment horizontal="center"/>
    </xf>
    <xf numFmtId="0" fontId="45" fillId="7" borderId="3" xfId="58" applyFont="1" applyFill="1" applyBorder="1" applyAlignment="1">
      <alignment horizontal="center"/>
    </xf>
    <xf numFmtId="0" fontId="46" fillId="0" borderId="6" xfId="58" applyFont="1" applyBorder="1"/>
    <xf numFmtId="0" fontId="46" fillId="2" borderId="25" xfId="58" applyFont="1" applyFill="1" applyBorder="1" applyProtection="1">
      <protection locked="0"/>
    </xf>
    <xf numFmtId="10" fontId="18" fillId="0" borderId="4" xfId="59" applyNumberFormat="1" applyFont="1" applyFill="1" applyBorder="1" applyProtection="1">
      <protection locked="0"/>
    </xf>
    <xf numFmtId="10" fontId="18" fillId="0" borderId="23" xfId="59" applyNumberFormat="1" applyFont="1" applyFill="1" applyBorder="1" applyProtection="1">
      <protection locked="0"/>
    </xf>
    <xf numFmtId="0" fontId="46" fillId="2" borderId="32" xfId="58" applyFont="1" applyFill="1" applyBorder="1" applyProtection="1">
      <protection locked="0"/>
    </xf>
    <xf numFmtId="10" fontId="47" fillId="7" borderId="13" xfId="59" applyNumberFormat="1" applyFont="1" applyFill="1" applyBorder="1" applyProtection="1">
      <protection locked="0"/>
    </xf>
    <xf numFmtId="10" fontId="47" fillId="7" borderId="14" xfId="59" applyNumberFormat="1" applyFont="1" applyFill="1" applyBorder="1" applyProtection="1">
      <protection locked="0"/>
    </xf>
    <xf numFmtId="173" fontId="31" fillId="19" borderId="4" xfId="7" applyNumberFormat="1" applyFont="1" applyFill="1" applyBorder="1" applyAlignment="1" applyProtection="1">
      <alignment vertical="center"/>
      <protection locked="0"/>
    </xf>
    <xf numFmtId="173" fontId="31" fillId="19" borderId="4" xfId="7" applyNumberFormat="1" applyFont="1" applyFill="1" applyBorder="1" applyAlignment="1" applyProtection="1">
      <alignment horizontal="right" vertical="center"/>
      <protection locked="0"/>
    </xf>
    <xf numFmtId="0" fontId="30" fillId="5" borderId="4" xfId="28" applyFont="1" applyFill="1" applyBorder="1" applyAlignment="1" applyProtection="1">
      <alignment vertical="center"/>
      <protection locked="0"/>
    </xf>
    <xf numFmtId="42" fontId="31" fillId="0" borderId="4" xfId="44" applyNumberFormat="1" applyFont="1" applyBorder="1" applyProtection="1">
      <protection hidden="1"/>
    </xf>
    <xf numFmtId="0" fontId="31" fillId="2" borderId="4" xfId="44" applyFont="1" applyFill="1" applyBorder="1" applyProtection="1">
      <protection hidden="1"/>
    </xf>
    <xf numFmtId="171" fontId="20" fillId="8" borderId="4" xfId="16" applyNumberFormat="1" applyFont="1" applyFill="1" applyBorder="1" applyAlignment="1" applyProtection="1">
      <alignment horizontal="center" vertical="center" wrapText="1"/>
    </xf>
    <xf numFmtId="10" fontId="30" fillId="2" borderId="23" xfId="34" applyNumberFormat="1" applyFont="1" applyFill="1" applyBorder="1" applyAlignment="1" applyProtection="1">
      <alignment horizontal="center" vertical="center"/>
      <protection locked="0" hidden="1"/>
    </xf>
    <xf numFmtId="0" fontId="30" fillId="2" borderId="23" xfId="34" applyFont="1" applyFill="1" applyBorder="1" applyAlignment="1" applyProtection="1">
      <alignment horizontal="center" vertical="center"/>
      <protection locked="0" hidden="1"/>
    </xf>
    <xf numFmtId="0" fontId="30" fillId="14" borderId="23" xfId="34" applyFont="1" applyFill="1" applyBorder="1" applyAlignment="1" applyProtection="1">
      <alignment horizontal="center" vertical="center"/>
      <protection locked="0"/>
    </xf>
    <xf numFmtId="173" fontId="31" fillId="2" borderId="23" xfId="7" applyNumberFormat="1" applyFont="1" applyFill="1" applyBorder="1" applyAlignment="1" applyProtection="1">
      <alignment vertical="center"/>
      <protection locked="0" hidden="1"/>
    </xf>
    <xf numFmtId="0" fontId="19" fillId="0" borderId="0" xfId="10"/>
    <xf numFmtId="0" fontId="55" fillId="21" borderId="16" xfId="10" applyFont="1" applyFill="1" applyBorder="1" applyAlignment="1">
      <alignment horizontal="center" vertical="center"/>
    </xf>
    <xf numFmtId="0" fontId="55" fillId="21" borderId="4" xfId="10" applyFont="1" applyFill="1" applyBorder="1" applyAlignment="1">
      <alignment horizontal="center" vertical="center"/>
    </xf>
    <xf numFmtId="0" fontId="55" fillId="21" borderId="4" xfId="10" applyFont="1" applyFill="1" applyBorder="1" applyAlignment="1">
      <alignment horizontal="center" vertical="center" wrapText="1"/>
    </xf>
    <xf numFmtId="0" fontId="55" fillId="19" borderId="2" xfId="10" applyFont="1" applyFill="1" applyBorder="1" applyAlignment="1">
      <alignment horizontal="center" vertical="center" wrapText="1"/>
    </xf>
    <xf numFmtId="0" fontId="19" fillId="0" borderId="16" xfId="10" applyBorder="1" applyAlignment="1">
      <alignment horizontal="center" vertical="center"/>
    </xf>
    <xf numFmtId="0" fontId="56" fillId="0" borderId="71" xfId="60" applyFont="1" applyBorder="1" applyAlignment="1">
      <alignment horizontal="justify" vertical="center" wrapText="1"/>
    </xf>
    <xf numFmtId="0" fontId="56" fillId="0" borderId="36" xfId="60" applyFont="1" applyBorder="1" applyAlignment="1">
      <alignment horizontal="justify" vertical="center"/>
    </xf>
    <xf numFmtId="0" fontId="57" fillId="0" borderId="5" xfId="10" applyFont="1" applyBorder="1" applyAlignment="1">
      <alignment horizontal="center" vertical="center"/>
    </xf>
    <xf numFmtId="0" fontId="56" fillId="0" borderId="36" xfId="60" applyFont="1" applyBorder="1" applyAlignment="1">
      <alignment horizontal="justify" vertical="center" wrapText="1"/>
    </xf>
    <xf numFmtId="0" fontId="56" fillId="0" borderId="0" xfId="60" applyFont="1" applyAlignment="1">
      <alignment horizontal="justify" vertical="center" wrapText="1"/>
    </xf>
    <xf numFmtId="42" fontId="58" fillId="0" borderId="4" xfId="61" applyNumberFormat="1" applyFont="1" applyFill="1" applyBorder="1" applyAlignment="1">
      <alignment horizontal="center" vertical="center" wrapText="1"/>
    </xf>
    <xf numFmtId="2" fontId="57" fillId="0" borderId="4" xfId="10" applyNumberFormat="1" applyFont="1" applyBorder="1" applyAlignment="1">
      <alignment horizontal="center" vertical="center"/>
    </xf>
    <xf numFmtId="42" fontId="58" fillId="0" borderId="23" xfId="61" applyNumberFormat="1" applyFont="1" applyFill="1" applyBorder="1" applyAlignment="1">
      <alignment horizontal="center" vertical="center" wrapText="1"/>
    </xf>
    <xf numFmtId="0" fontId="57" fillId="0" borderId="4" xfId="10" applyFont="1" applyBorder="1" applyAlignment="1">
      <alignment horizontal="center" vertical="center"/>
    </xf>
    <xf numFmtId="0" fontId="56" fillId="0" borderId="12" xfId="60" applyFont="1" applyBorder="1" applyAlignment="1">
      <alignment horizontal="justify" vertical="center" wrapText="1"/>
    </xf>
    <xf numFmtId="0" fontId="56" fillId="0" borderId="4" xfId="60" applyFont="1" applyBorder="1" applyAlignment="1">
      <alignment horizontal="justify" vertical="center" wrapText="1"/>
    </xf>
    <xf numFmtId="0" fontId="57" fillId="0" borderId="4" xfId="10" applyFont="1" applyBorder="1" applyAlignment="1">
      <alignment horizontal="center" vertical="center" wrapText="1"/>
    </xf>
    <xf numFmtId="2" fontId="57" fillId="0" borderId="4" xfId="10" applyNumberFormat="1" applyFont="1" applyBorder="1" applyAlignment="1">
      <alignment horizontal="center" vertical="center" wrapText="1"/>
    </xf>
    <xf numFmtId="0" fontId="19" fillId="0" borderId="51" xfId="10" applyBorder="1" applyAlignment="1">
      <alignment horizontal="center" vertical="center"/>
    </xf>
    <xf numFmtId="42" fontId="58" fillId="0" borderId="13" xfId="61" applyNumberFormat="1" applyFont="1" applyFill="1" applyBorder="1" applyAlignment="1">
      <alignment horizontal="center" vertical="center" wrapText="1"/>
    </xf>
    <xf numFmtId="2" fontId="57" fillId="0" borderId="13" xfId="10" applyNumberFormat="1" applyFont="1" applyBorder="1" applyAlignment="1">
      <alignment horizontal="center" vertical="center"/>
    </xf>
    <xf numFmtId="0" fontId="19" fillId="0" borderId="9" xfId="10" applyBorder="1" applyAlignment="1">
      <alignment horizontal="center" vertical="center"/>
    </xf>
    <xf numFmtId="44" fontId="54" fillId="0" borderId="24" xfId="62" applyFont="1" applyFill="1" applyBorder="1" applyAlignment="1">
      <alignment vertical="center"/>
    </xf>
    <xf numFmtId="44" fontId="54" fillId="0" borderId="23" xfId="62" applyFont="1" applyFill="1" applyBorder="1" applyAlignment="1">
      <alignment vertical="center"/>
    </xf>
    <xf numFmtId="44" fontId="54" fillId="22" borderId="14" xfId="62" applyFont="1" applyFill="1" applyBorder="1" applyAlignment="1">
      <alignment vertical="center"/>
    </xf>
    <xf numFmtId="0" fontId="19" fillId="0" borderId="0" xfId="10" applyAlignment="1">
      <alignment horizontal="center" vertical="center"/>
    </xf>
    <xf numFmtId="0" fontId="59" fillId="0" borderId="0" xfId="10" applyFont="1"/>
    <xf numFmtId="183" fontId="59" fillId="0" borderId="0" xfId="63" applyNumberFormat="1" applyFont="1"/>
    <xf numFmtId="0" fontId="59" fillId="0" borderId="37" xfId="10" applyFont="1" applyBorder="1" applyAlignment="1">
      <alignment horizontal="left" vertical="center" wrapText="1"/>
    </xf>
    <xf numFmtId="0" fontId="59" fillId="0" borderId="0" xfId="10" applyFont="1" applyAlignment="1">
      <alignment vertical="center" wrapText="1"/>
    </xf>
    <xf numFmtId="0" fontId="60" fillId="0" borderId="0" xfId="60" applyFont="1" applyAlignment="1">
      <alignment vertical="top" wrapText="1"/>
    </xf>
    <xf numFmtId="42" fontId="57" fillId="0" borderId="4" xfId="61" applyNumberFormat="1" applyFont="1" applyFill="1" applyBorder="1" applyAlignment="1">
      <alignment horizontal="center" vertical="center" wrapText="1"/>
    </xf>
    <xf numFmtId="173" fontId="19" fillId="0" borderId="0" xfId="9" applyNumberFormat="1" applyFont="1" applyAlignment="1" applyProtection="1">
      <alignment horizontal="right" vertical="top" wrapText="1"/>
      <protection locked="0"/>
    </xf>
    <xf numFmtId="0" fontId="19" fillId="0" borderId="0" xfId="10" applyProtection="1">
      <protection locked="0"/>
    </xf>
    <xf numFmtId="0" fontId="20" fillId="0" borderId="9" xfId="65" applyFont="1" applyBorder="1" applyAlignment="1" applyProtection="1">
      <alignment vertical="center" wrapText="1"/>
      <protection locked="0"/>
    </xf>
    <xf numFmtId="0" fontId="20" fillId="0" borderId="0" xfId="65" applyFont="1" applyAlignment="1" applyProtection="1">
      <alignment vertical="center" wrapText="1"/>
      <protection locked="0"/>
    </xf>
    <xf numFmtId="0" fontId="20" fillId="0" borderId="48" xfId="65" applyFont="1" applyBorder="1" applyAlignment="1" applyProtection="1">
      <alignment vertical="center" wrapText="1"/>
      <protection locked="0"/>
    </xf>
    <xf numFmtId="0" fontId="55" fillId="7" borderId="31" xfId="10" applyFont="1" applyFill="1" applyBorder="1" applyAlignment="1">
      <alignment horizontal="center" vertical="center"/>
    </xf>
    <xf numFmtId="0" fontId="55" fillId="7" borderId="31" xfId="10" applyFont="1" applyFill="1" applyBorder="1" applyAlignment="1">
      <alignment horizontal="center" vertical="center" wrapText="1"/>
    </xf>
    <xf numFmtId="0" fontId="55" fillId="25" borderId="31" xfId="10" applyFont="1" applyFill="1" applyBorder="1" applyAlignment="1">
      <alignment horizontal="center" vertical="center" wrapText="1"/>
    </xf>
    <xf numFmtId="0" fontId="55" fillId="7" borderId="24" xfId="10" applyFont="1" applyFill="1" applyBorder="1" applyAlignment="1">
      <alignment horizontal="center" vertical="center" wrapText="1"/>
    </xf>
    <xf numFmtId="0" fontId="56" fillId="0" borderId="0" xfId="65" applyFont="1"/>
    <xf numFmtId="0" fontId="63" fillId="0" borderId="4" xfId="65" applyFont="1" applyBorder="1" applyAlignment="1">
      <alignment horizontal="center" vertical="center" wrapText="1"/>
    </xf>
    <xf numFmtId="0" fontId="20" fillId="0" borderId="0" xfId="65" applyFont="1" applyAlignment="1" applyProtection="1">
      <alignment vertical="center"/>
      <protection locked="0"/>
    </xf>
    <xf numFmtId="0" fontId="56" fillId="0" borderId="0" xfId="65" applyFont="1" applyProtection="1">
      <protection locked="0"/>
    </xf>
    <xf numFmtId="0" fontId="19" fillId="0" borderId="0" xfId="11" applyFont="1" applyAlignment="1" applyProtection="1">
      <alignment vertical="top"/>
      <protection locked="0"/>
    </xf>
    <xf numFmtId="0" fontId="56" fillId="0" borderId="0" xfId="65" applyFont="1" applyAlignment="1" applyProtection="1">
      <alignment horizontal="center" vertical="center"/>
      <protection locked="0"/>
    </xf>
    <xf numFmtId="0" fontId="55" fillId="7" borderId="30" xfId="10" applyFont="1" applyFill="1" applyBorder="1" applyAlignment="1">
      <alignment horizontal="center" vertical="center" wrapText="1"/>
    </xf>
    <xf numFmtId="0" fontId="56" fillId="0" borderId="16" xfId="65" applyFont="1" applyBorder="1" applyAlignment="1">
      <alignment horizontal="center" vertical="center"/>
    </xf>
    <xf numFmtId="0" fontId="63" fillId="0" borderId="4" xfId="65" applyFont="1" applyBorder="1" applyAlignment="1">
      <alignment horizontal="left" vertical="center" wrapText="1"/>
    </xf>
    <xf numFmtId="42" fontId="56" fillId="0" borderId="4" xfId="68" applyFont="1" applyFill="1" applyBorder="1" applyAlignment="1" applyProtection="1">
      <alignment horizontal="left" vertical="center"/>
    </xf>
    <xf numFmtId="44" fontId="56" fillId="25" borderId="4" xfId="66" applyFont="1" applyFill="1" applyBorder="1" applyAlignment="1" applyProtection="1">
      <alignment horizontal="left" vertical="center"/>
      <protection locked="0"/>
    </xf>
    <xf numFmtId="2" fontId="56" fillId="0" borderId="4" xfId="65" applyNumberFormat="1" applyFont="1" applyBorder="1" applyAlignment="1">
      <alignment horizontal="center" vertical="center"/>
    </xf>
    <xf numFmtId="42" fontId="56" fillId="0" borderId="23" xfId="65" applyNumberFormat="1" applyFont="1" applyBorder="1" applyAlignment="1">
      <alignment horizontal="left" vertical="center"/>
    </xf>
    <xf numFmtId="0" fontId="56" fillId="0" borderId="18" xfId="65" applyFont="1" applyBorder="1" applyAlignment="1">
      <alignment horizontal="center" vertical="center"/>
    </xf>
    <xf numFmtId="0" fontId="63" fillId="0" borderId="7" xfId="65" applyFont="1" applyBorder="1" applyAlignment="1">
      <alignment horizontal="left" vertical="center" wrapText="1"/>
    </xf>
    <xf numFmtId="42" fontId="56" fillId="0" borderId="7" xfId="68" applyFont="1" applyFill="1" applyBorder="1" applyAlignment="1" applyProtection="1">
      <alignment horizontal="left" vertical="center"/>
    </xf>
    <xf numFmtId="44" fontId="56" fillId="25" borderId="7" xfId="66" applyFont="1" applyFill="1" applyBorder="1" applyAlignment="1" applyProtection="1">
      <alignment horizontal="left" vertical="center"/>
      <protection locked="0"/>
    </xf>
    <xf numFmtId="2" fontId="56" fillId="0" borderId="7" xfId="65" applyNumberFormat="1" applyFont="1" applyBorder="1" applyAlignment="1">
      <alignment horizontal="center" vertical="center"/>
    </xf>
    <xf numFmtId="42" fontId="56" fillId="0" borderId="8" xfId="65" applyNumberFormat="1" applyFont="1" applyBorder="1" applyAlignment="1">
      <alignment horizontal="left" vertical="center"/>
    </xf>
    <xf numFmtId="44" fontId="54" fillId="0" borderId="24" xfId="66" applyFont="1" applyFill="1" applyBorder="1" applyAlignment="1" applyProtection="1">
      <alignment horizontal="left" vertical="center"/>
    </xf>
    <xf numFmtId="2" fontId="54" fillId="0" borderId="23" xfId="66" applyNumberFormat="1" applyFont="1" applyFill="1" applyBorder="1" applyAlignment="1" applyProtection="1">
      <alignment horizontal="right" vertical="center"/>
    </xf>
    <xf numFmtId="44" fontId="54" fillId="0" borderId="23" xfId="66" applyFont="1" applyFill="1" applyBorder="1" applyAlignment="1" applyProtection="1">
      <alignment horizontal="left" vertical="center"/>
    </xf>
    <xf numFmtId="44" fontId="54" fillId="0" borderId="14" xfId="66" applyFont="1" applyFill="1" applyBorder="1" applyAlignment="1" applyProtection="1">
      <alignment horizontal="left" vertical="center"/>
    </xf>
    <xf numFmtId="0" fontId="64" fillId="21" borderId="31" xfId="65" applyFont="1" applyFill="1" applyBorder="1" applyAlignment="1">
      <alignment horizontal="center" vertical="center" wrapText="1"/>
    </xf>
    <xf numFmtId="0" fontId="56" fillId="0" borderId="0" xfId="65" applyFont="1" applyAlignment="1">
      <alignment horizontal="center" vertical="center"/>
    </xf>
    <xf numFmtId="0" fontId="56" fillId="0" borderId="4" xfId="65" applyFont="1" applyBorder="1" applyAlignment="1">
      <alignment horizontal="center" vertical="center"/>
    </xf>
    <xf numFmtId="0" fontId="64" fillId="7" borderId="30" xfId="65" applyFont="1" applyFill="1" applyBorder="1" applyAlignment="1">
      <alignment horizontal="center" vertical="center"/>
    </xf>
    <xf numFmtId="0" fontId="64" fillId="7" borderId="31" xfId="65" applyFont="1" applyFill="1" applyBorder="1" applyAlignment="1">
      <alignment horizontal="center" vertical="center"/>
    </xf>
    <xf numFmtId="0" fontId="64" fillId="7" borderId="31" xfId="65" applyFont="1" applyFill="1" applyBorder="1" applyAlignment="1">
      <alignment horizontal="center" vertical="center" wrapText="1"/>
    </xf>
    <xf numFmtId="0" fontId="64" fillId="7" borderId="24" xfId="65" applyFont="1" applyFill="1" applyBorder="1" applyAlignment="1">
      <alignment horizontal="center" vertical="center" wrapText="1"/>
    </xf>
    <xf numFmtId="42" fontId="56" fillId="0" borderId="4" xfId="68" applyFont="1" applyFill="1" applyBorder="1" applyAlignment="1" applyProtection="1">
      <alignment horizontal="center" vertical="center"/>
    </xf>
    <xf numFmtId="42" fontId="56" fillId="25" borderId="4" xfId="68" applyFont="1" applyFill="1" applyBorder="1" applyAlignment="1" applyProtection="1">
      <alignment horizontal="center" vertical="center"/>
      <protection locked="0"/>
    </xf>
    <xf numFmtId="42" fontId="56" fillId="0" borderId="23" xfId="68" applyFont="1" applyBorder="1" applyAlignment="1" applyProtection="1">
      <alignment vertical="center"/>
    </xf>
    <xf numFmtId="44" fontId="54" fillId="0" borderId="6" xfId="66" applyFont="1" applyFill="1" applyBorder="1" applyAlignment="1" applyProtection="1">
      <alignment horizontal="left" vertical="center"/>
    </xf>
    <xf numFmtId="0" fontId="56" fillId="0" borderId="9" xfId="65" applyFont="1" applyBorder="1"/>
    <xf numFmtId="0" fontId="63" fillId="19" borderId="18" xfId="65" applyFont="1" applyFill="1" applyBorder="1" applyAlignment="1">
      <alignment horizontal="center" vertical="center" wrapText="1"/>
    </xf>
    <xf numFmtId="0" fontId="63" fillId="19" borderId="7" xfId="65" applyFont="1" applyFill="1" applyBorder="1" applyAlignment="1">
      <alignment horizontal="center" vertical="center" wrapText="1"/>
    </xf>
    <xf numFmtId="169" fontId="63" fillId="0" borderId="4" xfId="66" applyNumberFormat="1" applyFont="1" applyFill="1" applyBorder="1" applyAlignment="1" applyProtection="1">
      <alignment horizontal="left" vertical="center"/>
    </xf>
    <xf numFmtId="169" fontId="63" fillId="25" borderId="4" xfId="66" applyNumberFormat="1" applyFont="1" applyFill="1" applyBorder="1" applyAlignment="1" applyProtection="1">
      <alignment horizontal="left" vertical="center"/>
      <protection locked="0"/>
    </xf>
    <xf numFmtId="41" fontId="56" fillId="0" borderId="4" xfId="69" applyFont="1" applyFill="1" applyBorder="1" applyProtection="1"/>
    <xf numFmtId="169" fontId="63" fillId="0" borderId="23" xfId="66" applyNumberFormat="1" applyFont="1" applyFill="1" applyBorder="1" applyAlignment="1" applyProtection="1">
      <alignment horizontal="left" vertical="center"/>
    </xf>
    <xf numFmtId="41" fontId="56" fillId="0" borderId="7" xfId="69" applyFont="1" applyFill="1" applyBorder="1" applyProtection="1"/>
    <xf numFmtId="41" fontId="56" fillId="0" borderId="23" xfId="69" applyFont="1" applyFill="1" applyBorder="1" applyProtection="1"/>
    <xf numFmtId="44" fontId="62" fillId="0" borderId="6" xfId="66" applyFont="1" applyFill="1" applyBorder="1" applyAlignment="1" applyProtection="1">
      <alignment horizontal="left" vertical="center"/>
    </xf>
    <xf numFmtId="44" fontId="62" fillId="0" borderId="23" xfId="66" applyFont="1" applyFill="1" applyBorder="1" applyAlignment="1" applyProtection="1">
      <alignment horizontal="left" vertical="center"/>
    </xf>
    <xf numFmtId="44" fontId="62" fillId="0" borderId="14" xfId="66" applyFont="1" applyFill="1" applyBorder="1" applyAlignment="1" applyProtection="1">
      <alignment horizontal="left" vertical="center"/>
    </xf>
    <xf numFmtId="0" fontId="65" fillId="0" borderId="4" xfId="65" applyFont="1" applyBorder="1" applyAlignment="1">
      <alignment vertical="center" wrapText="1"/>
    </xf>
    <xf numFmtId="0" fontId="65" fillId="23" borderId="4" xfId="65" applyFont="1" applyFill="1" applyBorder="1" applyAlignment="1">
      <alignment vertical="center" wrapText="1"/>
    </xf>
    <xf numFmtId="0" fontId="65" fillId="0" borderId="4" xfId="65" applyFont="1" applyBorder="1" applyAlignment="1">
      <alignment horizontal="center" vertical="center" wrapText="1"/>
    </xf>
    <xf numFmtId="0" fontId="64" fillId="25" borderId="30" xfId="65" applyFont="1" applyFill="1" applyBorder="1" applyAlignment="1">
      <alignment horizontal="center" vertical="center"/>
    </xf>
    <xf numFmtId="0" fontId="64" fillId="25" borderId="31" xfId="65" applyFont="1" applyFill="1" applyBorder="1" applyAlignment="1">
      <alignment horizontal="center" vertical="center" wrapText="1"/>
    </xf>
    <xf numFmtId="42" fontId="65" fillId="25" borderId="4" xfId="68" applyFont="1" applyFill="1" applyBorder="1" applyAlignment="1" applyProtection="1">
      <alignment vertical="center" wrapText="1"/>
      <protection locked="0"/>
    </xf>
    <xf numFmtId="42" fontId="65" fillId="0" borderId="23" xfId="68" applyFont="1" applyFill="1" applyBorder="1" applyAlignment="1" applyProtection="1">
      <alignment vertical="center" wrapText="1"/>
    </xf>
    <xf numFmtId="44" fontId="56" fillId="24" borderId="7" xfId="66" applyFont="1" applyFill="1" applyBorder="1"/>
    <xf numFmtId="0" fontId="64" fillId="21" borderId="30" xfId="65" applyFont="1" applyFill="1" applyBorder="1" applyAlignment="1">
      <alignment horizontal="center" vertical="center" wrapText="1"/>
    </xf>
    <xf numFmtId="0" fontId="56" fillId="0" borderId="5" xfId="65" applyFont="1" applyBorder="1"/>
    <xf numFmtId="41" fontId="0" fillId="0" borderId="4" xfId="69" applyFont="1" applyFill="1" applyBorder="1"/>
    <xf numFmtId="0" fontId="56" fillId="0" borderId="4" xfId="65" applyFont="1" applyBorder="1"/>
    <xf numFmtId="0" fontId="56" fillId="0" borderId="4" xfId="65" applyFont="1" applyBorder="1" applyAlignment="1">
      <alignment vertical="center" wrapText="1"/>
    </xf>
    <xf numFmtId="0" fontId="56" fillId="0" borderId="7" xfId="65" applyFont="1" applyBorder="1" applyAlignment="1">
      <alignment vertical="center" wrapText="1"/>
    </xf>
    <xf numFmtId="0" fontId="56" fillId="0" borderId="25" xfId="65" applyFont="1" applyBorder="1" applyAlignment="1">
      <alignment horizontal="center" vertical="center"/>
    </xf>
    <xf numFmtId="0" fontId="56" fillId="0" borderId="19" xfId="65" applyFont="1" applyBorder="1" applyAlignment="1">
      <alignment horizontal="center" vertical="center"/>
    </xf>
    <xf numFmtId="169" fontId="62" fillId="0" borderId="6" xfId="66" applyNumberFormat="1" applyFont="1" applyFill="1" applyBorder="1" applyAlignment="1">
      <alignment horizontal="left" vertical="center"/>
    </xf>
    <xf numFmtId="169" fontId="62" fillId="0" borderId="23" xfId="66" applyNumberFormat="1" applyFont="1" applyFill="1" applyBorder="1" applyAlignment="1">
      <alignment horizontal="left" vertical="center"/>
    </xf>
    <xf numFmtId="169" fontId="62" fillId="0" borderId="14" xfId="66" applyNumberFormat="1" applyFont="1" applyFill="1" applyBorder="1" applyAlignment="1">
      <alignment horizontal="left" vertical="center"/>
    </xf>
    <xf numFmtId="0" fontId="63" fillId="0" borderId="0" xfId="11" applyFont="1" applyAlignment="1">
      <alignment vertical="top"/>
    </xf>
    <xf numFmtId="41" fontId="56" fillId="0" borderId="0" xfId="69" applyFont="1"/>
    <xf numFmtId="41" fontId="63" fillId="0" borderId="0" xfId="69" applyFont="1" applyBorder="1" applyAlignment="1">
      <alignment vertical="top"/>
    </xf>
    <xf numFmtId="0" fontId="62" fillId="0" borderId="0" xfId="65" applyFont="1" applyAlignment="1">
      <alignment vertical="center"/>
    </xf>
    <xf numFmtId="41" fontId="56" fillId="0" borderId="0" xfId="69" applyFont="1" applyFill="1"/>
    <xf numFmtId="0" fontId="19" fillId="0" borderId="0" xfId="9" applyFont="1"/>
    <xf numFmtId="0" fontId="63" fillId="0" borderId="4" xfId="9" applyFont="1" applyBorder="1" applyAlignment="1">
      <alignment vertical="top" wrapText="1"/>
    </xf>
    <xf numFmtId="169" fontId="56" fillId="0" borderId="4" xfId="66" applyNumberFormat="1" applyFont="1" applyFill="1" applyBorder="1" applyAlignment="1">
      <alignment vertical="center"/>
    </xf>
    <xf numFmtId="169" fontId="56" fillId="0" borderId="23" xfId="65" applyNumberFormat="1" applyFont="1" applyBorder="1" applyAlignment="1">
      <alignment vertical="center"/>
    </xf>
    <xf numFmtId="0" fontId="20" fillId="0" borderId="0" xfId="65" applyFont="1" applyAlignment="1">
      <alignment vertical="center"/>
    </xf>
    <xf numFmtId="0" fontId="19" fillId="0" borderId="0" xfId="9" applyFont="1" applyAlignment="1">
      <alignment horizontal="left" vertical="top" wrapText="1"/>
    </xf>
    <xf numFmtId="0" fontId="19" fillId="0" borderId="0" xfId="9" applyFont="1" applyAlignment="1">
      <alignment horizontal="right" vertical="top" wrapText="1"/>
    </xf>
    <xf numFmtId="0" fontId="56" fillId="0" borderId="0" xfId="65" applyFont="1" applyAlignment="1">
      <alignment wrapText="1"/>
    </xf>
    <xf numFmtId="0" fontId="66" fillId="0" borderId="4" xfId="9" applyFont="1" applyBorder="1" applyAlignment="1">
      <alignment vertical="center" wrapText="1"/>
    </xf>
    <xf numFmtId="169" fontId="56" fillId="25" borderId="4" xfId="66" applyNumberFormat="1" applyFont="1" applyFill="1" applyBorder="1" applyAlignment="1" applyProtection="1">
      <alignment vertical="center"/>
      <protection locked="0"/>
    </xf>
    <xf numFmtId="41" fontId="0" fillId="0" borderId="19" xfId="69" applyFont="1" applyFill="1" applyBorder="1"/>
    <xf numFmtId="41" fontId="19" fillId="0" borderId="0" xfId="64" applyFont="1" applyAlignment="1" applyProtection="1">
      <alignment vertical="center"/>
      <protection locked="0"/>
    </xf>
    <xf numFmtId="167" fontId="23" fillId="0" borderId="24" xfId="8" applyNumberFormat="1" applyFont="1" applyFill="1" applyBorder="1" applyAlignment="1" applyProtection="1">
      <alignment horizontal="right" vertical="center" wrapText="1"/>
    </xf>
    <xf numFmtId="0" fontId="19" fillId="0" borderId="4" xfId="9" applyFont="1" applyBorder="1" applyAlignment="1" applyProtection="1">
      <alignment horizontal="justify" vertical="top" wrapText="1"/>
      <protection locked="0"/>
    </xf>
    <xf numFmtId="0" fontId="19" fillId="8" borderId="4" xfId="9" applyFont="1" applyFill="1" applyBorder="1" applyAlignment="1" applyProtection="1">
      <alignment horizontal="justify" vertical="top" wrapText="1"/>
      <protection locked="0"/>
    </xf>
    <xf numFmtId="9" fontId="19" fillId="8" borderId="4" xfId="14" applyNumberFormat="1" applyFill="1" applyBorder="1" applyAlignment="1" applyProtection="1">
      <alignment horizontal="center" vertical="center"/>
      <protection hidden="1"/>
    </xf>
    <xf numFmtId="9" fontId="19" fillId="0" borderId="4" xfId="14" applyNumberFormat="1" applyBorder="1" applyAlignment="1" applyProtection="1">
      <alignment horizontal="center" vertical="center"/>
      <protection hidden="1"/>
    </xf>
    <xf numFmtId="2" fontId="19" fillId="8" borderId="4" xfId="14" applyNumberFormat="1" applyFill="1" applyBorder="1" applyAlignment="1" applyProtection="1">
      <alignment horizontal="center" vertical="center"/>
      <protection locked="0"/>
    </xf>
    <xf numFmtId="184" fontId="19" fillId="8" borderId="4" xfId="14" applyNumberFormat="1" applyFill="1" applyBorder="1" applyAlignment="1" applyProtection="1">
      <alignment horizontal="center" vertical="center"/>
      <protection locked="0"/>
    </xf>
    <xf numFmtId="186" fontId="19" fillId="0" borderId="23" xfId="16" applyNumberFormat="1" applyFont="1" applyFill="1" applyBorder="1" applyAlignment="1" applyProtection="1">
      <alignment vertical="center"/>
    </xf>
    <xf numFmtId="0" fontId="19" fillId="0" borderId="5" xfId="30" applyBorder="1" applyAlignment="1" applyProtection="1">
      <alignment horizontal="center" vertical="center" wrapText="1"/>
      <protection locked="0"/>
    </xf>
    <xf numFmtId="186" fontId="19" fillId="8" borderId="4" xfId="14" applyNumberFormat="1" applyFill="1" applyBorder="1" applyAlignment="1" applyProtection="1">
      <alignment horizontal="center" vertical="center"/>
      <protection locked="0"/>
    </xf>
    <xf numFmtId="10" fontId="20" fillId="8" borderId="4" xfId="16" applyNumberFormat="1" applyFont="1" applyFill="1" applyBorder="1" applyAlignment="1" applyProtection="1">
      <alignment horizontal="center" vertical="center" wrapText="1"/>
    </xf>
    <xf numFmtId="9" fontId="20" fillId="8" borderId="4" xfId="16" applyFont="1" applyFill="1" applyBorder="1" applyAlignment="1" applyProtection="1">
      <alignment horizontal="center" vertical="center" wrapText="1"/>
    </xf>
    <xf numFmtId="43" fontId="19" fillId="0" borderId="0" xfId="9" applyNumberFormat="1" applyFont="1" applyAlignment="1" applyProtection="1">
      <alignment vertical="center"/>
      <protection locked="0"/>
    </xf>
    <xf numFmtId="43" fontId="21" fillId="0" borderId="0" xfId="9" applyNumberFormat="1" applyFont="1" applyAlignment="1" applyProtection="1">
      <alignment vertical="center"/>
      <protection locked="0"/>
    </xf>
    <xf numFmtId="0" fontId="20" fillId="0" borderId="16" xfId="9" applyFont="1" applyBorder="1" applyAlignment="1" applyProtection="1">
      <alignment horizontal="center" vertical="center"/>
      <protection locked="0"/>
    </xf>
    <xf numFmtId="0" fontId="20" fillId="0" borderId="4" xfId="9" applyFont="1" applyBorder="1" applyAlignment="1" applyProtection="1">
      <alignment vertical="center"/>
      <protection locked="0"/>
    </xf>
    <xf numFmtId="173" fontId="20" fillId="0" borderId="51" xfId="9" applyNumberFormat="1" applyFont="1" applyBorder="1" applyAlignment="1" applyProtection="1">
      <alignment vertical="center"/>
      <protection locked="0"/>
    </xf>
    <xf numFmtId="173" fontId="20" fillId="0" borderId="13" xfId="9" applyNumberFormat="1" applyFont="1" applyBorder="1" applyAlignment="1" applyProtection="1">
      <alignment vertical="center"/>
      <protection locked="0"/>
    </xf>
    <xf numFmtId="9" fontId="20" fillId="3" borderId="13" xfId="14" applyNumberFormat="1" applyFont="1" applyFill="1" applyBorder="1" applyAlignment="1" applyProtection="1">
      <alignment vertical="center" wrapText="1"/>
      <protection locked="0"/>
    </xf>
    <xf numFmtId="185" fontId="33" fillId="0" borderId="37" xfId="7" applyNumberFormat="1" applyFont="1" applyFill="1" applyBorder="1" applyAlignment="1" applyProtection="1">
      <alignment vertical="center" wrapText="1"/>
      <protection locked="0"/>
    </xf>
    <xf numFmtId="0" fontId="20" fillId="5" borderId="72" xfId="30" applyFont="1" applyFill="1" applyBorder="1" applyAlignment="1" applyProtection="1">
      <alignment horizontal="center" vertical="center" wrapText="1"/>
      <protection locked="0"/>
    </xf>
    <xf numFmtId="0" fontId="20" fillId="5" borderId="58" xfId="30" applyFont="1" applyFill="1" applyBorder="1" applyAlignment="1" applyProtection="1">
      <alignment horizontal="center" vertical="center" wrapText="1"/>
      <protection locked="0"/>
    </xf>
    <xf numFmtId="0" fontId="19" fillId="0" borderId="56" xfId="30" applyBorder="1" applyAlignment="1" applyProtection="1">
      <alignment horizontal="center" vertical="center" wrapText="1"/>
      <protection locked="0"/>
    </xf>
    <xf numFmtId="185" fontId="33" fillId="0" borderId="52" xfId="7" applyNumberFormat="1" applyFont="1" applyFill="1" applyBorder="1" applyAlignment="1" applyProtection="1">
      <alignment vertical="center" wrapText="1"/>
      <protection locked="0"/>
    </xf>
    <xf numFmtId="173" fontId="19" fillId="0" borderId="15" xfId="7" applyNumberFormat="1" applyFont="1" applyFill="1" applyBorder="1" applyAlignment="1" applyProtection="1">
      <alignment vertical="center" wrapText="1"/>
      <protection locked="0"/>
    </xf>
    <xf numFmtId="0" fontId="20" fillId="5" borderId="66" xfId="30" applyFont="1" applyFill="1" applyBorder="1" applyAlignment="1" applyProtection="1">
      <alignment vertical="center" wrapText="1"/>
      <protection locked="0"/>
    </xf>
    <xf numFmtId="0" fontId="20" fillId="5" borderId="74" xfId="30" applyFont="1" applyFill="1" applyBorder="1" applyAlignment="1" applyProtection="1">
      <alignment vertical="center" wrapText="1"/>
      <protection locked="0"/>
    </xf>
    <xf numFmtId="0" fontId="20" fillId="5" borderId="71" xfId="30" applyFont="1" applyFill="1" applyBorder="1" applyAlignment="1" applyProtection="1">
      <alignment vertical="center" wrapText="1"/>
      <protection locked="0"/>
    </xf>
    <xf numFmtId="0" fontId="19" fillId="0" borderId="26" xfId="0" applyFont="1" applyBorder="1" applyAlignment="1">
      <alignment horizontal="center" vertical="center"/>
    </xf>
    <xf numFmtId="0" fontId="19" fillId="0" borderId="25" xfId="0" applyFont="1" applyBorder="1" applyAlignment="1">
      <alignment horizontal="center" vertical="center"/>
    </xf>
    <xf numFmtId="0" fontId="19" fillId="0" borderId="32" xfId="0" applyFont="1" applyBorder="1" applyAlignment="1">
      <alignment horizontal="center" vertical="center"/>
    </xf>
    <xf numFmtId="0" fontId="19" fillId="0" borderId="0" xfId="9" applyFont="1" applyAlignment="1" applyProtection="1">
      <alignment horizontal="center" vertical="center"/>
      <protection locked="0"/>
    </xf>
    <xf numFmtId="0" fontId="19" fillId="0" borderId="46" xfId="9" applyFont="1" applyBorder="1" applyAlignment="1" applyProtection="1">
      <alignment horizontal="center" vertical="center"/>
      <protection locked="0"/>
    </xf>
    <xf numFmtId="0" fontId="19" fillId="0" borderId="40" xfId="9" applyFont="1" applyBorder="1" applyAlignment="1" applyProtection="1">
      <alignment horizontal="center" vertical="center"/>
      <protection locked="0"/>
    </xf>
    <xf numFmtId="0" fontId="19" fillId="0" borderId="49" xfId="9" applyFont="1" applyBorder="1" applyAlignment="1" applyProtection="1">
      <alignment horizontal="center" vertical="center"/>
      <protection locked="0"/>
    </xf>
    <xf numFmtId="0" fontId="19" fillId="0" borderId="37" xfId="9" applyFont="1" applyBorder="1" applyAlignment="1" applyProtection="1">
      <alignment horizontal="center" vertical="center"/>
      <protection locked="0"/>
    </xf>
    <xf numFmtId="0" fontId="19" fillId="0" borderId="38" xfId="9" applyFont="1" applyBorder="1" applyAlignment="1" applyProtection="1">
      <alignment horizontal="center" vertical="center"/>
      <protection locked="0"/>
    </xf>
    <xf numFmtId="0" fontId="19" fillId="0" borderId="45" xfId="9" applyFont="1" applyBorder="1" applyAlignment="1" applyProtection="1">
      <alignment horizontal="center" vertical="center"/>
      <protection locked="0"/>
    </xf>
    <xf numFmtId="0" fontId="19" fillId="0" borderId="52" xfId="9" applyFont="1" applyBorder="1" applyAlignment="1" applyProtection="1">
      <alignment horizontal="center" vertical="center"/>
      <protection locked="0"/>
    </xf>
    <xf numFmtId="0" fontId="19" fillId="0" borderId="34" xfId="9" applyFont="1" applyBorder="1" applyAlignment="1" applyProtection="1">
      <alignment horizontal="center" vertical="center"/>
      <protection locked="0"/>
    </xf>
    <xf numFmtId="0" fontId="19" fillId="0" borderId="62" xfId="9" applyFont="1" applyBorder="1" applyAlignment="1" applyProtection="1">
      <alignment horizontal="center" vertical="center"/>
      <protection locked="0"/>
    </xf>
    <xf numFmtId="0" fontId="19" fillId="14" borderId="10" xfId="30" applyFill="1" applyBorder="1" applyAlignment="1" applyProtection="1">
      <alignment horizontal="left" vertical="center" wrapText="1"/>
      <protection hidden="1"/>
    </xf>
    <xf numFmtId="0" fontId="19" fillId="14" borderId="11" xfId="30" applyFill="1" applyBorder="1" applyAlignment="1" applyProtection="1">
      <alignment horizontal="left" vertical="center" wrapText="1"/>
      <protection hidden="1"/>
    </xf>
    <xf numFmtId="0" fontId="19" fillId="14" borderId="27" xfId="30" applyFill="1" applyBorder="1" applyAlignment="1" applyProtection="1">
      <alignment horizontal="left" vertical="center" wrapText="1"/>
      <protection hidden="1"/>
    </xf>
    <xf numFmtId="0" fontId="19" fillId="14" borderId="10" xfId="30" applyFill="1" applyBorder="1" applyAlignment="1" applyProtection="1">
      <alignment horizontal="justify" vertical="center" wrapText="1"/>
      <protection hidden="1"/>
    </xf>
    <xf numFmtId="0" fontId="19" fillId="14" borderId="11" xfId="30" applyFill="1" applyBorder="1" applyAlignment="1" applyProtection="1">
      <alignment horizontal="justify" vertical="center" wrapText="1"/>
      <protection hidden="1"/>
    </xf>
    <xf numFmtId="0" fontId="19" fillId="14" borderId="27" xfId="30" applyFill="1" applyBorder="1" applyAlignment="1" applyProtection="1">
      <alignment horizontal="justify" vertical="center" wrapText="1"/>
      <protection hidden="1"/>
    </xf>
    <xf numFmtId="0" fontId="20" fillId="5" borderId="51" xfId="30" applyFont="1" applyFill="1" applyBorder="1" applyAlignment="1" applyProtection="1">
      <alignment horizontal="right" vertical="center" wrapText="1"/>
      <protection locked="0"/>
    </xf>
    <xf numFmtId="0" fontId="20" fillId="5" borderId="13" xfId="30" applyFont="1" applyFill="1" applyBorder="1" applyAlignment="1" applyProtection="1">
      <alignment horizontal="right" vertical="center" wrapText="1"/>
      <protection locked="0"/>
    </xf>
    <xf numFmtId="0" fontId="20" fillId="5" borderId="25" xfId="30" applyFont="1" applyFill="1" applyBorder="1" applyAlignment="1" applyProtection="1">
      <alignment horizontal="right" vertical="center" wrapText="1"/>
      <protection locked="0"/>
    </xf>
    <xf numFmtId="0" fontId="20" fillId="5" borderId="38" xfId="30" applyFont="1" applyFill="1" applyBorder="1" applyAlignment="1" applyProtection="1">
      <alignment horizontal="right" vertical="center" wrapText="1"/>
      <protection locked="0"/>
    </xf>
    <xf numFmtId="0" fontId="20" fillId="5" borderId="19" xfId="30" applyFont="1" applyFill="1" applyBorder="1" applyAlignment="1" applyProtection="1">
      <alignment horizontal="right" vertical="center" wrapText="1"/>
      <protection locked="0"/>
    </xf>
    <xf numFmtId="0" fontId="20" fillId="0" borderId="0" xfId="30" applyFont="1" applyAlignment="1" applyProtection="1">
      <alignment horizontal="center" vertical="center" wrapText="1"/>
      <protection locked="0"/>
    </xf>
    <xf numFmtId="0" fontId="20" fillId="5" borderId="30" xfId="30" applyFont="1" applyFill="1" applyBorder="1" applyAlignment="1" applyProtection="1">
      <alignment horizontal="right" vertical="center" wrapText="1"/>
      <protection locked="0"/>
    </xf>
    <xf numFmtId="0" fontId="20" fillId="5" borderId="31" xfId="30" applyFont="1" applyFill="1" applyBorder="1" applyAlignment="1" applyProtection="1">
      <alignment horizontal="right" vertical="center" wrapText="1"/>
      <protection locked="0"/>
    </xf>
    <xf numFmtId="0" fontId="19" fillId="0" borderId="10" xfId="30" applyBorder="1" applyAlignment="1" applyProtection="1">
      <alignment horizontal="justify" vertical="center" wrapText="1"/>
      <protection locked="0"/>
    </xf>
    <xf numFmtId="0" fontId="19" fillId="0" borderId="11" xfId="30" applyBorder="1" applyAlignment="1" applyProtection="1">
      <alignment horizontal="justify" vertical="center" wrapText="1"/>
      <protection locked="0"/>
    </xf>
    <xf numFmtId="0" fontId="19" fillId="0" borderId="27" xfId="30" applyBorder="1" applyAlignment="1" applyProtection="1">
      <alignment horizontal="justify" vertical="center" wrapText="1"/>
      <protection locked="0"/>
    </xf>
    <xf numFmtId="0" fontId="50" fillId="0" borderId="16" xfId="57" applyFont="1" applyFill="1" applyBorder="1" applyAlignment="1" applyProtection="1">
      <alignment horizontal="justify" vertical="center"/>
      <protection locked="0"/>
    </xf>
    <xf numFmtId="0" fontId="50" fillId="0" borderId="4" xfId="57" applyFont="1" applyFill="1" applyBorder="1" applyAlignment="1" applyProtection="1">
      <alignment horizontal="justify" vertical="center"/>
      <protection locked="0"/>
    </xf>
    <xf numFmtId="0" fontId="19" fillId="0" borderId="4" xfId="0" applyFont="1" applyBorder="1" applyAlignment="1" applyProtection="1">
      <alignment horizontal="justify" vertical="center" wrapText="1"/>
      <protection locked="0"/>
    </xf>
    <xf numFmtId="0" fontId="19" fillId="0" borderId="23" xfId="0" applyFont="1" applyBorder="1" applyAlignment="1" applyProtection="1">
      <alignment horizontal="justify" vertical="center" wrapText="1"/>
      <protection locked="0"/>
    </xf>
    <xf numFmtId="0" fontId="19" fillId="3" borderId="25" xfId="0" applyFont="1" applyFill="1" applyBorder="1" applyAlignment="1" applyProtection="1">
      <alignment horizontal="justify" vertical="center" wrapText="1"/>
      <protection locked="0"/>
    </xf>
    <xf numFmtId="0" fontId="19" fillId="3" borderId="38" xfId="0" applyFont="1" applyFill="1" applyBorder="1" applyAlignment="1" applyProtection="1">
      <alignment horizontal="justify" vertical="center"/>
      <protection locked="0"/>
    </xf>
    <xf numFmtId="0" fontId="19" fillId="3" borderId="45" xfId="0" applyFont="1" applyFill="1" applyBorder="1" applyAlignment="1" applyProtection="1">
      <alignment horizontal="justify" vertical="center"/>
      <protection locked="0"/>
    </xf>
    <xf numFmtId="0" fontId="19" fillId="0" borderId="13" xfId="0" applyFont="1" applyBorder="1" applyAlignment="1" applyProtection="1">
      <alignment horizontal="justify" vertical="center" wrapText="1"/>
      <protection locked="0"/>
    </xf>
    <xf numFmtId="0" fontId="19" fillId="0" borderId="14" xfId="0" applyFont="1" applyBorder="1" applyAlignment="1" applyProtection="1">
      <alignment horizontal="justify" vertical="center" wrapText="1"/>
      <protection locked="0"/>
    </xf>
    <xf numFmtId="0" fontId="20" fillId="9" borderId="13" xfId="0" applyFont="1" applyFill="1" applyBorder="1" applyAlignment="1" applyProtection="1">
      <alignment horizontal="center" vertical="center"/>
      <protection locked="0"/>
    </xf>
    <xf numFmtId="0" fontId="20" fillId="12" borderId="26" xfId="0" applyFont="1" applyFill="1" applyBorder="1" applyAlignment="1" applyProtection="1">
      <alignment horizontal="left" vertical="center"/>
      <protection locked="0"/>
    </xf>
    <xf numFmtId="0" fontId="20" fillId="12" borderId="17" xfId="0" applyFont="1" applyFill="1" applyBorder="1" applyAlignment="1" applyProtection="1">
      <alignment horizontal="left" vertical="center"/>
      <protection locked="0"/>
    </xf>
    <xf numFmtId="0" fontId="20" fillId="12" borderId="68" xfId="0" applyFont="1" applyFill="1" applyBorder="1" applyAlignment="1" applyProtection="1">
      <alignment horizontal="left" vertical="center"/>
      <protection locked="0"/>
    </xf>
    <xf numFmtId="0" fontId="50" fillId="0" borderId="16" xfId="57" applyFont="1" applyBorder="1" applyAlignment="1" applyProtection="1">
      <alignment horizontal="justify" vertical="center"/>
      <protection locked="0"/>
    </xf>
    <xf numFmtId="0" fontId="50" fillId="0" borderId="4" xfId="57" applyFont="1" applyBorder="1" applyAlignment="1" applyProtection="1">
      <alignment horizontal="justify" vertical="center"/>
      <protection locked="0"/>
    </xf>
    <xf numFmtId="0" fontId="50" fillId="0" borderId="16" xfId="57" applyFont="1" applyFill="1" applyBorder="1" applyAlignment="1" applyProtection="1">
      <alignment horizontal="justify" vertical="center" wrapText="1"/>
      <protection locked="0"/>
    </xf>
    <xf numFmtId="0" fontId="50" fillId="0" borderId="4" xfId="57" applyFont="1" applyFill="1" applyBorder="1" applyAlignment="1" applyProtection="1">
      <alignment horizontal="justify" vertical="center" wrapText="1"/>
      <protection locked="0"/>
    </xf>
    <xf numFmtId="0" fontId="50" fillId="0" borderId="16" xfId="57" applyFont="1" applyBorder="1" applyAlignment="1" applyProtection="1">
      <alignment horizontal="left" vertical="center" wrapText="1"/>
      <protection locked="0"/>
    </xf>
    <xf numFmtId="0" fontId="50" fillId="0" borderId="4" xfId="57" applyFont="1" applyBorder="1" applyAlignment="1" applyProtection="1">
      <alignment horizontal="left" vertical="center" wrapText="1"/>
      <protection locked="0"/>
    </xf>
    <xf numFmtId="0" fontId="19" fillId="3" borderId="1" xfId="0" applyFont="1" applyFill="1" applyBorder="1" applyAlignment="1" applyProtection="1">
      <alignment horizontal="justify" vertical="center" wrapText="1"/>
      <protection locked="0"/>
    </xf>
    <xf numFmtId="0" fontId="19" fillId="3" borderId="2" xfId="0" applyFont="1" applyFill="1" applyBorder="1" applyAlignment="1" applyProtection="1">
      <alignment horizontal="justify" vertical="center" wrapText="1"/>
      <protection locked="0"/>
    </xf>
    <xf numFmtId="0" fontId="19" fillId="3" borderId="3" xfId="0" applyFont="1" applyFill="1" applyBorder="1" applyAlignment="1" applyProtection="1">
      <alignment horizontal="justify" vertical="center" wrapText="1"/>
      <protection locked="0"/>
    </xf>
    <xf numFmtId="0" fontId="20" fillId="12" borderId="25" xfId="0" applyFont="1" applyFill="1" applyBorder="1" applyAlignment="1" applyProtection="1">
      <alignment horizontal="left" vertical="center"/>
      <protection locked="0"/>
    </xf>
    <xf numFmtId="0" fontId="20" fillId="12" borderId="38" xfId="0" applyFont="1" applyFill="1" applyBorder="1" applyAlignment="1" applyProtection="1">
      <alignment horizontal="left" vertical="center"/>
      <protection locked="0"/>
    </xf>
    <xf numFmtId="0" fontId="20" fillId="12" borderId="45" xfId="0" applyFont="1" applyFill="1" applyBorder="1" applyAlignment="1" applyProtection="1">
      <alignment horizontal="left" vertical="center"/>
      <protection locked="0"/>
    </xf>
    <xf numFmtId="0" fontId="50" fillId="0" borderId="16" xfId="57" applyFont="1" applyFill="1" applyBorder="1" applyAlignment="1" applyProtection="1">
      <alignment horizontal="left" vertical="center" wrapText="1"/>
      <protection locked="0"/>
    </xf>
    <xf numFmtId="0" fontId="50" fillId="0" borderId="4" xfId="57" applyFont="1" applyFill="1" applyBorder="1" applyAlignment="1" applyProtection="1">
      <alignment horizontal="left" vertical="center" wrapText="1"/>
      <protection locked="0"/>
    </xf>
    <xf numFmtId="0" fontId="20" fillId="9" borderId="30" xfId="0" applyFont="1" applyFill="1" applyBorder="1" applyAlignment="1" applyProtection="1">
      <alignment horizontal="center" vertical="center"/>
      <protection locked="0"/>
    </xf>
    <xf numFmtId="0" fontId="20" fillId="9" borderId="31" xfId="0" applyFont="1" applyFill="1" applyBorder="1" applyAlignment="1" applyProtection="1">
      <alignment horizontal="center" vertical="center"/>
      <protection locked="0"/>
    </xf>
    <xf numFmtId="0" fontId="50" fillId="0" borderId="51" xfId="57" applyFont="1" applyFill="1" applyBorder="1" applyAlignment="1" applyProtection="1">
      <alignment horizontal="justify" vertical="center" wrapText="1"/>
      <protection locked="0"/>
    </xf>
    <xf numFmtId="0" fontId="50" fillId="0" borderId="13" xfId="57" applyFont="1" applyFill="1" applyBorder="1" applyAlignment="1" applyProtection="1">
      <alignment horizontal="justify" vertical="center" wrapText="1"/>
      <protection locked="0"/>
    </xf>
    <xf numFmtId="0" fontId="20" fillId="9" borderId="51" xfId="0" applyFont="1" applyFill="1" applyBorder="1" applyAlignment="1" applyProtection="1">
      <alignment horizontal="center" vertical="center"/>
      <protection locked="0"/>
    </xf>
    <xf numFmtId="0" fontId="20" fillId="9" borderId="24" xfId="0" applyFont="1" applyFill="1" applyBorder="1" applyAlignment="1" applyProtection="1">
      <alignment horizontal="center" vertical="center"/>
      <protection locked="0"/>
    </xf>
    <xf numFmtId="0" fontId="19" fillId="0" borderId="30" xfId="14" applyBorder="1" applyAlignment="1" applyProtection="1">
      <alignment horizontal="center" vertical="center"/>
      <protection locked="0"/>
    </xf>
    <xf numFmtId="0" fontId="19" fillId="0" borderId="31" xfId="14" applyBorder="1" applyAlignment="1" applyProtection="1">
      <alignment horizontal="center" vertical="center"/>
      <protection locked="0"/>
    </xf>
    <xf numFmtId="0" fontId="19" fillId="0" borderId="16" xfId="14" applyBorder="1" applyAlignment="1" applyProtection="1">
      <alignment horizontal="center" vertical="center"/>
      <protection locked="0"/>
    </xf>
    <xf numFmtId="0" fontId="19" fillId="0" borderId="4" xfId="14" applyBorder="1" applyAlignment="1" applyProtection="1">
      <alignment horizontal="center" vertical="center"/>
      <protection locked="0"/>
    </xf>
    <xf numFmtId="0" fontId="19" fillId="0" borderId="51" xfId="14" applyBorder="1" applyAlignment="1" applyProtection="1">
      <alignment horizontal="center" vertical="center"/>
      <protection locked="0"/>
    </xf>
    <xf numFmtId="0" fontId="19" fillId="0" borderId="13" xfId="14" applyBorder="1" applyAlignment="1" applyProtection="1">
      <alignment horizontal="center" vertical="center"/>
      <protection locked="0"/>
    </xf>
    <xf numFmtId="0" fontId="20" fillId="8" borderId="18" xfId="0" applyFont="1" applyFill="1" applyBorder="1" applyAlignment="1" applyProtection="1">
      <alignment horizontal="center" vertical="center"/>
      <protection locked="0"/>
    </xf>
    <xf numFmtId="0" fontId="20" fillId="8" borderId="7" xfId="0" applyFont="1" applyFill="1" applyBorder="1" applyAlignment="1" applyProtection="1">
      <alignment horizontal="center" vertical="center"/>
      <protection locked="0"/>
    </xf>
    <xf numFmtId="0" fontId="20" fillId="8" borderId="8" xfId="0" applyFont="1" applyFill="1" applyBorder="1" applyAlignment="1" applyProtection="1">
      <alignment horizontal="center" vertical="center"/>
      <protection locked="0"/>
    </xf>
    <xf numFmtId="0" fontId="19" fillId="0" borderId="24" xfId="14" applyBorder="1" applyAlignment="1" applyProtection="1">
      <alignment horizontal="center" vertical="center"/>
      <protection locked="0"/>
    </xf>
    <xf numFmtId="0" fontId="19" fillId="0" borderId="23" xfId="14" applyBorder="1" applyAlignment="1" applyProtection="1">
      <alignment horizontal="center" vertical="center"/>
      <protection locked="0"/>
    </xf>
    <xf numFmtId="0" fontId="19" fillId="0" borderId="14" xfId="14" applyBorder="1" applyAlignment="1" applyProtection="1">
      <alignment horizontal="center" vertical="center"/>
      <protection locked="0"/>
    </xf>
    <xf numFmtId="0" fontId="19" fillId="3" borderId="10" xfId="0" applyFont="1" applyFill="1" applyBorder="1" applyAlignment="1" applyProtection="1">
      <alignment horizontal="justify" vertical="center" wrapText="1"/>
      <protection locked="0"/>
    </xf>
    <xf numFmtId="0" fontId="19" fillId="3" borderId="11" xfId="0" applyFont="1" applyFill="1" applyBorder="1" applyAlignment="1" applyProtection="1">
      <alignment horizontal="justify" vertical="center"/>
      <protection locked="0"/>
    </xf>
    <xf numFmtId="0" fontId="19" fillId="3" borderId="27" xfId="0" applyFont="1" applyFill="1" applyBorder="1" applyAlignment="1" applyProtection="1">
      <alignment horizontal="justify" vertical="center"/>
      <protection locked="0"/>
    </xf>
    <xf numFmtId="0" fontId="20" fillId="8" borderId="30" xfId="0" applyFont="1" applyFill="1" applyBorder="1" applyAlignment="1" applyProtection="1">
      <alignment horizontal="center" vertical="center"/>
      <protection locked="0"/>
    </xf>
    <xf numFmtId="0" fontId="20" fillId="8" borderId="31" xfId="0" applyFont="1" applyFill="1" applyBorder="1" applyAlignment="1" applyProtection="1">
      <alignment horizontal="center" vertical="center"/>
      <protection locked="0"/>
    </xf>
    <xf numFmtId="0" fontId="20" fillId="8" borderId="24" xfId="0" applyFont="1" applyFill="1" applyBorder="1" applyAlignment="1" applyProtection="1">
      <alignment horizontal="center" vertical="center"/>
      <protection locked="0"/>
    </xf>
    <xf numFmtId="0" fontId="50" fillId="0" borderId="51" xfId="57" applyFont="1" applyBorder="1" applyAlignment="1" applyProtection="1">
      <alignment horizontal="left" vertical="center" wrapText="1"/>
      <protection locked="0"/>
    </xf>
    <xf numFmtId="0" fontId="50" fillId="0" borderId="13" xfId="57" applyFont="1" applyBorder="1" applyAlignment="1" applyProtection="1">
      <alignment horizontal="left" vertical="center" wrapText="1"/>
      <protection locked="0"/>
    </xf>
    <xf numFmtId="0" fontId="20" fillId="10" borderId="30" xfId="0" applyFont="1" applyFill="1" applyBorder="1" applyAlignment="1" applyProtection="1">
      <alignment horizontal="center" vertical="center"/>
      <protection locked="0"/>
    </xf>
    <xf numFmtId="0" fontId="20" fillId="10" borderId="31" xfId="0" applyFont="1" applyFill="1" applyBorder="1" applyAlignment="1" applyProtection="1">
      <alignment horizontal="center" vertical="center"/>
      <protection locked="0"/>
    </xf>
    <xf numFmtId="0" fontId="20" fillId="10" borderId="24" xfId="0" applyFont="1" applyFill="1" applyBorder="1" applyAlignment="1" applyProtection="1">
      <alignment horizontal="center" vertical="center"/>
      <protection locked="0"/>
    </xf>
    <xf numFmtId="0" fontId="20" fillId="10" borderId="51" xfId="0" applyFont="1" applyFill="1" applyBorder="1" applyAlignment="1" applyProtection="1">
      <alignment horizontal="center" vertical="center"/>
      <protection locked="0"/>
    </xf>
    <xf numFmtId="0" fontId="20" fillId="10" borderId="13" xfId="0" applyFont="1" applyFill="1" applyBorder="1" applyAlignment="1" applyProtection="1">
      <alignment horizontal="center" vertical="center"/>
      <protection locked="0"/>
    </xf>
    <xf numFmtId="0" fontId="19" fillId="0" borderId="59" xfId="0" applyFont="1" applyBorder="1" applyAlignment="1" applyProtection="1">
      <alignment horizontal="justify" vertical="center" wrapText="1"/>
      <protection locked="0"/>
    </xf>
    <xf numFmtId="0" fontId="19" fillId="0" borderId="29" xfId="0" applyFont="1" applyBorder="1" applyAlignment="1" applyProtection="1">
      <alignment horizontal="justify" vertical="center" wrapText="1"/>
      <protection locked="0"/>
    </xf>
    <xf numFmtId="0" fontId="19" fillId="0" borderId="67" xfId="0" applyFont="1" applyBorder="1" applyAlignment="1" applyProtection="1">
      <alignment horizontal="justify" vertical="center" wrapText="1"/>
      <protection locked="0"/>
    </xf>
    <xf numFmtId="0" fontId="19" fillId="0" borderId="50" xfId="0" applyFont="1" applyBorder="1" applyAlignment="1" applyProtection="1">
      <alignment horizontal="justify" vertical="center" wrapText="1"/>
      <protection locked="0"/>
    </xf>
    <xf numFmtId="0" fontId="19" fillId="0" borderId="0" xfId="0" applyFont="1" applyAlignment="1" applyProtection="1">
      <alignment horizontal="justify" vertical="center" wrapText="1"/>
      <protection locked="0"/>
    </xf>
    <xf numFmtId="0" fontId="19" fillId="0" borderId="48" xfId="0" applyFont="1" applyBorder="1" applyAlignment="1" applyProtection="1">
      <alignment horizontal="justify" vertical="center" wrapText="1"/>
      <protection locked="0"/>
    </xf>
    <xf numFmtId="0" fontId="19" fillId="0" borderId="43" xfId="0" applyFont="1" applyBorder="1" applyAlignment="1" applyProtection="1">
      <alignment horizontal="justify" vertical="center" wrapText="1"/>
      <protection locked="0"/>
    </xf>
    <xf numFmtId="0" fontId="19" fillId="0" borderId="17" xfId="0" applyFont="1" applyBorder="1" applyAlignment="1" applyProtection="1">
      <alignment horizontal="justify" vertical="center" wrapText="1"/>
      <protection locked="0"/>
    </xf>
    <xf numFmtId="0" fontId="19" fillId="0" borderId="68" xfId="0" applyFont="1" applyBorder="1" applyAlignment="1" applyProtection="1">
      <alignment horizontal="justify" vertical="center" wrapText="1"/>
      <protection locked="0"/>
    </xf>
    <xf numFmtId="0" fontId="20" fillId="10" borderId="14" xfId="0" applyFont="1" applyFill="1" applyBorder="1" applyAlignment="1" applyProtection="1">
      <alignment horizontal="center" vertical="center"/>
      <protection locked="0"/>
    </xf>
    <xf numFmtId="0" fontId="50" fillId="0" borderId="53" xfId="57" applyFont="1" applyBorder="1" applyAlignment="1" applyProtection="1">
      <alignment horizontal="left" vertical="center" wrapText="1"/>
      <protection locked="0"/>
    </xf>
    <xf numFmtId="0" fontId="50" fillId="0" borderId="5" xfId="57" applyFont="1" applyBorder="1" applyAlignment="1" applyProtection="1">
      <alignment horizontal="left" vertical="center" wrapText="1"/>
      <protection locked="0"/>
    </xf>
    <xf numFmtId="0" fontId="19" fillId="0" borderId="5" xfId="0" applyFont="1" applyBorder="1" applyAlignment="1" applyProtection="1">
      <alignment horizontal="justify" vertical="center" wrapText="1"/>
      <protection locked="0"/>
    </xf>
    <xf numFmtId="0" fontId="19" fillId="0" borderId="6" xfId="0" applyFont="1" applyBorder="1" applyAlignment="1" applyProtection="1">
      <alignment horizontal="justify" vertical="center" wrapText="1"/>
      <protection locked="0"/>
    </xf>
    <xf numFmtId="0" fontId="20" fillId="0" borderId="29" xfId="10" applyFont="1" applyBorder="1" applyAlignment="1" applyProtection="1">
      <alignment horizontal="center" vertical="center" wrapText="1"/>
      <protection locked="0"/>
    </xf>
    <xf numFmtId="0" fontId="20" fillId="0" borderId="0" xfId="10" applyFont="1" applyAlignment="1" applyProtection="1">
      <alignment horizontal="center" vertical="center" wrapText="1"/>
      <protection locked="0"/>
    </xf>
    <xf numFmtId="0" fontId="19" fillId="0" borderId="0" xfId="10" applyAlignment="1" applyProtection="1">
      <alignment horizontal="center" vertical="center" wrapText="1"/>
      <protection locked="0"/>
    </xf>
    <xf numFmtId="3" fontId="19" fillId="0" borderId="0" xfId="10" applyNumberFormat="1" applyAlignment="1" applyProtection="1">
      <alignment horizontal="center" vertical="center" wrapText="1"/>
      <protection locked="0"/>
    </xf>
    <xf numFmtId="0" fontId="42" fillId="5" borderId="16" xfId="14" applyFont="1" applyFill="1" applyBorder="1" applyAlignment="1" applyProtection="1">
      <alignment horizontal="center" vertical="center" wrapText="1"/>
      <protection locked="0"/>
    </xf>
    <xf numFmtId="167" fontId="19" fillId="0" borderId="16" xfId="14" applyNumberFormat="1" applyBorder="1" applyAlignment="1" applyProtection="1">
      <alignment horizontal="center" vertical="center"/>
      <protection locked="0"/>
    </xf>
    <xf numFmtId="167" fontId="19" fillId="0" borderId="4" xfId="14" applyNumberFormat="1" applyBorder="1" applyAlignment="1" applyProtection="1">
      <alignment horizontal="center" vertical="center"/>
      <protection locked="0"/>
    </xf>
    <xf numFmtId="0" fontId="42" fillId="5" borderId="4" xfId="14" applyFont="1" applyFill="1" applyBorder="1" applyAlignment="1" applyProtection="1">
      <alignment horizontal="center" vertical="center" wrapText="1"/>
      <protection locked="0"/>
    </xf>
    <xf numFmtId="0" fontId="20" fillId="3" borderId="32" xfId="14" applyFont="1" applyFill="1" applyBorder="1" applyAlignment="1" applyProtection="1">
      <alignment horizontal="right" vertical="center"/>
      <protection locked="0"/>
    </xf>
    <xf numFmtId="0" fontId="20" fillId="3" borderId="33" xfId="14" applyFont="1" applyFill="1" applyBorder="1" applyAlignment="1" applyProtection="1">
      <alignment horizontal="right" vertical="center"/>
      <protection locked="0"/>
    </xf>
    <xf numFmtId="0" fontId="20" fillId="3" borderId="34" xfId="14" applyFont="1" applyFill="1" applyBorder="1" applyAlignment="1" applyProtection="1">
      <alignment horizontal="right" vertical="center"/>
      <protection locked="0"/>
    </xf>
    <xf numFmtId="171" fontId="42" fillId="5" borderId="7" xfId="14" applyNumberFormat="1" applyFont="1" applyFill="1" applyBorder="1" applyAlignment="1" applyProtection="1">
      <alignment horizontal="center" vertical="center" wrapText="1"/>
      <protection locked="0"/>
    </xf>
    <xf numFmtId="171" fontId="42" fillId="5" borderId="5" xfId="14" applyNumberFormat="1" applyFont="1" applyFill="1" applyBorder="1" applyAlignment="1" applyProtection="1">
      <alignment horizontal="center" vertical="center" wrapText="1"/>
      <protection locked="0"/>
    </xf>
    <xf numFmtId="0" fontId="20" fillId="5" borderId="37" xfId="14" applyFont="1" applyFill="1" applyBorder="1" applyAlignment="1" applyProtection="1">
      <alignment horizontal="center" vertical="center" wrapText="1"/>
      <protection locked="0"/>
    </xf>
    <xf numFmtId="0" fontId="20" fillId="5" borderId="38" xfId="14" applyFont="1" applyFill="1" applyBorder="1" applyAlignment="1" applyProtection="1">
      <alignment horizontal="center" vertical="center" wrapText="1"/>
      <protection locked="0"/>
    </xf>
    <xf numFmtId="0" fontId="20" fillId="5" borderId="45" xfId="14" applyFont="1" applyFill="1" applyBorder="1" applyAlignment="1" applyProtection="1">
      <alignment horizontal="center" vertical="center" wrapText="1"/>
      <protection locked="0"/>
    </xf>
    <xf numFmtId="0" fontId="20" fillId="5" borderId="0" xfId="14" applyFont="1" applyFill="1" applyAlignment="1" applyProtection="1">
      <alignment horizontal="left" vertical="center" wrapText="1"/>
      <protection locked="0"/>
    </xf>
    <xf numFmtId="0" fontId="19" fillId="0" borderId="10" xfId="14" applyBorder="1" applyAlignment="1" applyProtection="1">
      <alignment horizontal="left" vertical="center"/>
      <protection locked="0"/>
    </xf>
    <xf numFmtId="0" fontId="19" fillId="0" borderId="11" xfId="14" applyBorder="1" applyAlignment="1" applyProtection="1">
      <alignment horizontal="left" vertical="center"/>
      <protection locked="0"/>
    </xf>
    <xf numFmtId="0" fontId="19" fillId="0" borderId="27" xfId="14" applyBorder="1" applyAlignment="1" applyProtection="1">
      <alignment horizontal="left" vertical="center"/>
      <protection locked="0"/>
    </xf>
    <xf numFmtId="0" fontId="20" fillId="5" borderId="54" xfId="14" applyFont="1" applyFill="1" applyBorder="1" applyAlignment="1" applyProtection="1">
      <alignment horizontal="center" vertical="center"/>
      <protection locked="0"/>
    </xf>
    <xf numFmtId="0" fontId="20" fillId="5" borderId="55" xfId="14" applyFont="1" applyFill="1" applyBorder="1" applyAlignment="1" applyProtection="1">
      <alignment horizontal="center" vertical="center"/>
      <protection locked="0"/>
    </xf>
    <xf numFmtId="0" fontId="20" fillId="5" borderId="73" xfId="14" applyFont="1" applyFill="1" applyBorder="1" applyAlignment="1" applyProtection="1">
      <alignment horizontal="center" vertical="center"/>
      <protection locked="0"/>
    </xf>
    <xf numFmtId="0" fontId="20" fillId="5" borderId="63" xfId="14" applyFont="1" applyFill="1" applyBorder="1" applyAlignment="1" applyProtection="1">
      <alignment horizontal="center" vertical="center"/>
      <protection locked="0"/>
    </xf>
    <xf numFmtId="0" fontId="43" fillId="0" borderId="20" xfId="14" applyFont="1" applyBorder="1" applyAlignment="1" applyProtection="1">
      <alignment horizontal="justify" vertical="center" wrapText="1"/>
      <protection locked="0"/>
    </xf>
    <xf numFmtId="0" fontId="43" fillId="0" borderId="21" xfId="14" applyFont="1" applyBorder="1" applyAlignment="1" applyProtection="1">
      <alignment horizontal="justify" vertical="center" wrapText="1"/>
      <protection locked="0"/>
    </xf>
    <xf numFmtId="0" fontId="43" fillId="0" borderId="9" xfId="14" applyFont="1" applyBorder="1" applyAlignment="1" applyProtection="1">
      <alignment horizontal="justify" vertical="center" wrapText="1"/>
      <protection locked="0"/>
    </xf>
    <xf numFmtId="0" fontId="43" fillId="0" borderId="0" xfId="14" applyFont="1" applyAlignment="1" applyProtection="1">
      <alignment horizontal="justify" vertical="center" wrapText="1"/>
      <protection locked="0"/>
    </xf>
    <xf numFmtId="0" fontId="43" fillId="0" borderId="22" xfId="14" applyFont="1" applyBorder="1" applyAlignment="1" applyProtection="1">
      <alignment horizontal="justify" vertical="center" wrapText="1"/>
      <protection locked="0"/>
    </xf>
    <xf numFmtId="0" fontId="43" fillId="0" borderId="12" xfId="14" applyFont="1" applyBorder="1" applyAlignment="1" applyProtection="1">
      <alignment horizontal="justify" vertical="center" wrapText="1"/>
      <protection locked="0"/>
    </xf>
    <xf numFmtId="171" fontId="20" fillId="14" borderId="4" xfId="14" applyNumberFormat="1" applyFont="1" applyFill="1" applyBorder="1" applyAlignment="1" applyProtection="1">
      <alignment horizontal="center" vertical="center" wrapText="1"/>
      <protection hidden="1"/>
    </xf>
    <xf numFmtId="0" fontId="20" fillId="5" borderId="4" xfId="14" applyFont="1" applyFill="1" applyBorder="1" applyAlignment="1" applyProtection="1">
      <alignment horizontal="center" vertical="center" wrapText="1"/>
      <protection locked="0"/>
    </xf>
    <xf numFmtId="0" fontId="20" fillId="5" borderId="23" xfId="14" applyFont="1" applyFill="1" applyBorder="1" applyAlignment="1" applyProtection="1">
      <alignment horizontal="center" vertical="center" wrapText="1"/>
      <protection locked="0"/>
    </xf>
    <xf numFmtId="0" fontId="19" fillId="3" borderId="16" xfId="14" applyFill="1" applyBorder="1" applyAlignment="1" applyProtection="1">
      <alignment horizontal="right" vertical="center"/>
      <protection locked="0"/>
    </xf>
    <xf numFmtId="0" fontId="19" fillId="3" borderId="4" xfId="14" applyFill="1" applyBorder="1" applyAlignment="1" applyProtection="1">
      <alignment horizontal="right" vertical="center"/>
      <protection locked="0"/>
    </xf>
    <xf numFmtId="0" fontId="19" fillId="8" borderId="51" xfId="14" applyFill="1" applyBorder="1" applyAlignment="1" applyProtection="1">
      <alignment horizontal="right" vertical="center" wrapText="1"/>
      <protection locked="0"/>
    </xf>
    <xf numFmtId="0" fontId="19" fillId="8" borderId="13" xfId="14" applyFill="1" applyBorder="1" applyAlignment="1" applyProtection="1">
      <alignment horizontal="right" vertical="center" wrapText="1"/>
      <protection locked="0"/>
    </xf>
    <xf numFmtId="0" fontId="19" fillId="3" borderId="10" xfId="14" applyFill="1" applyBorder="1" applyAlignment="1" applyProtection="1">
      <alignment horizontal="left" vertical="center" wrapText="1"/>
      <protection locked="0"/>
    </xf>
    <xf numFmtId="0" fontId="19" fillId="3" borderId="11" xfId="14" applyFill="1" applyBorder="1" applyAlignment="1" applyProtection="1">
      <alignment horizontal="left" vertical="center" wrapText="1"/>
      <protection locked="0"/>
    </xf>
    <xf numFmtId="0" fontId="19" fillId="3" borderId="27" xfId="14" applyFill="1" applyBorder="1" applyAlignment="1" applyProtection="1">
      <alignment horizontal="left" vertical="center" wrapText="1"/>
      <protection locked="0"/>
    </xf>
    <xf numFmtId="0" fontId="19" fillId="3" borderId="10" xfId="14" applyFill="1" applyBorder="1" applyAlignment="1" applyProtection="1">
      <alignment horizontal="center" vertical="center"/>
      <protection locked="0"/>
    </xf>
    <xf numFmtId="0" fontId="19" fillId="3" borderId="11" xfId="14" applyFill="1" applyBorder="1" applyAlignment="1" applyProtection="1">
      <alignment horizontal="center" vertical="center"/>
      <protection locked="0"/>
    </xf>
    <xf numFmtId="0" fontId="19" fillId="3" borderId="27" xfId="14" applyFill="1" applyBorder="1" applyAlignment="1" applyProtection="1">
      <alignment horizontal="center" vertical="center"/>
      <protection locked="0"/>
    </xf>
    <xf numFmtId="0" fontId="20" fillId="5" borderId="0" xfId="14" applyFont="1" applyFill="1" applyAlignment="1" applyProtection="1">
      <alignment horizontal="left" vertical="center"/>
      <protection locked="0"/>
    </xf>
    <xf numFmtId="0" fontId="19" fillId="0" borderId="10" xfId="14" applyBorder="1" applyAlignment="1" applyProtection="1">
      <alignment horizontal="left" vertical="center" wrapText="1"/>
      <protection locked="0"/>
    </xf>
    <xf numFmtId="0" fontId="19" fillId="0" borderId="11" xfId="14" applyBorder="1" applyAlignment="1" applyProtection="1">
      <alignment horizontal="left" vertical="center" wrapText="1"/>
      <protection locked="0"/>
    </xf>
    <xf numFmtId="0" fontId="19" fillId="0" borderId="27" xfId="14" applyBorder="1" applyAlignment="1" applyProtection="1">
      <alignment horizontal="left" vertical="center" wrapText="1"/>
      <protection locked="0"/>
    </xf>
    <xf numFmtId="0" fontId="20" fillId="5" borderId="9" xfId="30" applyFont="1" applyFill="1" applyBorder="1" applyAlignment="1" applyProtection="1">
      <alignment horizontal="left" vertical="center" wrapText="1"/>
      <protection locked="0"/>
    </xf>
    <xf numFmtId="0" fontId="20" fillId="5" borderId="0" xfId="30" applyFont="1" applyFill="1" applyAlignment="1" applyProtection="1">
      <alignment horizontal="left" vertical="center" wrapText="1"/>
      <protection locked="0"/>
    </xf>
    <xf numFmtId="0" fontId="19" fillId="0" borderId="10" xfId="30" applyBorder="1" applyAlignment="1" applyProtection="1">
      <alignment horizontal="left" vertical="center" wrapText="1"/>
      <protection locked="0"/>
    </xf>
    <xf numFmtId="0" fontId="19" fillId="0" borderId="11" xfId="30" applyBorder="1" applyAlignment="1" applyProtection="1">
      <alignment horizontal="left" vertical="center" wrapText="1"/>
      <protection locked="0"/>
    </xf>
    <xf numFmtId="0" fontId="19" fillId="0" borderId="27" xfId="30" applyBorder="1" applyAlignment="1" applyProtection="1">
      <alignment horizontal="left" vertical="center" wrapText="1"/>
      <protection locked="0"/>
    </xf>
    <xf numFmtId="0" fontId="19" fillId="0" borderId="46" xfId="14" applyBorder="1" applyAlignment="1" applyProtection="1">
      <alignment horizontal="center" vertical="center"/>
      <protection locked="0"/>
    </xf>
    <xf numFmtId="0" fontId="19" fillId="0" borderId="37" xfId="14" applyBorder="1" applyAlignment="1" applyProtection="1">
      <alignment horizontal="center" vertical="center"/>
      <protection locked="0"/>
    </xf>
    <xf numFmtId="0" fontId="19" fillId="0" borderId="52" xfId="14" applyBorder="1" applyAlignment="1" applyProtection="1">
      <alignment horizontal="center" vertical="center"/>
      <protection locked="0"/>
    </xf>
    <xf numFmtId="0" fontId="20" fillId="5" borderId="39" xfId="14" applyFont="1" applyFill="1" applyBorder="1" applyAlignment="1" applyProtection="1">
      <alignment horizontal="center" vertical="center" wrapText="1"/>
      <protection locked="0"/>
    </xf>
    <xf numFmtId="0" fontId="20" fillId="5" borderId="40" xfId="14" applyFont="1" applyFill="1" applyBorder="1" applyAlignment="1" applyProtection="1">
      <alignment horizontal="center" vertical="center" wrapText="1"/>
      <protection locked="0"/>
    </xf>
    <xf numFmtId="0" fontId="20" fillId="5" borderId="49" xfId="14" applyFont="1" applyFill="1" applyBorder="1" applyAlignment="1" applyProtection="1">
      <alignment horizontal="center" vertical="center" wrapText="1"/>
      <protection locked="0"/>
    </xf>
    <xf numFmtId="0" fontId="20" fillId="5" borderId="4" xfId="14" applyFont="1" applyFill="1" applyBorder="1" applyAlignment="1" applyProtection="1">
      <alignment horizontal="center" vertical="center"/>
      <protection locked="0"/>
    </xf>
    <xf numFmtId="0" fontId="20" fillId="5" borderId="37" xfId="14" applyFont="1" applyFill="1" applyBorder="1" applyAlignment="1" applyProtection="1">
      <alignment horizontal="center" vertical="center"/>
      <protection locked="0"/>
    </xf>
    <xf numFmtId="0" fontId="20" fillId="5" borderId="23" xfId="14" applyFont="1" applyFill="1" applyBorder="1" applyAlignment="1" applyProtection="1">
      <alignment horizontal="center" vertical="center"/>
      <protection locked="0"/>
    </xf>
    <xf numFmtId="0" fontId="20" fillId="14" borderId="16" xfId="14" applyFont="1" applyFill="1" applyBorder="1" applyAlignment="1" applyProtection="1">
      <alignment horizontal="right" vertical="center" wrapText="1"/>
      <protection hidden="1"/>
    </xf>
    <xf numFmtId="0" fontId="20" fillId="14" borderId="4" xfId="14" applyFont="1" applyFill="1" applyBorder="1" applyAlignment="1" applyProtection="1">
      <alignment horizontal="right" vertical="center" wrapText="1"/>
      <protection hidden="1"/>
    </xf>
    <xf numFmtId="0" fontId="20" fillId="3" borderId="51" xfId="14" applyFont="1" applyFill="1" applyBorder="1" applyAlignment="1" applyProtection="1">
      <alignment horizontal="right" vertical="center" wrapText="1"/>
      <protection locked="0"/>
    </xf>
    <xf numFmtId="0" fontId="20" fillId="3" borderId="13" xfId="14" applyFont="1" applyFill="1" applyBorder="1" applyAlignment="1" applyProtection="1">
      <alignment horizontal="right" vertical="center" wrapText="1"/>
      <protection locked="0"/>
    </xf>
    <xf numFmtId="0" fontId="20" fillId="5" borderId="16" xfId="14" applyFont="1" applyFill="1" applyBorder="1" applyAlignment="1" applyProtection="1">
      <alignment horizontal="center" vertical="center"/>
      <protection locked="0"/>
    </xf>
    <xf numFmtId="0" fontId="19" fillId="8" borderId="16" xfId="14" applyFill="1" applyBorder="1" applyAlignment="1" applyProtection="1">
      <alignment horizontal="right" vertical="center"/>
      <protection locked="0"/>
    </xf>
    <xf numFmtId="0" fontId="19" fillId="8" borderId="4" xfId="14" applyFill="1" applyBorder="1" applyAlignment="1" applyProtection="1">
      <alignment horizontal="right" vertical="center"/>
      <protection locked="0"/>
    </xf>
    <xf numFmtId="0" fontId="20" fillId="5" borderId="30" xfId="14" applyFont="1" applyFill="1" applyBorder="1" applyAlignment="1" applyProtection="1">
      <alignment horizontal="center" vertical="center" wrapText="1"/>
      <protection locked="0"/>
    </xf>
    <xf numFmtId="0" fontId="20" fillId="5" borderId="31" xfId="14" applyFont="1" applyFill="1" applyBorder="1" applyAlignment="1" applyProtection="1">
      <alignment horizontal="center" vertical="center" wrapText="1"/>
      <protection locked="0"/>
    </xf>
    <xf numFmtId="0" fontId="20" fillId="5" borderId="46" xfId="14" applyFont="1" applyFill="1" applyBorder="1" applyAlignment="1" applyProtection="1">
      <alignment horizontal="center" vertical="center" wrapText="1"/>
      <protection locked="0"/>
    </xf>
    <xf numFmtId="0" fontId="20" fillId="5" borderId="24" xfId="14" applyFont="1" applyFill="1" applyBorder="1" applyAlignment="1" applyProtection="1">
      <alignment horizontal="center" vertical="center" wrapText="1"/>
      <protection locked="0"/>
    </xf>
    <xf numFmtId="0" fontId="20" fillId="5" borderId="16" xfId="14" applyFont="1" applyFill="1" applyBorder="1" applyAlignment="1" applyProtection="1">
      <alignment horizontal="center" vertical="center" wrapText="1"/>
      <protection locked="0"/>
    </xf>
    <xf numFmtId="0" fontId="20" fillId="8" borderId="16" xfId="14" applyFont="1" applyFill="1" applyBorder="1" applyAlignment="1" applyProtection="1">
      <alignment horizontal="right" vertical="center" wrapText="1"/>
      <protection locked="0"/>
    </xf>
    <xf numFmtId="0" fontId="20" fillId="8" borderId="4" xfId="14" applyFont="1" applyFill="1" applyBorder="1" applyAlignment="1" applyProtection="1">
      <alignment horizontal="right" vertical="center" wrapText="1"/>
      <protection locked="0"/>
    </xf>
    <xf numFmtId="0" fontId="33" fillId="0" borderId="16" xfId="9" applyFont="1" applyBorder="1" applyAlignment="1" applyProtection="1">
      <alignment horizontal="left" vertical="center" wrapText="1"/>
      <protection locked="0"/>
    </xf>
    <xf numFmtId="0" fontId="33" fillId="0" borderId="4" xfId="9" applyFont="1" applyBorder="1" applyAlignment="1" applyProtection="1">
      <alignment horizontal="left" vertical="center" wrapText="1"/>
      <protection locked="0"/>
    </xf>
    <xf numFmtId="173" fontId="33" fillId="0" borderId="37" xfId="7" applyNumberFormat="1" applyFont="1" applyFill="1" applyBorder="1" applyAlignment="1" applyProtection="1">
      <alignment horizontal="center" vertical="center" wrapText="1"/>
      <protection locked="0"/>
    </xf>
    <xf numFmtId="173" fontId="33" fillId="0" borderId="19" xfId="7" applyNumberFormat="1" applyFont="1" applyFill="1" applyBorder="1" applyAlignment="1" applyProtection="1">
      <alignment horizontal="center" vertical="center" wrapText="1"/>
      <protection locked="0"/>
    </xf>
    <xf numFmtId="0" fontId="23" fillId="3" borderId="30" xfId="9" applyFont="1" applyFill="1" applyBorder="1" applyAlignment="1" applyProtection="1">
      <alignment horizontal="right" vertical="center" wrapText="1"/>
      <protection locked="0"/>
    </xf>
    <xf numFmtId="0" fontId="23" fillId="3" borderId="31" xfId="9" applyFont="1" applyFill="1" applyBorder="1" applyAlignment="1" applyProtection="1">
      <alignment horizontal="right" vertical="center" wrapText="1"/>
      <protection locked="0"/>
    </xf>
    <xf numFmtId="0" fontId="23" fillId="5" borderId="32" xfId="9" applyFont="1" applyFill="1" applyBorder="1" applyAlignment="1" applyProtection="1">
      <alignment horizontal="right" vertical="center"/>
      <protection locked="0"/>
    </xf>
    <xf numFmtId="0" fontId="23" fillId="5" borderId="33" xfId="9" applyFont="1" applyFill="1" applyBorder="1" applyAlignment="1" applyProtection="1">
      <alignment horizontal="right" vertical="center"/>
      <protection locked="0"/>
    </xf>
    <xf numFmtId="0" fontId="23" fillId="5" borderId="34" xfId="9" applyFont="1" applyFill="1" applyBorder="1" applyAlignment="1" applyProtection="1">
      <alignment horizontal="right" vertical="center"/>
      <protection locked="0"/>
    </xf>
    <xf numFmtId="0" fontId="19" fillId="0" borderId="20" xfId="9" applyFont="1" applyBorder="1" applyAlignment="1" applyProtection="1">
      <alignment horizontal="center" vertical="center"/>
      <protection locked="0"/>
    </xf>
    <xf numFmtId="0" fontId="19" fillId="0" borderId="42" xfId="9" applyFont="1" applyBorder="1" applyAlignment="1" applyProtection="1">
      <alignment horizontal="center" vertical="center"/>
      <protection locked="0"/>
    </xf>
    <xf numFmtId="0" fontId="19" fillId="0" borderId="9" xfId="9" applyFont="1" applyBorder="1" applyAlignment="1" applyProtection="1">
      <alignment horizontal="center" vertical="center"/>
      <protection locked="0"/>
    </xf>
    <xf numFmtId="0" fontId="19" fillId="0" borderId="47" xfId="9" applyFont="1" applyBorder="1" applyAlignment="1" applyProtection="1">
      <alignment horizontal="center" vertical="center"/>
      <protection locked="0"/>
    </xf>
    <xf numFmtId="0" fontId="19" fillId="0" borderId="22" xfId="9" applyFont="1" applyBorder="1" applyAlignment="1" applyProtection="1">
      <alignment horizontal="center" vertical="center"/>
      <protection locked="0"/>
    </xf>
    <xf numFmtId="0" fontId="19" fillId="0" borderId="28" xfId="9" applyFont="1" applyBorder="1" applyAlignment="1" applyProtection="1">
      <alignment horizontal="center" vertical="center"/>
      <protection locked="0"/>
    </xf>
    <xf numFmtId="0" fontId="19" fillId="0" borderId="31" xfId="9" applyFont="1" applyBorder="1" applyAlignment="1" applyProtection="1">
      <alignment horizontal="center" vertical="center"/>
      <protection locked="0"/>
    </xf>
    <xf numFmtId="0" fontId="19" fillId="0" borderId="24" xfId="9" applyFont="1" applyBorder="1" applyAlignment="1" applyProtection="1">
      <alignment horizontal="center" vertical="center"/>
      <protection locked="0"/>
    </xf>
    <xf numFmtId="0" fontId="19" fillId="0" borderId="4" xfId="9" applyFont="1" applyBorder="1" applyAlignment="1" applyProtection="1">
      <alignment horizontal="center" vertical="center"/>
      <protection locked="0"/>
    </xf>
    <xf numFmtId="0" fontId="19" fillId="0" borderId="23" xfId="9" applyFont="1" applyBorder="1" applyAlignment="1" applyProtection="1">
      <alignment horizontal="center" vertical="center"/>
      <protection locked="0"/>
    </xf>
    <xf numFmtId="0" fontId="19" fillId="0" borderId="13" xfId="9" applyFont="1" applyBorder="1" applyAlignment="1" applyProtection="1">
      <alignment horizontal="center" vertical="center"/>
      <protection locked="0"/>
    </xf>
    <xf numFmtId="0" fontId="19" fillId="0" borderId="33" xfId="9" applyFont="1" applyBorder="1" applyAlignment="1" applyProtection="1">
      <alignment horizontal="center" vertical="center"/>
      <protection locked="0"/>
    </xf>
    <xf numFmtId="0" fontId="23" fillId="3" borderId="16" xfId="9" applyFont="1" applyFill="1" applyBorder="1" applyAlignment="1" applyProtection="1">
      <alignment horizontal="right" vertical="center" wrapText="1"/>
      <protection locked="0"/>
    </xf>
    <xf numFmtId="0" fontId="23" fillId="3" borderId="4" xfId="9" applyFont="1" applyFill="1" applyBorder="1" applyAlignment="1" applyProtection="1">
      <alignment horizontal="right" vertical="center" wrapText="1"/>
      <protection locked="0"/>
    </xf>
    <xf numFmtId="0" fontId="23" fillId="5" borderId="25" xfId="9" applyFont="1" applyFill="1" applyBorder="1" applyAlignment="1" applyProtection="1">
      <alignment horizontal="right" vertical="center"/>
      <protection locked="0"/>
    </xf>
    <xf numFmtId="0" fontId="23" fillId="5" borderId="38" xfId="9" applyFont="1" applyFill="1" applyBorder="1" applyAlignment="1" applyProtection="1">
      <alignment horizontal="right" vertical="center"/>
      <protection locked="0"/>
    </xf>
    <xf numFmtId="0" fontId="23" fillId="5" borderId="19" xfId="9" applyFont="1" applyFill="1" applyBorder="1" applyAlignment="1" applyProtection="1">
      <alignment horizontal="right" vertical="center"/>
      <protection locked="0"/>
    </xf>
    <xf numFmtId="0" fontId="34" fillId="5" borderId="16" xfId="9" applyFont="1" applyFill="1" applyBorder="1" applyAlignment="1" applyProtection="1">
      <alignment horizontal="center" vertical="center" wrapText="1"/>
      <protection locked="0"/>
    </xf>
    <xf numFmtId="0" fontId="34" fillId="5" borderId="4" xfId="9" applyFont="1" applyFill="1" applyBorder="1" applyAlignment="1" applyProtection="1">
      <alignment horizontal="center" vertical="center" wrapText="1"/>
      <protection locked="0"/>
    </xf>
    <xf numFmtId="0" fontId="0" fillId="0" borderId="37" xfId="0" applyBorder="1" applyAlignment="1">
      <alignment horizontal="center"/>
    </xf>
    <xf numFmtId="0" fontId="0" fillId="0" borderId="38" xfId="0" applyBorder="1" applyAlignment="1">
      <alignment horizontal="center"/>
    </xf>
    <xf numFmtId="0" fontId="0" fillId="0" borderId="19" xfId="0" applyBorder="1" applyAlignment="1">
      <alignment horizontal="center"/>
    </xf>
    <xf numFmtId="0" fontId="23" fillId="5" borderId="30" xfId="9" applyFont="1" applyFill="1" applyBorder="1" applyAlignment="1" applyProtection="1">
      <alignment horizontal="left" vertical="center"/>
      <protection locked="0"/>
    </xf>
    <xf numFmtId="0" fontId="23" fillId="5" borderId="31" xfId="9" applyFont="1" applyFill="1" applyBorder="1" applyAlignment="1" applyProtection="1">
      <alignment horizontal="left" vertical="center"/>
      <protection locked="0"/>
    </xf>
    <xf numFmtId="0" fontId="23" fillId="5" borderId="24" xfId="9" applyFont="1" applyFill="1" applyBorder="1" applyAlignment="1" applyProtection="1">
      <alignment horizontal="left" vertical="center"/>
      <protection locked="0"/>
    </xf>
    <xf numFmtId="0" fontId="23" fillId="3" borderId="16" xfId="9" applyFont="1" applyFill="1" applyBorder="1" applyAlignment="1" applyProtection="1">
      <alignment horizontal="left" vertical="center"/>
      <protection locked="0"/>
    </xf>
    <xf numFmtId="0" fontId="23" fillId="3" borderId="4" xfId="9" applyFont="1" applyFill="1" applyBorder="1" applyAlignment="1" applyProtection="1">
      <alignment horizontal="left" vertical="center"/>
      <protection locked="0"/>
    </xf>
    <xf numFmtId="0" fontId="23" fillId="3" borderId="23" xfId="9" applyFont="1" applyFill="1" applyBorder="1" applyAlignment="1" applyProtection="1">
      <alignment horizontal="left" vertical="center"/>
      <protection locked="0"/>
    </xf>
    <xf numFmtId="0" fontId="20" fillId="5" borderId="30" xfId="9" applyFont="1" applyFill="1" applyBorder="1" applyAlignment="1" applyProtection="1">
      <alignment horizontal="center" vertical="center" wrapText="1"/>
      <protection locked="0"/>
    </xf>
    <xf numFmtId="0" fontId="20" fillId="5" borderId="31" xfId="9" applyFont="1" applyFill="1" applyBorder="1" applyAlignment="1" applyProtection="1">
      <alignment horizontal="center" vertical="center" wrapText="1"/>
      <protection locked="0"/>
    </xf>
    <xf numFmtId="0" fontId="20" fillId="5" borderId="24" xfId="9" applyFont="1" applyFill="1" applyBorder="1" applyAlignment="1" applyProtection="1">
      <alignment horizontal="center" vertical="center" wrapText="1"/>
      <protection locked="0"/>
    </xf>
    <xf numFmtId="0" fontId="34" fillId="5" borderId="37" xfId="9" applyFont="1" applyFill="1" applyBorder="1" applyAlignment="1" applyProtection="1">
      <alignment horizontal="center" vertical="center" wrapText="1"/>
      <protection locked="0"/>
    </xf>
    <xf numFmtId="0" fontId="34" fillId="5" borderId="19" xfId="9" applyFont="1" applyFill="1" applyBorder="1" applyAlignment="1" applyProtection="1">
      <alignment horizontal="center" vertical="center" wrapText="1"/>
      <protection locked="0"/>
    </xf>
    <xf numFmtId="181" fontId="0" fillId="0" borderId="37" xfId="0" applyNumberFormat="1" applyBorder="1" applyAlignment="1">
      <alignment horizontal="center" vertical="center"/>
    </xf>
    <xf numFmtId="181" fontId="0" fillId="0" borderId="19" xfId="0" applyNumberFormat="1" applyBorder="1" applyAlignment="1">
      <alignment horizontal="center" vertical="center"/>
    </xf>
    <xf numFmtId="0" fontId="23" fillId="5" borderId="51" xfId="9" applyFont="1" applyFill="1" applyBorder="1" applyAlignment="1" applyProtection="1">
      <alignment horizontal="right" vertical="center"/>
      <protection locked="0"/>
    </xf>
    <xf numFmtId="0" fontId="23" fillId="5" borderId="13" xfId="9" applyFont="1" applyFill="1" applyBorder="1" applyAlignment="1" applyProtection="1">
      <alignment horizontal="right" vertical="center"/>
      <protection locked="0"/>
    </xf>
    <xf numFmtId="0" fontId="23" fillId="3" borderId="16" xfId="9" applyFont="1" applyFill="1" applyBorder="1" applyAlignment="1" applyProtection="1">
      <alignment horizontal="right" vertical="center"/>
      <protection locked="0"/>
    </xf>
    <xf numFmtId="0" fontId="23" fillId="3" borderId="4" xfId="9" applyFont="1" applyFill="1" applyBorder="1" applyAlignment="1" applyProtection="1">
      <alignment horizontal="right" vertical="center"/>
      <protection locked="0"/>
    </xf>
    <xf numFmtId="173" fontId="20" fillId="5" borderId="30" xfId="0" applyNumberFormat="1" applyFont="1" applyFill="1" applyBorder="1" applyAlignment="1" applyProtection="1">
      <alignment horizontal="center" vertical="center"/>
      <protection locked="0"/>
    </xf>
    <xf numFmtId="173" fontId="20" fillId="5" borderId="31" xfId="0" applyNumberFormat="1" applyFont="1" applyFill="1" applyBorder="1" applyAlignment="1" applyProtection="1">
      <alignment horizontal="center" vertical="center"/>
      <protection locked="0"/>
    </xf>
    <xf numFmtId="173" fontId="20" fillId="5" borderId="24" xfId="0" applyNumberFormat="1" applyFont="1" applyFill="1" applyBorder="1" applyAlignment="1" applyProtection="1">
      <alignment horizontal="center" vertical="center"/>
      <protection locked="0"/>
    </xf>
    <xf numFmtId="173" fontId="20" fillId="5" borderId="16" xfId="0" applyNumberFormat="1" applyFont="1" applyFill="1" applyBorder="1" applyAlignment="1" applyProtection="1">
      <alignment horizontal="center" vertical="center"/>
      <protection locked="0"/>
    </xf>
    <xf numFmtId="173" fontId="20" fillId="5" borderId="4" xfId="0" applyNumberFormat="1" applyFont="1" applyFill="1" applyBorder="1" applyAlignment="1" applyProtection="1">
      <alignment horizontal="center" vertical="center"/>
      <protection locked="0"/>
    </xf>
    <xf numFmtId="0" fontId="30" fillId="5" borderId="4" xfId="9" applyFont="1" applyFill="1" applyBorder="1" applyAlignment="1" applyProtection="1">
      <alignment horizontal="center" vertical="center" wrapText="1"/>
      <protection locked="0"/>
    </xf>
    <xf numFmtId="0" fontId="23" fillId="5" borderId="16" xfId="9" applyFont="1" applyFill="1" applyBorder="1" applyAlignment="1" applyProtection="1">
      <alignment horizontal="right" vertical="center"/>
      <protection locked="0"/>
    </xf>
    <xf numFmtId="0" fontId="23" fillId="5" borderId="4" xfId="9" applyFont="1" applyFill="1" applyBorder="1" applyAlignment="1" applyProtection="1">
      <alignment horizontal="right" vertical="center"/>
      <protection locked="0"/>
    </xf>
    <xf numFmtId="0" fontId="23" fillId="3" borderId="25" xfId="9" applyFont="1" applyFill="1" applyBorder="1" applyAlignment="1" applyProtection="1">
      <alignment horizontal="left" vertical="center"/>
      <protection locked="0"/>
    </xf>
    <xf numFmtId="0" fontId="23" fillId="3" borderId="38" xfId="9" applyFont="1" applyFill="1" applyBorder="1" applyAlignment="1" applyProtection="1">
      <alignment horizontal="left" vertical="center"/>
      <protection locked="0"/>
    </xf>
    <xf numFmtId="0" fontId="23" fillId="3" borderId="45" xfId="9" applyFont="1" applyFill="1" applyBorder="1" applyAlignment="1" applyProtection="1">
      <alignment horizontal="left" vertical="center"/>
      <protection locked="0"/>
    </xf>
    <xf numFmtId="0" fontId="19" fillId="0" borderId="30" xfId="9" applyFont="1" applyBorder="1" applyAlignment="1" applyProtection="1">
      <alignment horizontal="center" vertical="center"/>
      <protection locked="0"/>
    </xf>
    <xf numFmtId="0" fontId="19" fillId="0" borderId="16" xfId="9" applyFont="1" applyBorder="1" applyAlignment="1" applyProtection="1">
      <alignment horizontal="center" vertical="center"/>
      <protection locked="0"/>
    </xf>
    <xf numFmtId="0" fontId="19" fillId="0" borderId="51" xfId="9" applyFont="1" applyBorder="1" applyAlignment="1" applyProtection="1">
      <alignment horizontal="center" vertical="center"/>
      <protection locked="0"/>
    </xf>
    <xf numFmtId="0" fontId="19" fillId="0" borderId="14" xfId="9" applyFont="1" applyBorder="1" applyAlignment="1" applyProtection="1">
      <alignment horizontal="center" vertical="center"/>
      <protection locked="0"/>
    </xf>
    <xf numFmtId="0" fontId="23" fillId="5" borderId="46" xfId="9" applyFont="1" applyFill="1" applyBorder="1" applyAlignment="1" applyProtection="1">
      <alignment horizontal="left" vertical="center"/>
      <protection locked="0"/>
    </xf>
    <xf numFmtId="0" fontId="34" fillId="5" borderId="7" xfId="9" applyFont="1" applyFill="1" applyBorder="1" applyAlignment="1" applyProtection="1">
      <alignment horizontal="center" vertical="center" wrapText="1"/>
      <protection locked="0"/>
    </xf>
    <xf numFmtId="0" fontId="34" fillId="5" borderId="5" xfId="9" applyFont="1" applyFill="1" applyBorder="1" applyAlignment="1" applyProtection="1">
      <alignment horizontal="center" vertical="center" wrapText="1"/>
      <protection locked="0"/>
    </xf>
    <xf numFmtId="173" fontId="19" fillId="3" borderId="53" xfId="9" applyNumberFormat="1" applyFont="1" applyFill="1" applyBorder="1" applyAlignment="1" applyProtection="1">
      <alignment horizontal="center" vertical="center"/>
      <protection locked="0"/>
    </xf>
    <xf numFmtId="173" fontId="19" fillId="3" borderId="5" xfId="9" applyNumberFormat="1" applyFont="1" applyFill="1" applyBorder="1" applyAlignment="1" applyProtection="1">
      <alignment horizontal="center" vertical="center"/>
      <protection locked="0"/>
    </xf>
    <xf numFmtId="0" fontId="22" fillId="14" borderId="16" xfId="9" applyFont="1" applyFill="1" applyBorder="1" applyAlignment="1">
      <alignment horizontal="left" vertical="center"/>
    </xf>
    <xf numFmtId="0" fontId="22" fillId="14" borderId="4" xfId="9" applyFont="1" applyFill="1" applyBorder="1" applyAlignment="1">
      <alignment horizontal="left" vertical="center"/>
    </xf>
    <xf numFmtId="0" fontId="22" fillId="14" borderId="51" xfId="9" applyFont="1" applyFill="1" applyBorder="1" applyAlignment="1">
      <alignment horizontal="left" vertical="center"/>
    </xf>
    <xf numFmtId="0" fontId="22" fillId="14" borderId="13" xfId="9" applyFont="1" applyFill="1" applyBorder="1" applyAlignment="1">
      <alignment horizontal="left" vertical="center"/>
    </xf>
    <xf numFmtId="0" fontId="23" fillId="3" borderId="16" xfId="9" applyFont="1" applyFill="1" applyBorder="1" applyAlignment="1" applyProtection="1">
      <alignment horizontal="center" vertical="center" wrapText="1"/>
      <protection locked="0"/>
    </xf>
    <xf numFmtId="0" fontId="23" fillId="3" borderId="4" xfId="9" applyFont="1" applyFill="1" applyBorder="1" applyAlignment="1" applyProtection="1">
      <alignment horizontal="center" vertical="center" wrapText="1"/>
      <protection locked="0"/>
    </xf>
    <xf numFmtId="9" fontId="19" fillId="0" borderId="32" xfId="16" applyFont="1" applyFill="1" applyBorder="1" applyAlignment="1" applyProtection="1">
      <alignment horizontal="right" vertical="center"/>
      <protection locked="0"/>
    </xf>
    <xf numFmtId="9" fontId="19" fillId="0" borderId="34" xfId="16" applyFont="1" applyFill="1" applyBorder="1" applyAlignment="1" applyProtection="1">
      <alignment horizontal="right" vertical="center"/>
      <protection locked="0"/>
    </xf>
    <xf numFmtId="0" fontId="23" fillId="5" borderId="10" xfId="9" applyFont="1" applyFill="1" applyBorder="1" applyAlignment="1" applyProtection="1">
      <alignment horizontal="center" vertical="center"/>
      <protection locked="0"/>
    </xf>
    <xf numFmtId="0" fontId="23" fillId="5" borderId="11" xfId="9" applyFont="1" applyFill="1" applyBorder="1" applyAlignment="1" applyProtection="1">
      <alignment horizontal="center" vertical="center"/>
      <protection locked="0"/>
    </xf>
    <xf numFmtId="0" fontId="23" fillId="5" borderId="27" xfId="9" applyFont="1" applyFill="1" applyBorder="1" applyAlignment="1" applyProtection="1">
      <alignment horizontal="center" vertical="center"/>
      <protection locked="0"/>
    </xf>
    <xf numFmtId="0" fontId="20" fillId="5" borderId="16" xfId="9" applyFont="1" applyFill="1" applyBorder="1" applyAlignment="1" applyProtection="1">
      <alignment horizontal="center" vertical="center" wrapText="1"/>
      <protection locked="0"/>
    </xf>
    <xf numFmtId="0" fontId="20" fillId="5" borderId="4" xfId="9" applyFont="1" applyFill="1" applyBorder="1" applyAlignment="1" applyProtection="1">
      <alignment horizontal="center" vertical="center" wrapText="1"/>
      <protection locked="0"/>
    </xf>
    <xf numFmtId="0" fontId="20" fillId="5" borderId="23" xfId="9" applyFont="1" applyFill="1" applyBorder="1" applyAlignment="1" applyProtection="1">
      <alignment horizontal="center" vertical="center" wrapText="1"/>
      <protection locked="0"/>
    </xf>
    <xf numFmtId="0" fontId="30" fillId="14" borderId="7" xfId="9" applyFont="1" applyFill="1" applyBorder="1" applyAlignment="1">
      <alignment horizontal="center" vertical="center" wrapText="1"/>
    </xf>
    <xf numFmtId="0" fontId="30" fillId="14" borderId="5" xfId="9" applyFont="1" applyFill="1" applyBorder="1" applyAlignment="1">
      <alignment horizontal="center" vertical="center" wrapText="1"/>
    </xf>
    <xf numFmtId="173" fontId="20" fillId="5" borderId="23" xfId="0" applyNumberFormat="1" applyFont="1" applyFill="1" applyBorder="1" applyAlignment="1" applyProtection="1">
      <alignment horizontal="center" vertical="center"/>
      <protection locked="0"/>
    </xf>
    <xf numFmtId="0" fontId="34" fillId="5" borderId="65" xfId="9" applyFont="1" applyFill="1" applyBorder="1" applyAlignment="1" applyProtection="1">
      <alignment horizontal="center" vertical="center" wrapText="1"/>
      <protection locked="0"/>
    </xf>
    <xf numFmtId="0" fontId="34" fillId="5" borderId="29" xfId="9" applyFont="1" applyFill="1" applyBorder="1" applyAlignment="1" applyProtection="1">
      <alignment horizontal="center" vertical="center" wrapText="1"/>
      <protection locked="0"/>
    </xf>
    <xf numFmtId="0" fontId="34" fillId="5" borderId="60" xfId="9" applyFont="1" applyFill="1" applyBorder="1" applyAlignment="1" applyProtection="1">
      <alignment horizontal="center" vertical="center" wrapText="1"/>
      <protection locked="0"/>
    </xf>
    <xf numFmtId="0" fontId="34" fillId="5" borderId="26" xfId="9" applyFont="1" applyFill="1" applyBorder="1" applyAlignment="1" applyProtection="1">
      <alignment horizontal="center" vertical="center" wrapText="1"/>
      <protection locked="0"/>
    </xf>
    <xf numFmtId="0" fontId="34" fillId="5" borderId="17" xfId="9" applyFont="1" applyFill="1" applyBorder="1" applyAlignment="1" applyProtection="1">
      <alignment horizontal="center" vertical="center" wrapText="1"/>
      <protection locked="0"/>
    </xf>
    <xf numFmtId="0" fontId="34" fillId="5" borderId="44" xfId="9" applyFont="1" applyFill="1" applyBorder="1" applyAlignment="1" applyProtection="1">
      <alignment horizontal="center" vertical="center" wrapText="1"/>
      <protection locked="0"/>
    </xf>
    <xf numFmtId="0" fontId="34" fillId="5" borderId="59" xfId="9" applyFont="1" applyFill="1" applyBorder="1" applyAlignment="1" applyProtection="1">
      <alignment horizontal="center" vertical="center" wrapText="1"/>
      <protection locked="0"/>
    </xf>
    <xf numFmtId="0" fontId="34" fillId="5" borderId="43" xfId="9" applyFont="1" applyFill="1" applyBorder="1" applyAlignment="1" applyProtection="1">
      <alignment horizontal="center" vertical="center" wrapText="1"/>
      <protection locked="0"/>
    </xf>
    <xf numFmtId="0" fontId="20" fillId="5" borderId="31" xfId="0" applyFont="1" applyFill="1" applyBorder="1" applyAlignment="1" applyProtection="1">
      <alignment horizontal="center" vertical="center"/>
      <protection locked="0"/>
    </xf>
    <xf numFmtId="0" fontId="20" fillId="5" borderId="24" xfId="0" applyFont="1" applyFill="1" applyBorder="1" applyAlignment="1" applyProtection="1">
      <alignment horizontal="center" vertical="center"/>
      <protection locked="0"/>
    </xf>
    <xf numFmtId="0" fontId="20" fillId="5" borderId="4" xfId="0" applyFont="1" applyFill="1" applyBorder="1" applyAlignment="1" applyProtection="1">
      <alignment horizontal="center" vertical="center"/>
      <protection locked="0"/>
    </xf>
    <xf numFmtId="0" fontId="20" fillId="5" borderId="23" xfId="0" applyFont="1" applyFill="1" applyBorder="1" applyAlignment="1" applyProtection="1">
      <alignment horizontal="center" vertical="center"/>
      <protection locked="0"/>
    </xf>
    <xf numFmtId="0" fontId="30" fillId="5" borderId="16" xfId="9" applyFont="1" applyFill="1" applyBorder="1" applyAlignment="1" applyProtection="1">
      <alignment horizontal="center" vertical="center" wrapText="1"/>
      <protection locked="0"/>
    </xf>
    <xf numFmtId="0" fontId="30" fillId="14" borderId="4" xfId="9" applyFont="1" applyFill="1" applyBorder="1" applyAlignment="1" applyProtection="1">
      <alignment horizontal="center" vertical="center" wrapText="1"/>
      <protection locked="0"/>
    </xf>
    <xf numFmtId="0" fontId="19" fillId="3" borderId="1" xfId="9" applyFont="1" applyFill="1" applyBorder="1" applyAlignment="1" applyProtection="1">
      <alignment horizontal="left" vertical="center" wrapText="1"/>
      <protection locked="0"/>
    </xf>
    <xf numFmtId="0" fontId="19" fillId="3" borderId="2" xfId="9" applyFont="1" applyFill="1" applyBorder="1" applyAlignment="1" applyProtection="1">
      <alignment horizontal="left" vertical="center" wrapText="1"/>
      <protection locked="0"/>
    </xf>
    <xf numFmtId="0" fontId="19" fillId="3" borderId="3" xfId="9" applyFont="1" applyFill="1" applyBorder="1" applyAlignment="1" applyProtection="1">
      <alignment horizontal="left" vertical="center" wrapText="1"/>
      <protection locked="0"/>
    </xf>
    <xf numFmtId="0" fontId="48" fillId="3" borderId="10" xfId="57" applyFont="1" applyFill="1" applyBorder="1" applyAlignment="1" applyProtection="1">
      <alignment horizontal="center" vertical="center"/>
      <protection locked="0"/>
    </xf>
    <xf numFmtId="0" fontId="48" fillId="3" borderId="27" xfId="57" applyFont="1" applyFill="1" applyBorder="1" applyAlignment="1" applyProtection="1">
      <alignment horizontal="center" vertical="center"/>
      <protection locked="0"/>
    </xf>
    <xf numFmtId="0" fontId="23" fillId="5" borderId="30" xfId="9" applyFont="1" applyFill="1" applyBorder="1" applyAlignment="1">
      <alignment horizontal="right" vertical="center" wrapText="1"/>
    </xf>
    <xf numFmtId="0" fontId="23" fillId="5" borderId="31" xfId="9" applyFont="1" applyFill="1" applyBorder="1" applyAlignment="1">
      <alignment horizontal="right" vertical="center" wrapText="1"/>
    </xf>
    <xf numFmtId="167" fontId="23" fillId="0" borderId="0" xfId="8" applyNumberFormat="1" applyFont="1" applyFill="1" applyBorder="1" applyAlignment="1" applyProtection="1">
      <alignment horizontal="right" vertical="center"/>
    </xf>
    <xf numFmtId="0" fontId="23" fillId="5" borderId="16" xfId="9" applyFont="1" applyFill="1" applyBorder="1" applyAlignment="1">
      <alignment horizontal="right" vertical="center" wrapText="1"/>
    </xf>
    <xf numFmtId="0" fontId="23" fillId="5" borderId="4" xfId="9" applyFont="1" applyFill="1" applyBorder="1" applyAlignment="1">
      <alignment horizontal="right" vertical="center" wrapText="1"/>
    </xf>
    <xf numFmtId="0" fontId="23" fillId="5" borderId="51" xfId="9" applyFont="1" applyFill="1" applyBorder="1" applyAlignment="1">
      <alignment horizontal="right" vertical="center" wrapText="1"/>
    </xf>
    <xf numFmtId="0" fontId="23" fillId="5" borderId="13" xfId="9" applyFont="1" applyFill="1" applyBorder="1" applyAlignment="1">
      <alignment horizontal="right" vertical="center" wrapText="1"/>
    </xf>
    <xf numFmtId="0" fontId="23" fillId="5" borderId="1" xfId="9" applyFont="1" applyFill="1" applyBorder="1" applyAlignment="1" applyProtection="1">
      <alignment horizontal="center" vertical="center"/>
      <protection locked="0"/>
    </xf>
    <xf numFmtId="0" fontId="23" fillId="5" borderId="2" xfId="9" applyFont="1" applyFill="1" applyBorder="1" applyAlignment="1" applyProtection="1">
      <alignment horizontal="center" vertical="center"/>
      <protection locked="0"/>
    </xf>
    <xf numFmtId="0" fontId="23" fillId="5" borderId="3" xfId="9" applyFont="1" applyFill="1" applyBorder="1" applyAlignment="1" applyProtection="1">
      <alignment horizontal="center" vertical="center"/>
      <protection locked="0"/>
    </xf>
    <xf numFmtId="0" fontId="22" fillId="14" borderId="16" xfId="9" applyFont="1" applyFill="1" applyBorder="1" applyAlignment="1">
      <alignment horizontal="left" vertical="center" wrapText="1"/>
    </xf>
    <xf numFmtId="0" fontId="22" fillId="14" borderId="4" xfId="9" applyFont="1" applyFill="1" applyBorder="1" applyAlignment="1">
      <alignment horizontal="left" vertical="center" wrapText="1"/>
    </xf>
    <xf numFmtId="173" fontId="19" fillId="3" borderId="6" xfId="9" applyNumberFormat="1" applyFont="1" applyFill="1" applyBorder="1" applyAlignment="1" applyProtection="1">
      <alignment horizontal="center" vertical="center"/>
      <protection locked="0"/>
    </xf>
    <xf numFmtId="9" fontId="19" fillId="0" borderId="52" xfId="16" applyFont="1" applyFill="1" applyBorder="1" applyAlignment="1" applyProtection="1">
      <alignment horizontal="right" vertical="center"/>
      <protection locked="0"/>
    </xf>
    <xf numFmtId="9" fontId="19" fillId="0" borderId="62" xfId="16" applyFont="1" applyFill="1" applyBorder="1" applyAlignment="1" applyProtection="1">
      <alignment horizontal="right" vertical="center"/>
      <protection locked="0"/>
    </xf>
    <xf numFmtId="0" fontId="54" fillId="5" borderId="25" xfId="10" applyFont="1" applyFill="1" applyBorder="1" applyAlignment="1">
      <alignment horizontal="right" vertical="center" wrapText="1"/>
    </xf>
    <xf numFmtId="0" fontId="54" fillId="5" borderId="38" xfId="10" applyFont="1" applyFill="1" applyBorder="1" applyAlignment="1">
      <alignment horizontal="right" vertical="center" wrapText="1"/>
    </xf>
    <xf numFmtId="0" fontId="54" fillId="5" borderId="19" xfId="10" applyFont="1" applyFill="1" applyBorder="1" applyAlignment="1">
      <alignment horizontal="right" vertical="center" wrapText="1"/>
    </xf>
    <xf numFmtId="0" fontId="62" fillId="0" borderId="0" xfId="50" applyFont="1" applyAlignment="1" applyProtection="1">
      <alignment horizontal="center" vertical="center" wrapText="1"/>
      <protection locked="0"/>
    </xf>
    <xf numFmtId="0" fontId="64" fillId="0" borderId="0" xfId="65" applyFont="1" applyAlignment="1" applyProtection="1">
      <alignment horizontal="center" vertical="center"/>
      <protection locked="0"/>
    </xf>
    <xf numFmtId="0" fontId="67" fillId="0" borderId="0" xfId="65" applyFont="1" applyAlignment="1" applyProtection="1">
      <alignment horizontal="center" vertical="center" wrapText="1"/>
      <protection locked="0"/>
    </xf>
    <xf numFmtId="0" fontId="56" fillId="0" borderId="66" xfId="60" applyFont="1" applyBorder="1" applyAlignment="1">
      <alignment horizontal="justify" vertical="center" wrapText="1"/>
    </xf>
    <xf numFmtId="0" fontId="56" fillId="0" borderId="74" xfId="60" applyFont="1" applyBorder="1" applyAlignment="1">
      <alignment horizontal="justify" vertical="center" wrapText="1"/>
    </xf>
    <xf numFmtId="0" fontId="56" fillId="0" borderId="71" xfId="60" applyFont="1" applyBorder="1" applyAlignment="1">
      <alignment horizontal="justify" vertical="center" wrapText="1"/>
    </xf>
    <xf numFmtId="0" fontId="56" fillId="0" borderId="66" xfId="60" applyFont="1" applyBorder="1" applyAlignment="1">
      <alignment horizontal="justify" vertical="center"/>
    </xf>
    <xf numFmtId="0" fontId="56" fillId="0" borderId="74" xfId="60" applyFont="1" applyBorder="1" applyAlignment="1">
      <alignment horizontal="justify" vertical="center"/>
    </xf>
    <xf numFmtId="0" fontId="56" fillId="0" borderId="71" xfId="60" applyFont="1" applyBorder="1" applyAlignment="1">
      <alignment horizontal="justify" vertical="center"/>
    </xf>
    <xf numFmtId="0" fontId="20" fillId="0" borderId="10" xfId="9" applyFont="1" applyBorder="1" applyAlignment="1" applyProtection="1">
      <alignment horizontal="left" wrapText="1"/>
      <protection locked="0"/>
    </xf>
    <xf numFmtId="0" fontId="20" fillId="0" borderId="11" xfId="9" applyFont="1" applyBorder="1" applyAlignment="1" applyProtection="1">
      <alignment horizontal="left"/>
      <protection locked="0"/>
    </xf>
    <xf numFmtId="0" fontId="20" fillId="0" borderId="27" xfId="9" applyFont="1" applyBorder="1" applyAlignment="1" applyProtection="1">
      <alignment horizontal="left"/>
      <protection locked="0"/>
    </xf>
    <xf numFmtId="0" fontId="20" fillId="0" borderId="22" xfId="65" applyFont="1" applyBorder="1" applyAlignment="1" applyProtection="1">
      <alignment horizontal="justify" vertical="center" wrapText="1"/>
      <protection locked="0"/>
    </xf>
    <xf numFmtId="0" fontId="20" fillId="0" borderId="12" xfId="65" applyFont="1" applyBorder="1" applyAlignment="1" applyProtection="1">
      <alignment horizontal="justify" vertical="center" wrapText="1"/>
      <protection locked="0"/>
    </xf>
    <xf numFmtId="0" fontId="20" fillId="0" borderId="36" xfId="65" applyFont="1" applyBorder="1" applyAlignment="1" applyProtection="1">
      <alignment horizontal="justify" vertical="center" wrapText="1"/>
      <protection locked="0"/>
    </xf>
    <xf numFmtId="0" fontId="20" fillId="0" borderId="10" xfId="9" applyFont="1" applyBorder="1" applyAlignment="1" applyProtection="1">
      <alignment horizontal="left" vertical="top"/>
      <protection locked="0"/>
    </xf>
    <xf numFmtId="0" fontId="20" fillId="0" borderId="11" xfId="9" applyFont="1" applyBorder="1" applyAlignment="1" applyProtection="1">
      <alignment horizontal="left" vertical="top"/>
      <protection locked="0"/>
    </xf>
    <xf numFmtId="0" fontId="20" fillId="0" borderId="27" xfId="9" applyFont="1" applyBorder="1" applyAlignment="1" applyProtection="1">
      <alignment horizontal="left" vertical="top"/>
      <protection locked="0"/>
    </xf>
    <xf numFmtId="0" fontId="20" fillId="0" borderId="20" xfId="65" applyFont="1" applyBorder="1" applyAlignment="1" applyProtection="1">
      <alignment horizontal="justify" vertical="center" wrapText="1"/>
      <protection locked="0"/>
    </xf>
    <xf numFmtId="0" fontId="20" fillId="0" borderId="21" xfId="65" applyFont="1" applyBorder="1" applyAlignment="1" applyProtection="1">
      <alignment horizontal="justify" vertical="center" wrapText="1"/>
      <protection locked="0"/>
    </xf>
    <xf numFmtId="0" fontId="20" fillId="0" borderId="35" xfId="65" applyFont="1" applyBorder="1" applyAlignment="1" applyProtection="1">
      <alignment horizontal="justify" vertical="center" wrapText="1"/>
      <protection locked="0"/>
    </xf>
    <xf numFmtId="0" fontId="20" fillId="0" borderId="9" xfId="65" applyFont="1" applyBorder="1" applyAlignment="1" applyProtection="1">
      <alignment horizontal="justify" vertical="center" wrapText="1"/>
      <protection locked="0"/>
    </xf>
    <xf numFmtId="0" fontId="20" fillId="0" borderId="0" xfId="65" applyFont="1" applyAlignment="1" applyProtection="1">
      <alignment horizontal="justify" vertical="center" wrapText="1"/>
      <protection locked="0"/>
    </xf>
    <xf numFmtId="0" fontId="20" fillId="0" borderId="48" xfId="65" applyFont="1" applyBorder="1" applyAlignment="1" applyProtection="1">
      <alignment horizontal="justify" vertical="center" wrapText="1"/>
      <protection locked="0"/>
    </xf>
    <xf numFmtId="0" fontId="54" fillId="5" borderId="32" xfId="10" applyFont="1" applyFill="1" applyBorder="1" applyAlignment="1">
      <alignment horizontal="right" vertical="center" wrapText="1"/>
    </xf>
    <xf numFmtId="0" fontId="54" fillId="5" borderId="33" xfId="10" applyFont="1" applyFill="1" applyBorder="1" applyAlignment="1">
      <alignment horizontal="right" vertical="center" wrapText="1"/>
    </xf>
    <xf numFmtId="0" fontId="54" fillId="5" borderId="34" xfId="10" applyFont="1" applyFill="1" applyBorder="1" applyAlignment="1">
      <alignment horizontal="right" vertical="center" wrapText="1"/>
    </xf>
    <xf numFmtId="0" fontId="59" fillId="0" borderId="37" xfId="10" applyFont="1" applyBorder="1" applyAlignment="1">
      <alignment horizontal="left" vertical="center" wrapText="1"/>
    </xf>
    <xf numFmtId="0" fontId="59" fillId="0" borderId="38" xfId="10" applyFont="1" applyBorder="1" applyAlignment="1">
      <alignment horizontal="left" vertical="center" wrapText="1"/>
    </xf>
    <xf numFmtId="0" fontId="59" fillId="0" borderId="19" xfId="10" applyFont="1" applyBorder="1" applyAlignment="1">
      <alignment horizontal="left" vertical="center" wrapText="1"/>
    </xf>
    <xf numFmtId="0" fontId="60" fillId="0" borderId="0" xfId="60" applyFont="1" applyAlignment="1">
      <alignment horizontal="left" vertical="top" wrapText="1"/>
    </xf>
    <xf numFmtId="0" fontId="54" fillId="5" borderId="39" xfId="10" applyFont="1" applyFill="1" applyBorder="1" applyAlignment="1">
      <alignment horizontal="right" vertical="center" wrapText="1"/>
    </xf>
    <xf numFmtId="0" fontId="54" fillId="5" borderId="40" xfId="10" applyFont="1" applyFill="1" applyBorder="1" applyAlignment="1">
      <alignment horizontal="right" vertical="center" wrapText="1"/>
    </xf>
    <xf numFmtId="0" fontId="54" fillId="5" borderId="17" xfId="10" applyFont="1" applyFill="1" applyBorder="1" applyAlignment="1">
      <alignment horizontal="right" vertical="center" wrapText="1"/>
    </xf>
    <xf numFmtId="0" fontId="54" fillId="5" borderId="41" xfId="10" applyFont="1" applyFill="1" applyBorder="1" applyAlignment="1">
      <alignment horizontal="right" vertical="center" wrapText="1"/>
    </xf>
    <xf numFmtId="0" fontId="54" fillId="7" borderId="16" xfId="10" applyFont="1" applyFill="1" applyBorder="1" applyAlignment="1">
      <alignment horizontal="right" vertical="center" wrapText="1"/>
    </xf>
    <xf numFmtId="0" fontId="54" fillId="7" borderId="4" xfId="10" applyFont="1" applyFill="1" applyBorder="1" applyAlignment="1">
      <alignment horizontal="right" vertical="center" wrapText="1"/>
    </xf>
    <xf numFmtId="0" fontId="54" fillId="7" borderId="51" xfId="10" applyFont="1" applyFill="1" applyBorder="1" applyAlignment="1">
      <alignment horizontal="right" vertical="center" wrapText="1"/>
    </xf>
    <xf numFmtId="0" fontId="54" fillId="7" borderId="13" xfId="10" applyFont="1" applyFill="1" applyBorder="1" applyAlignment="1">
      <alignment horizontal="right" vertical="center" wrapText="1"/>
    </xf>
    <xf numFmtId="0" fontId="54" fillId="7" borderId="30" xfId="10" applyFont="1" applyFill="1" applyBorder="1" applyAlignment="1">
      <alignment horizontal="right" vertical="center" wrapText="1"/>
    </xf>
    <xf numFmtId="0" fontId="54" fillId="7" borderId="31" xfId="10" applyFont="1" applyFill="1" applyBorder="1" applyAlignment="1">
      <alignment horizontal="right" vertical="center" wrapText="1"/>
    </xf>
    <xf numFmtId="0" fontId="64" fillId="0" borderId="0" xfId="65" applyFont="1" applyAlignment="1" applyProtection="1">
      <alignment horizontal="center" vertical="center" wrapText="1"/>
      <protection locked="0"/>
    </xf>
    <xf numFmtId="0" fontId="20" fillId="0" borderId="20" xfId="9" applyFont="1" applyBorder="1" applyAlignment="1" applyProtection="1">
      <alignment horizontal="left" vertical="top"/>
      <protection locked="0"/>
    </xf>
    <xf numFmtId="0" fontId="20" fillId="0" borderId="21" xfId="9" applyFont="1" applyBorder="1" applyAlignment="1" applyProtection="1">
      <alignment horizontal="left" vertical="top"/>
      <protection locked="0"/>
    </xf>
    <xf numFmtId="0" fontId="20" fillId="0" borderId="35" xfId="9" applyFont="1" applyBorder="1" applyAlignment="1" applyProtection="1">
      <alignment horizontal="left" vertical="top"/>
      <protection locked="0"/>
    </xf>
    <xf numFmtId="0" fontId="54" fillId="7" borderId="53" xfId="10" applyFont="1" applyFill="1" applyBorder="1" applyAlignment="1">
      <alignment horizontal="right" vertical="center" wrapText="1"/>
    </xf>
    <xf numFmtId="0" fontId="54" fillId="7" borderId="5" xfId="10" applyFont="1" applyFill="1" applyBorder="1" applyAlignment="1">
      <alignment horizontal="right" vertical="center" wrapText="1"/>
    </xf>
    <xf numFmtId="0" fontId="62" fillId="7" borderId="51" xfId="10" applyFont="1" applyFill="1" applyBorder="1" applyAlignment="1">
      <alignment horizontal="right" vertical="center" wrapText="1"/>
    </xf>
    <xf numFmtId="0" fontId="62" fillId="7" borderId="13" xfId="10" applyFont="1" applyFill="1" applyBorder="1" applyAlignment="1">
      <alignment horizontal="right" vertical="center" wrapText="1"/>
    </xf>
    <xf numFmtId="0" fontId="62" fillId="7" borderId="53" xfId="10" applyFont="1" applyFill="1" applyBorder="1" applyAlignment="1">
      <alignment horizontal="right" vertical="center" wrapText="1"/>
    </xf>
    <xf numFmtId="0" fontId="62" fillId="7" borderId="5" xfId="10" applyFont="1" applyFill="1" applyBorder="1" applyAlignment="1">
      <alignment horizontal="right" vertical="center" wrapText="1"/>
    </xf>
    <xf numFmtId="0" fontId="64" fillId="7" borderId="4" xfId="65" applyFont="1" applyFill="1" applyBorder="1" applyAlignment="1">
      <alignment horizontal="center" wrapText="1"/>
    </xf>
    <xf numFmtId="0" fontId="56" fillId="0" borderId="7" xfId="65" applyFont="1" applyBorder="1" applyAlignment="1">
      <alignment horizontal="right" wrapText="1"/>
    </xf>
    <xf numFmtId="0" fontId="62" fillId="5" borderId="25" xfId="10" applyFont="1" applyFill="1" applyBorder="1" applyAlignment="1">
      <alignment horizontal="right" vertical="center" wrapText="1"/>
    </xf>
    <xf numFmtId="0" fontId="62" fillId="5" borderId="38" xfId="10" applyFont="1" applyFill="1" applyBorder="1" applyAlignment="1">
      <alignment horizontal="right" vertical="center" wrapText="1"/>
    </xf>
    <xf numFmtId="0" fontId="62" fillId="5" borderId="19" xfId="10" applyFont="1" applyFill="1" applyBorder="1" applyAlignment="1">
      <alignment horizontal="right" vertical="center" wrapText="1"/>
    </xf>
    <xf numFmtId="0" fontId="62" fillId="5" borderId="32" xfId="10" applyFont="1" applyFill="1" applyBorder="1" applyAlignment="1">
      <alignment horizontal="right" vertical="center" wrapText="1"/>
    </xf>
    <xf numFmtId="0" fontId="62" fillId="5" borderId="33" xfId="10" applyFont="1" applyFill="1" applyBorder="1" applyAlignment="1">
      <alignment horizontal="right" vertical="center" wrapText="1"/>
    </xf>
    <xf numFmtId="0" fontId="62" fillId="5" borderId="34" xfId="10" applyFont="1" applyFill="1" applyBorder="1" applyAlignment="1">
      <alignment horizontal="right" vertical="center" wrapText="1"/>
    </xf>
    <xf numFmtId="0" fontId="19" fillId="0" borderId="0" xfId="11" applyFont="1" applyAlignment="1">
      <alignment horizontal="justify" vertical="top"/>
    </xf>
    <xf numFmtId="0" fontId="62" fillId="7" borderId="25" xfId="10" applyFont="1" applyFill="1" applyBorder="1" applyAlignment="1">
      <alignment horizontal="right" vertical="center" wrapText="1"/>
    </xf>
    <xf numFmtId="0" fontId="62" fillId="7" borderId="38" xfId="10" applyFont="1" applyFill="1" applyBorder="1" applyAlignment="1">
      <alignment horizontal="right" vertical="center" wrapText="1"/>
    </xf>
    <xf numFmtId="0" fontId="62" fillId="7" borderId="19" xfId="10" applyFont="1" applyFill="1" applyBorder="1" applyAlignment="1">
      <alignment horizontal="right" vertical="center" wrapText="1"/>
    </xf>
    <xf numFmtId="0" fontId="62" fillId="7" borderId="32" xfId="10" applyFont="1" applyFill="1" applyBorder="1" applyAlignment="1">
      <alignment horizontal="right" vertical="center" wrapText="1"/>
    </xf>
    <xf numFmtId="0" fontId="62" fillId="7" borderId="33" xfId="10" applyFont="1" applyFill="1" applyBorder="1" applyAlignment="1">
      <alignment horizontal="right" vertical="center" wrapText="1"/>
    </xf>
    <xf numFmtId="0" fontId="62" fillId="7" borderId="34" xfId="10" applyFont="1" applyFill="1" applyBorder="1" applyAlignment="1">
      <alignment horizontal="right" vertical="center" wrapText="1"/>
    </xf>
    <xf numFmtId="0" fontId="20" fillId="0" borderId="11" xfId="9" applyFont="1" applyBorder="1" applyAlignment="1" applyProtection="1">
      <alignment horizontal="left" wrapText="1"/>
      <protection locked="0"/>
    </xf>
    <xf numFmtId="0" fontId="20" fillId="0" borderId="27" xfId="9" applyFont="1" applyBorder="1" applyAlignment="1" applyProtection="1">
      <alignment horizontal="left" wrapText="1"/>
      <protection locked="0"/>
    </xf>
    <xf numFmtId="0" fontId="20" fillId="22" borderId="22" xfId="65" applyFont="1" applyFill="1" applyBorder="1" applyAlignment="1" applyProtection="1">
      <alignment horizontal="justify" vertical="center" wrapText="1"/>
      <protection locked="0"/>
    </xf>
    <xf numFmtId="0" fontId="20" fillId="22" borderId="12" xfId="65" applyFont="1" applyFill="1" applyBorder="1" applyAlignment="1" applyProtection="1">
      <alignment horizontal="justify" vertical="center" wrapText="1"/>
      <protection locked="0"/>
    </xf>
    <xf numFmtId="0" fontId="20" fillId="22" borderId="36" xfId="65" applyFont="1" applyFill="1" applyBorder="1" applyAlignment="1" applyProtection="1">
      <alignment horizontal="justify" vertical="center" wrapText="1"/>
      <protection locked="0"/>
    </xf>
    <xf numFmtId="0" fontId="19" fillId="0" borderId="4" xfId="9" applyFont="1" applyBorder="1" applyAlignment="1" applyProtection="1">
      <alignment horizontal="left" vertical="center" wrapText="1"/>
      <protection locked="0"/>
    </xf>
    <xf numFmtId="173" fontId="19" fillId="0" borderId="4" xfId="7" applyNumberFormat="1" applyFont="1" applyFill="1" applyBorder="1" applyAlignment="1" applyProtection="1">
      <alignment horizontal="left" vertical="center" wrapText="1"/>
      <protection locked="0"/>
    </xf>
    <xf numFmtId="0" fontId="20" fillId="3" borderId="4" xfId="9" applyFont="1" applyFill="1" applyBorder="1" applyAlignment="1" applyProtection="1">
      <alignment horizontal="right" vertical="center" wrapText="1"/>
      <protection locked="0"/>
    </xf>
    <xf numFmtId="165" fontId="19" fillId="0" borderId="4" xfId="7" applyFont="1" applyFill="1" applyBorder="1" applyAlignment="1" applyProtection="1">
      <alignment horizontal="left" vertical="center" wrapText="1"/>
      <protection locked="0"/>
    </xf>
    <xf numFmtId="0" fontId="20" fillId="5" borderId="4" xfId="30" applyFont="1" applyFill="1" applyBorder="1" applyAlignment="1" applyProtection="1">
      <alignment horizontal="left" vertical="center" wrapText="1"/>
      <protection locked="0"/>
    </xf>
    <xf numFmtId="165" fontId="20" fillId="5" borderId="4" xfId="7" applyFont="1" applyFill="1" applyBorder="1" applyAlignment="1" applyProtection="1">
      <alignment horizontal="center" vertical="center"/>
      <protection locked="0"/>
    </xf>
    <xf numFmtId="0" fontId="19" fillId="0" borderId="30" xfId="9" applyFont="1" applyBorder="1" applyAlignment="1" applyProtection="1">
      <alignment horizontal="center"/>
      <protection locked="0"/>
    </xf>
    <xf numFmtId="0" fontId="19" fillId="0" borderId="31" xfId="9" applyFont="1" applyBorder="1" applyAlignment="1" applyProtection="1">
      <alignment horizontal="center"/>
      <protection locked="0"/>
    </xf>
    <xf numFmtId="0" fontId="19" fillId="0" borderId="16" xfId="9" applyFont="1" applyBorder="1" applyAlignment="1" applyProtection="1">
      <alignment horizontal="center"/>
      <protection locked="0"/>
    </xf>
    <xf numFmtId="0" fontId="19" fillId="0" borderId="4" xfId="9" applyFont="1" applyBorder="1" applyAlignment="1" applyProtection="1">
      <alignment horizontal="center"/>
      <protection locked="0"/>
    </xf>
    <xf numFmtId="0" fontId="19" fillId="0" borderId="51" xfId="9" applyFont="1" applyBorder="1" applyAlignment="1" applyProtection="1">
      <alignment horizontal="center"/>
      <protection locked="0"/>
    </xf>
    <xf numFmtId="0" fontId="19" fillId="0" borderId="13" xfId="9" applyFont="1" applyBorder="1" applyAlignment="1" applyProtection="1">
      <alignment horizontal="center"/>
      <protection locked="0"/>
    </xf>
    <xf numFmtId="0" fontId="20" fillId="5" borderId="48" xfId="30" applyFont="1" applyFill="1" applyBorder="1" applyAlignment="1" applyProtection="1">
      <alignment horizontal="left" vertical="center" wrapText="1"/>
      <protection locked="0"/>
    </xf>
    <xf numFmtId="173" fontId="20" fillId="0" borderId="13" xfId="9" applyNumberFormat="1" applyFont="1" applyBorder="1" applyAlignment="1" applyProtection="1">
      <alignment horizontal="center" vertical="center"/>
      <protection locked="0"/>
    </xf>
    <xf numFmtId="0" fontId="20" fillId="0" borderId="52" xfId="9" applyFont="1" applyBorder="1" applyAlignment="1" applyProtection="1">
      <alignment horizontal="center" vertical="center"/>
      <protection locked="0"/>
    </xf>
    <xf numFmtId="0" fontId="20" fillId="3" borderId="37" xfId="9" applyFont="1" applyFill="1" applyBorder="1" applyAlignment="1" applyProtection="1">
      <alignment horizontal="left" vertical="center" wrapText="1"/>
      <protection locked="0"/>
    </xf>
    <xf numFmtId="0" fontId="20" fillId="3" borderId="38" xfId="9" applyFont="1" applyFill="1" applyBorder="1" applyAlignment="1" applyProtection="1">
      <alignment horizontal="left" vertical="center" wrapText="1"/>
      <protection locked="0"/>
    </xf>
    <xf numFmtId="0" fontId="20" fillId="3" borderId="19" xfId="9" applyFont="1" applyFill="1" applyBorder="1" applyAlignment="1" applyProtection="1">
      <alignment horizontal="left" vertical="center" wrapText="1"/>
      <protection locked="0"/>
    </xf>
    <xf numFmtId="165" fontId="20" fillId="0" borderId="21" xfId="7" applyFont="1" applyFill="1" applyBorder="1" applyAlignment="1" applyProtection="1">
      <alignment horizontal="center" vertical="center" wrapText="1"/>
      <protection locked="0"/>
    </xf>
    <xf numFmtId="165" fontId="20" fillId="0" borderId="35" xfId="7" applyFont="1" applyFill="1" applyBorder="1" applyAlignment="1" applyProtection="1">
      <alignment horizontal="center" vertical="center" wrapText="1"/>
      <protection locked="0"/>
    </xf>
    <xf numFmtId="0" fontId="20" fillId="14" borderId="25" xfId="9" applyFont="1" applyFill="1" applyBorder="1" applyAlignment="1">
      <alignment horizontal="right" vertical="center" wrapText="1"/>
    </xf>
    <xf numFmtId="0" fontId="20" fillId="14" borderId="38" xfId="9" applyFont="1" applyFill="1" applyBorder="1" applyAlignment="1">
      <alignment horizontal="right" vertical="center" wrapText="1"/>
    </xf>
    <xf numFmtId="0" fontId="20" fillId="14" borderId="19" xfId="9" applyFont="1" applyFill="1" applyBorder="1" applyAlignment="1">
      <alignment horizontal="right" vertical="center" wrapText="1"/>
    </xf>
    <xf numFmtId="0" fontId="20" fillId="6" borderId="25" xfId="9" applyFont="1" applyFill="1" applyBorder="1" applyAlignment="1" applyProtection="1">
      <alignment horizontal="right" vertical="center" wrapText="1"/>
      <protection locked="0"/>
    </xf>
    <xf numFmtId="0" fontId="20" fillId="6" borderId="38" xfId="9" applyFont="1" applyFill="1" applyBorder="1" applyAlignment="1" applyProtection="1">
      <alignment horizontal="right" vertical="center" wrapText="1"/>
      <protection locked="0"/>
    </xf>
    <xf numFmtId="0" fontId="20" fillId="6" borderId="19" xfId="9" applyFont="1" applyFill="1" applyBorder="1" applyAlignment="1" applyProtection="1">
      <alignment horizontal="right" vertical="center" wrapText="1"/>
      <protection locked="0"/>
    </xf>
    <xf numFmtId="167" fontId="23" fillId="5" borderId="20" xfId="8" applyNumberFormat="1" applyFont="1" applyFill="1" applyBorder="1" applyAlignment="1" applyProtection="1">
      <alignment horizontal="right" vertical="center"/>
      <protection locked="0"/>
    </xf>
    <xf numFmtId="167" fontId="23" fillId="5" borderId="21" xfId="8" applyNumberFormat="1" applyFont="1" applyFill="1" applyBorder="1" applyAlignment="1" applyProtection="1">
      <alignment horizontal="right" vertical="center"/>
      <protection locked="0"/>
    </xf>
    <xf numFmtId="167" fontId="23" fillId="5" borderId="35" xfId="8" applyNumberFormat="1" applyFont="1" applyFill="1" applyBorder="1" applyAlignment="1" applyProtection="1">
      <alignment horizontal="right" vertical="center"/>
      <protection locked="0"/>
    </xf>
    <xf numFmtId="0" fontId="20" fillId="14" borderId="39" xfId="9" applyFont="1" applyFill="1" applyBorder="1" applyAlignment="1">
      <alignment horizontal="right" vertical="center" wrapText="1"/>
    </xf>
    <xf numFmtId="0" fontId="20" fillId="14" borderId="40" xfId="9" applyFont="1" applyFill="1" applyBorder="1" applyAlignment="1">
      <alignment horizontal="right" vertical="center" wrapText="1"/>
    </xf>
    <xf numFmtId="0" fontId="20" fillId="14" borderId="41" xfId="9" applyFont="1" applyFill="1" applyBorder="1" applyAlignment="1">
      <alignment horizontal="right" vertical="center" wrapText="1"/>
    </xf>
    <xf numFmtId="0" fontId="20" fillId="0" borderId="9" xfId="9" applyFont="1" applyBorder="1" applyAlignment="1" applyProtection="1">
      <alignment horizontal="center" vertical="center" wrapText="1"/>
      <protection locked="0"/>
    </xf>
    <xf numFmtId="0" fontId="20" fillId="0" borderId="0" xfId="9" applyFont="1" applyAlignment="1" applyProtection="1">
      <alignment horizontal="center" vertical="center" wrapText="1"/>
      <protection locked="0"/>
    </xf>
    <xf numFmtId="173" fontId="20" fillId="0" borderId="5" xfId="9" applyNumberFormat="1" applyFont="1" applyBorder="1" applyAlignment="1" applyProtection="1">
      <alignment horizontal="center" vertical="center"/>
      <protection locked="0"/>
    </xf>
    <xf numFmtId="0" fontId="20" fillId="0" borderId="43" xfId="9" applyFont="1" applyBorder="1" applyAlignment="1" applyProtection="1">
      <alignment horizontal="center" vertical="center"/>
      <protection locked="0"/>
    </xf>
    <xf numFmtId="0" fontId="20" fillId="0" borderId="5" xfId="9" applyFont="1" applyBorder="1" applyAlignment="1" applyProtection="1">
      <alignment horizontal="justify" vertical="top" wrapText="1"/>
      <protection locked="0"/>
    </xf>
    <xf numFmtId="0" fontId="20" fillId="0" borderId="6" xfId="9" applyFont="1" applyBorder="1" applyAlignment="1" applyProtection="1">
      <alignment horizontal="justify" vertical="top" wrapText="1"/>
      <protection locked="0"/>
    </xf>
    <xf numFmtId="0" fontId="20" fillId="0" borderId="13" xfId="9" applyFont="1" applyBorder="1" applyAlignment="1" applyProtection="1">
      <alignment horizontal="justify" vertical="top" wrapText="1"/>
      <protection locked="0"/>
    </xf>
    <xf numFmtId="0" fontId="20" fillId="0" borderId="14" xfId="9" applyFont="1" applyBorder="1" applyAlignment="1" applyProtection="1">
      <alignment horizontal="justify" vertical="top" wrapText="1"/>
      <protection locked="0"/>
    </xf>
    <xf numFmtId="0" fontId="20" fillId="6" borderId="10" xfId="9" applyFont="1" applyFill="1" applyBorder="1" applyAlignment="1" applyProtection="1">
      <alignment horizontal="center" vertical="center" wrapText="1"/>
      <protection locked="0"/>
    </xf>
    <xf numFmtId="0" fontId="20" fillId="6" borderId="11" xfId="9" applyFont="1" applyFill="1" applyBorder="1" applyAlignment="1" applyProtection="1">
      <alignment horizontal="center" vertical="center" wrapText="1"/>
      <protection locked="0"/>
    </xf>
    <xf numFmtId="0" fontId="20" fillId="6" borderId="27" xfId="9" applyFont="1" applyFill="1" applyBorder="1" applyAlignment="1" applyProtection="1">
      <alignment horizontal="center" vertical="center" wrapText="1"/>
      <protection locked="0"/>
    </xf>
    <xf numFmtId="173" fontId="20" fillId="0" borderId="4" xfId="9" applyNumberFormat="1" applyFont="1" applyBorder="1" applyAlignment="1" applyProtection="1">
      <alignment horizontal="center" vertical="center"/>
      <protection locked="0"/>
    </xf>
    <xf numFmtId="0" fontId="20" fillId="0" borderId="37" xfId="9" applyFont="1" applyBorder="1" applyAlignment="1" applyProtection="1">
      <alignment horizontal="center" vertical="center"/>
      <protection locked="0"/>
    </xf>
    <xf numFmtId="0" fontId="20" fillId="0" borderId="4" xfId="9" applyFont="1" applyBorder="1" applyAlignment="1" applyProtection="1">
      <alignment horizontal="justify" vertical="top" wrapText="1"/>
      <protection locked="0"/>
    </xf>
    <xf numFmtId="0" fontId="20" fillId="0" borderId="23" xfId="9" applyFont="1" applyBorder="1" applyAlignment="1" applyProtection="1">
      <alignment horizontal="justify" vertical="top" wrapText="1"/>
      <protection locked="0"/>
    </xf>
    <xf numFmtId="0" fontId="20" fillId="8" borderId="16" xfId="9" applyFont="1" applyFill="1" applyBorder="1" applyAlignment="1" applyProtection="1">
      <alignment horizontal="right" vertical="center" wrapText="1"/>
      <protection locked="0"/>
    </xf>
    <xf numFmtId="0" fontId="20" fillId="8" borderId="4" xfId="9" applyFont="1" applyFill="1" applyBorder="1" applyAlignment="1" applyProtection="1">
      <alignment horizontal="right" vertical="center" wrapText="1"/>
      <protection locked="0"/>
    </xf>
    <xf numFmtId="167" fontId="23" fillId="3" borderId="10" xfId="8" applyNumberFormat="1" applyFont="1" applyFill="1" applyBorder="1" applyAlignment="1" applyProtection="1">
      <alignment horizontal="right" vertical="center"/>
      <protection locked="0"/>
    </xf>
    <xf numFmtId="167" fontId="23" fillId="3" borderId="11" xfId="8" applyNumberFormat="1" applyFont="1" applyFill="1" applyBorder="1" applyAlignment="1" applyProtection="1">
      <alignment horizontal="right" vertical="center"/>
      <protection locked="0"/>
    </xf>
    <xf numFmtId="173" fontId="20" fillId="0" borderId="40" xfId="7" applyNumberFormat="1" applyFont="1" applyFill="1" applyBorder="1" applyAlignment="1" applyProtection="1">
      <alignment horizontal="center" vertical="center" wrapText="1"/>
      <protection locked="0"/>
    </xf>
    <xf numFmtId="173" fontId="20" fillId="0" borderId="49" xfId="7" applyNumberFormat="1" applyFont="1" applyFill="1" applyBorder="1" applyAlignment="1" applyProtection="1">
      <alignment horizontal="center" vertical="center" wrapText="1"/>
      <protection locked="0"/>
    </xf>
    <xf numFmtId="0" fontId="19" fillId="0" borderId="16" xfId="9" applyFont="1" applyBorder="1" applyAlignment="1" applyProtection="1">
      <alignment horizontal="left" vertical="center" wrapText="1"/>
      <protection locked="0"/>
    </xf>
    <xf numFmtId="0" fontId="20" fillId="14" borderId="32" xfId="9" applyFont="1" applyFill="1" applyBorder="1" applyAlignment="1">
      <alignment horizontal="right" vertical="center" wrapText="1"/>
    </xf>
    <xf numFmtId="0" fontId="20" fillId="14" borderId="33" xfId="9" applyFont="1" applyFill="1" applyBorder="1" applyAlignment="1">
      <alignment horizontal="right" vertical="center" wrapText="1"/>
    </xf>
    <xf numFmtId="173" fontId="20" fillId="0" borderId="2" xfId="9" applyNumberFormat="1" applyFont="1" applyBorder="1" applyAlignment="1" applyProtection="1">
      <alignment horizontal="center" vertical="center"/>
      <protection locked="0"/>
    </xf>
    <xf numFmtId="0" fontId="20" fillId="0" borderId="70" xfId="9" applyFont="1" applyBorder="1" applyAlignment="1" applyProtection="1">
      <alignment horizontal="center" vertical="center"/>
      <protection locked="0"/>
    </xf>
    <xf numFmtId="0" fontId="19" fillId="0" borderId="1" xfId="9" applyFont="1" applyBorder="1" applyAlignment="1" applyProtection="1">
      <alignment horizontal="justify" vertical="top" wrapText="1"/>
      <protection locked="0"/>
    </xf>
    <xf numFmtId="0" fontId="19" fillId="0" borderId="2" xfId="9" applyFont="1" applyBorder="1" applyAlignment="1" applyProtection="1">
      <alignment horizontal="justify" vertical="top" wrapText="1"/>
      <protection locked="0"/>
    </xf>
    <xf numFmtId="0" fontId="19" fillId="0" borderId="3" xfId="9" applyFont="1" applyBorder="1" applyAlignment="1" applyProtection="1">
      <alignment horizontal="justify" vertical="top" wrapText="1"/>
      <protection locked="0"/>
    </xf>
    <xf numFmtId="0" fontId="20" fillId="3" borderId="16" xfId="9" applyFont="1" applyFill="1" applyBorder="1" applyAlignment="1" applyProtection="1">
      <alignment horizontal="right" vertical="center" wrapText="1"/>
      <protection locked="0"/>
    </xf>
    <xf numFmtId="0" fontId="20" fillId="8" borderId="30" xfId="30" applyFont="1" applyFill="1" applyBorder="1" applyAlignment="1" applyProtection="1">
      <alignment horizontal="center" vertical="center" wrapText="1"/>
      <protection locked="0"/>
    </xf>
    <xf numFmtId="0" fontId="20" fillId="8" borderId="31" xfId="30" applyFont="1" applyFill="1" applyBorder="1" applyAlignment="1" applyProtection="1">
      <alignment horizontal="center" vertical="center" wrapText="1"/>
      <protection locked="0"/>
    </xf>
    <xf numFmtId="0" fontId="20" fillId="8" borderId="24" xfId="30" applyFont="1" applyFill="1" applyBorder="1" applyAlignment="1" applyProtection="1">
      <alignment horizontal="center" vertical="center" wrapText="1"/>
      <protection locked="0"/>
    </xf>
    <xf numFmtId="0" fontId="20" fillId="3" borderId="16" xfId="9" applyFont="1" applyFill="1" applyBorder="1" applyAlignment="1" applyProtection="1">
      <alignment horizontal="left" vertical="center" wrapText="1"/>
      <protection locked="0"/>
    </xf>
    <xf numFmtId="0" fontId="20" fillId="3" borderId="4" xfId="9" applyFont="1" applyFill="1" applyBorder="1" applyAlignment="1" applyProtection="1">
      <alignment horizontal="left" vertical="center" wrapText="1"/>
      <protection locked="0"/>
    </xf>
    <xf numFmtId="0" fontId="20" fillId="3" borderId="23" xfId="9" applyFont="1" applyFill="1" applyBorder="1" applyAlignment="1" applyProtection="1">
      <alignment horizontal="left" vertical="center" wrapText="1"/>
      <protection locked="0"/>
    </xf>
    <xf numFmtId="0" fontId="20" fillId="5" borderId="20" xfId="30" applyFont="1" applyFill="1" applyBorder="1" applyAlignment="1" applyProtection="1">
      <alignment horizontal="left" vertical="center" wrapText="1"/>
      <protection locked="0"/>
    </xf>
    <xf numFmtId="0" fontId="20" fillId="5" borderId="21" xfId="30" applyFont="1" applyFill="1" applyBorder="1" applyAlignment="1" applyProtection="1">
      <alignment horizontal="left" vertical="center" wrapText="1"/>
      <protection locked="0"/>
    </xf>
    <xf numFmtId="0" fontId="20" fillId="5" borderId="42" xfId="30" applyFont="1" applyFill="1" applyBorder="1" applyAlignment="1" applyProtection="1">
      <alignment horizontal="left" vertical="center" wrapText="1"/>
      <protection locked="0"/>
    </xf>
    <xf numFmtId="0" fontId="20" fillId="5" borderId="47" xfId="30" applyFont="1" applyFill="1" applyBorder="1" applyAlignment="1" applyProtection="1">
      <alignment horizontal="left" vertical="center" wrapText="1"/>
      <protection locked="0"/>
    </xf>
    <xf numFmtId="165" fontId="20" fillId="5" borderId="31" xfId="7" applyFont="1" applyFill="1" applyBorder="1" applyAlignment="1" applyProtection="1">
      <alignment horizontal="center" vertical="center"/>
      <protection locked="0"/>
    </xf>
    <xf numFmtId="165" fontId="20" fillId="5" borderId="24" xfId="7" applyFont="1" applyFill="1" applyBorder="1" applyAlignment="1" applyProtection="1">
      <alignment horizontal="center" vertical="center"/>
      <protection locked="0"/>
    </xf>
    <xf numFmtId="165" fontId="20" fillId="5" borderId="7" xfId="7" applyFont="1" applyFill="1" applyBorder="1" applyAlignment="1" applyProtection="1">
      <alignment horizontal="center" vertical="center"/>
      <protection locked="0"/>
    </xf>
    <xf numFmtId="165" fontId="20" fillId="5" borderId="8" xfId="7" applyFont="1" applyFill="1" applyBorder="1" applyAlignment="1" applyProtection="1">
      <alignment horizontal="center" vertical="center"/>
      <protection locked="0"/>
    </xf>
    <xf numFmtId="0" fontId="19" fillId="0" borderId="0" xfId="9" applyFont="1" applyAlignment="1" applyProtection="1">
      <alignment horizontal="center" vertical="top" wrapText="1"/>
      <protection locked="0"/>
    </xf>
    <xf numFmtId="0" fontId="23" fillId="5" borderId="51" xfId="21" applyFont="1" applyFill="1" applyBorder="1" applyAlignment="1" applyProtection="1">
      <alignment horizontal="right" vertical="center"/>
      <protection locked="0"/>
    </xf>
    <xf numFmtId="0" fontId="23" fillId="5" borderId="13" xfId="21" applyFont="1" applyFill="1" applyBorder="1" applyAlignment="1" applyProtection="1">
      <alignment horizontal="right" vertical="center"/>
      <protection locked="0"/>
    </xf>
    <xf numFmtId="0" fontId="19" fillId="2" borderId="20" xfId="9" applyFont="1" applyFill="1" applyBorder="1" applyAlignment="1" applyProtection="1">
      <alignment horizontal="center"/>
      <protection locked="0"/>
    </xf>
    <xf numFmtId="0" fontId="19" fillId="2" borderId="9" xfId="9" applyFont="1" applyFill="1" applyBorder="1" applyAlignment="1" applyProtection="1">
      <alignment horizontal="center"/>
      <protection locked="0"/>
    </xf>
    <xf numFmtId="0" fontId="19" fillId="2" borderId="22" xfId="9" applyFont="1" applyFill="1" applyBorder="1" applyAlignment="1" applyProtection="1">
      <alignment horizontal="center"/>
      <protection locked="0"/>
    </xf>
    <xf numFmtId="0" fontId="19" fillId="2" borderId="46" xfId="9" applyFont="1" applyFill="1" applyBorder="1" applyAlignment="1" applyProtection="1">
      <alignment horizontal="center" vertical="center"/>
      <protection locked="0"/>
    </xf>
    <xf numFmtId="0" fontId="19" fillId="2" borderId="40" xfId="9" applyFont="1" applyFill="1" applyBorder="1" applyAlignment="1" applyProtection="1">
      <alignment horizontal="center" vertical="center"/>
      <protection locked="0"/>
    </xf>
    <xf numFmtId="0" fontId="19" fillId="2" borderId="49" xfId="9" applyFont="1" applyFill="1" applyBorder="1" applyAlignment="1" applyProtection="1">
      <alignment horizontal="center" vertical="center"/>
      <protection locked="0"/>
    </xf>
    <xf numFmtId="0" fontId="19" fillId="2" borderId="37" xfId="9" applyFont="1" applyFill="1" applyBorder="1" applyAlignment="1" applyProtection="1">
      <alignment horizontal="center" vertical="center"/>
      <protection locked="0"/>
    </xf>
    <xf numFmtId="0" fontId="19" fillId="2" borderId="38" xfId="9" applyFont="1" applyFill="1" applyBorder="1" applyAlignment="1" applyProtection="1">
      <alignment horizontal="center" vertical="center"/>
      <protection locked="0"/>
    </xf>
    <xf numFmtId="0" fontId="19" fillId="2" borderId="45" xfId="9" applyFont="1" applyFill="1" applyBorder="1" applyAlignment="1" applyProtection="1">
      <alignment horizontal="center" vertical="center"/>
      <protection locked="0"/>
    </xf>
    <xf numFmtId="0" fontId="30" fillId="5" borderId="10" xfId="21" applyFont="1" applyFill="1" applyBorder="1" applyAlignment="1" applyProtection="1">
      <alignment horizontal="justify" vertical="top" wrapText="1"/>
      <protection locked="0"/>
    </xf>
    <xf numFmtId="0" fontId="30" fillId="5" borderId="11" xfId="21" applyFont="1" applyFill="1" applyBorder="1" applyAlignment="1" applyProtection="1">
      <alignment horizontal="justify" vertical="top" wrapText="1"/>
      <protection locked="0"/>
    </xf>
    <xf numFmtId="0" fontId="30" fillId="5" borderId="27" xfId="21" applyFont="1" applyFill="1" applyBorder="1" applyAlignment="1" applyProtection="1">
      <alignment horizontal="justify" vertical="top" wrapText="1"/>
      <protection locked="0"/>
    </xf>
    <xf numFmtId="0" fontId="23" fillId="3" borderId="10" xfId="21" applyFont="1" applyFill="1" applyBorder="1" applyAlignment="1" applyProtection="1">
      <alignment horizontal="left" vertical="center"/>
      <protection locked="0"/>
    </xf>
    <xf numFmtId="0" fontId="23" fillId="3" borderId="11" xfId="21" applyFont="1" applyFill="1" applyBorder="1" applyAlignment="1" applyProtection="1">
      <alignment horizontal="left" vertical="center"/>
      <protection locked="0"/>
    </xf>
    <xf numFmtId="0" fontId="23" fillId="3" borderId="27" xfId="21" applyFont="1" applyFill="1" applyBorder="1" applyAlignment="1" applyProtection="1">
      <alignment horizontal="left" vertical="center"/>
      <protection locked="0"/>
    </xf>
    <xf numFmtId="0" fontId="23" fillId="5" borderId="26" xfId="9" applyFont="1" applyFill="1" applyBorder="1" applyAlignment="1">
      <alignment horizontal="right" vertical="center" wrapText="1"/>
    </xf>
    <xf numFmtId="0" fontId="23" fillId="5" borderId="17" xfId="9" applyFont="1" applyFill="1" applyBorder="1" applyAlignment="1">
      <alignment horizontal="right" vertical="center" wrapText="1"/>
    </xf>
    <xf numFmtId="0" fontId="23" fillId="5" borderId="44" xfId="9" applyFont="1" applyFill="1" applyBorder="1" applyAlignment="1">
      <alignment horizontal="right" vertical="center" wrapText="1"/>
    </xf>
    <xf numFmtId="0" fontId="23" fillId="5" borderId="25" xfId="9" applyFont="1" applyFill="1" applyBorder="1" applyAlignment="1">
      <alignment horizontal="right" vertical="center" wrapText="1"/>
    </xf>
    <xf numFmtId="0" fontId="23" fillId="5" borderId="38" xfId="9" applyFont="1" applyFill="1" applyBorder="1" applyAlignment="1">
      <alignment horizontal="right" vertical="center" wrapText="1"/>
    </xf>
    <xf numFmtId="0" fontId="23" fillId="5" borderId="19" xfId="9" applyFont="1" applyFill="1" applyBorder="1" applyAlignment="1">
      <alignment horizontal="right" vertical="center" wrapText="1"/>
    </xf>
    <xf numFmtId="0" fontId="23" fillId="5" borderId="32" xfId="9" applyFont="1" applyFill="1" applyBorder="1" applyAlignment="1">
      <alignment horizontal="right" vertical="center" wrapText="1"/>
    </xf>
    <xf numFmtId="0" fontId="23" fillId="5" borderId="33" xfId="9" applyFont="1" applyFill="1" applyBorder="1" applyAlignment="1">
      <alignment horizontal="right" vertical="center" wrapText="1"/>
    </xf>
    <xf numFmtId="0" fontId="23" fillId="5" borderId="34" xfId="9" applyFont="1" applyFill="1" applyBorder="1" applyAlignment="1">
      <alignment horizontal="right" vertical="center" wrapText="1"/>
    </xf>
    <xf numFmtId="0" fontId="31" fillId="0" borderId="4" xfId="21" applyFont="1" applyBorder="1" applyAlignment="1" applyProtection="1">
      <alignment horizontal="left" vertical="center"/>
      <protection hidden="1"/>
    </xf>
    <xf numFmtId="173" fontId="31" fillId="0" borderId="4" xfId="7" applyNumberFormat="1" applyFont="1" applyFill="1" applyBorder="1" applyAlignment="1" applyProtection="1">
      <alignment horizontal="center" vertical="center"/>
      <protection hidden="1"/>
    </xf>
    <xf numFmtId="0" fontId="34" fillId="14" borderId="4" xfId="9" applyFont="1" applyFill="1" applyBorder="1" applyAlignment="1" applyProtection="1">
      <alignment horizontal="center" vertical="center" wrapText="1"/>
      <protection hidden="1"/>
    </xf>
    <xf numFmtId="165" fontId="31" fillId="0" borderId="4" xfId="7" applyFont="1" applyFill="1" applyBorder="1" applyAlignment="1" applyProtection="1">
      <alignment horizontal="center" vertical="center"/>
      <protection locked="0"/>
    </xf>
    <xf numFmtId="0" fontId="30" fillId="5" borderId="39" xfId="21" applyFont="1" applyFill="1" applyBorder="1" applyAlignment="1" applyProtection="1">
      <alignment horizontal="center" vertical="center"/>
      <protection locked="0"/>
    </xf>
    <xf numFmtId="0" fontId="30" fillId="5" borderId="40" xfId="21" applyFont="1" applyFill="1" applyBorder="1" applyAlignment="1" applyProtection="1">
      <alignment horizontal="center" vertical="center"/>
      <protection locked="0"/>
    </xf>
    <xf numFmtId="0" fontId="30" fillId="5" borderId="49" xfId="21" applyFont="1" applyFill="1" applyBorder="1" applyAlignment="1" applyProtection="1">
      <alignment horizontal="center" vertical="center"/>
      <protection locked="0"/>
    </xf>
    <xf numFmtId="0" fontId="31" fillId="0" borderId="10" xfId="21" applyFont="1" applyBorder="1" applyAlignment="1" applyProtection="1">
      <alignment horizontal="justify" vertical="top" wrapText="1"/>
      <protection locked="0"/>
    </xf>
    <xf numFmtId="0" fontId="31" fillId="0" borderId="11" xfId="21" applyFont="1" applyBorder="1" applyAlignment="1" applyProtection="1">
      <alignment horizontal="justify" vertical="top" wrapText="1"/>
      <protection locked="0"/>
    </xf>
    <xf numFmtId="0" fontId="31" fillId="0" borderId="27" xfId="21" applyFont="1" applyBorder="1" applyAlignment="1" applyProtection="1">
      <alignment horizontal="justify" vertical="top" wrapText="1"/>
      <protection locked="0"/>
    </xf>
    <xf numFmtId="0" fontId="30" fillId="5" borderId="51" xfId="21" applyFont="1" applyFill="1" applyBorder="1" applyAlignment="1" applyProtection="1">
      <alignment horizontal="right" vertical="center"/>
      <protection locked="0"/>
    </xf>
    <xf numFmtId="0" fontId="30" fillId="5" borderId="13" xfId="21" applyFont="1" applyFill="1" applyBorder="1" applyAlignment="1" applyProtection="1">
      <alignment horizontal="right" vertical="center"/>
      <protection locked="0"/>
    </xf>
    <xf numFmtId="173" fontId="19" fillId="0" borderId="4" xfId="8" applyNumberFormat="1" applyFont="1" applyFill="1" applyBorder="1" applyAlignment="1" applyProtection="1">
      <alignment horizontal="left" vertical="center" wrapText="1"/>
      <protection locked="0"/>
    </xf>
    <xf numFmtId="0" fontId="19" fillId="2" borderId="41" xfId="9" applyFont="1" applyFill="1" applyBorder="1" applyAlignment="1" applyProtection="1">
      <alignment horizontal="center" vertical="center"/>
      <protection locked="0"/>
    </xf>
    <xf numFmtId="0" fontId="19" fillId="2" borderId="31" xfId="9" applyFont="1" applyFill="1" applyBorder="1" applyAlignment="1" applyProtection="1">
      <alignment horizontal="center" vertical="center"/>
      <protection locked="0"/>
    </xf>
    <xf numFmtId="0" fontId="19" fillId="2" borderId="24" xfId="9" applyFont="1" applyFill="1" applyBorder="1" applyAlignment="1" applyProtection="1">
      <alignment horizontal="center" vertical="center"/>
      <protection locked="0"/>
    </xf>
    <xf numFmtId="0" fontId="31" fillId="0" borderId="19" xfId="21" applyFont="1" applyBorder="1" applyAlignment="1" applyProtection="1">
      <alignment horizontal="center" vertical="center"/>
      <protection locked="0"/>
    </xf>
    <xf numFmtId="0" fontId="31" fillId="0" borderId="4" xfId="21" applyFont="1" applyBorder="1" applyAlignment="1" applyProtection="1">
      <alignment horizontal="center" vertical="center"/>
      <protection locked="0"/>
    </xf>
    <xf numFmtId="0" fontId="31" fillId="0" borderId="23" xfId="21" applyFont="1" applyBorder="1" applyAlignment="1" applyProtection="1">
      <alignment horizontal="center" vertical="center"/>
      <protection locked="0"/>
    </xf>
    <xf numFmtId="0" fontId="30" fillId="5" borderId="37" xfId="21" applyFont="1" applyFill="1" applyBorder="1" applyAlignment="1" applyProtection="1">
      <alignment horizontal="center" vertical="center"/>
      <protection locked="0"/>
    </xf>
    <xf numFmtId="0" fontId="30" fillId="5" borderId="38" xfId="21" applyFont="1" applyFill="1" applyBorder="1" applyAlignment="1" applyProtection="1">
      <alignment horizontal="center" vertical="center"/>
      <protection locked="0"/>
    </xf>
    <xf numFmtId="0" fontId="30" fillId="5" borderId="19" xfId="21" applyFont="1" applyFill="1" applyBorder="1" applyAlignment="1" applyProtection="1">
      <alignment horizontal="center" vertical="center"/>
      <protection locked="0"/>
    </xf>
    <xf numFmtId="0" fontId="30" fillId="5" borderId="37" xfId="21" applyFont="1" applyFill="1" applyBorder="1" applyAlignment="1" applyProtection="1">
      <alignment horizontal="right" vertical="center"/>
      <protection hidden="1"/>
    </xf>
    <xf numFmtId="0" fontId="30" fillId="5" borderId="38" xfId="21" applyFont="1" applyFill="1" applyBorder="1" applyAlignment="1" applyProtection="1">
      <alignment horizontal="right" vertical="center"/>
      <protection hidden="1"/>
    </xf>
    <xf numFmtId="0" fontId="30" fillId="5" borderId="19" xfId="21" applyFont="1" applyFill="1" applyBorder="1" applyAlignment="1" applyProtection="1">
      <alignment horizontal="right" vertical="center"/>
      <protection hidden="1"/>
    </xf>
    <xf numFmtId="0" fontId="31" fillId="0" borderId="21" xfId="21" applyFont="1" applyBorder="1" applyAlignment="1" applyProtection="1">
      <alignment horizontal="center" vertical="center"/>
      <protection locked="0"/>
    </xf>
    <xf numFmtId="0" fontId="31" fillId="0" borderId="35" xfId="21" applyFont="1" applyBorder="1" applyAlignment="1" applyProtection="1">
      <alignment horizontal="center" vertical="center"/>
      <protection locked="0"/>
    </xf>
    <xf numFmtId="0" fontId="31" fillId="0" borderId="0" xfId="21" applyFont="1" applyAlignment="1" applyProtection="1">
      <alignment horizontal="center" vertical="center"/>
      <protection locked="0"/>
    </xf>
    <xf numFmtId="0" fontId="31" fillId="0" borderId="48" xfId="21" applyFont="1" applyBorder="1" applyAlignment="1" applyProtection="1">
      <alignment horizontal="center" vertical="center"/>
      <protection locked="0"/>
    </xf>
    <xf numFmtId="0" fontId="31" fillId="0" borderId="12" xfId="21" applyFont="1" applyBorder="1" applyAlignment="1" applyProtection="1">
      <alignment horizontal="center" vertical="center"/>
      <protection locked="0"/>
    </xf>
    <xf numFmtId="0" fontId="31" fillId="0" borderId="36" xfId="21" applyFont="1" applyBorder="1" applyAlignment="1" applyProtection="1">
      <alignment horizontal="center" vertical="center"/>
      <protection locked="0"/>
    </xf>
    <xf numFmtId="0" fontId="31" fillId="5" borderId="37" xfId="21" applyFont="1" applyFill="1" applyBorder="1" applyAlignment="1" applyProtection="1">
      <alignment horizontal="center" vertical="center"/>
      <protection hidden="1"/>
    </xf>
    <xf numFmtId="0" fontId="31" fillId="5" borderId="38" xfId="21" applyFont="1" applyFill="1" applyBorder="1" applyAlignment="1" applyProtection="1">
      <alignment horizontal="center" vertical="center"/>
      <protection hidden="1"/>
    </xf>
    <xf numFmtId="0" fontId="31" fillId="5" borderId="19" xfId="21" applyFont="1" applyFill="1" applyBorder="1" applyAlignment="1" applyProtection="1">
      <alignment horizontal="center" vertical="center"/>
      <protection hidden="1"/>
    </xf>
    <xf numFmtId="0" fontId="30" fillId="5" borderId="4" xfId="21" applyFont="1" applyFill="1" applyBorder="1" applyAlignment="1" applyProtection="1">
      <alignment horizontal="center" vertical="center"/>
      <protection locked="0"/>
    </xf>
    <xf numFmtId="0" fontId="38" fillId="5" borderId="37" xfId="57" applyFill="1" applyBorder="1" applyAlignment="1" applyProtection="1">
      <alignment horizontal="left" vertical="center"/>
      <protection locked="0"/>
    </xf>
    <xf numFmtId="0" fontId="38" fillId="5" borderId="38" xfId="57" applyFill="1" applyBorder="1" applyAlignment="1" applyProtection="1">
      <alignment horizontal="left" vertical="center"/>
      <protection locked="0"/>
    </xf>
    <xf numFmtId="0" fontId="38" fillId="5" borderId="19" xfId="57" applyFill="1" applyBorder="1" applyAlignment="1" applyProtection="1">
      <alignment horizontal="left" vertical="center"/>
      <protection locked="0"/>
    </xf>
    <xf numFmtId="0" fontId="30" fillId="5" borderId="37" xfId="21" applyFont="1" applyFill="1" applyBorder="1" applyAlignment="1" applyProtection="1">
      <alignment horizontal="left" vertical="center"/>
      <protection locked="0"/>
    </xf>
    <xf numFmtId="0" fontId="30" fillId="5" borderId="19" xfId="21" applyFont="1" applyFill="1" applyBorder="1" applyAlignment="1" applyProtection="1">
      <alignment horizontal="left" vertical="center"/>
      <protection locked="0"/>
    </xf>
    <xf numFmtId="0" fontId="30" fillId="5" borderId="4" xfId="48" applyFont="1" applyFill="1" applyBorder="1" applyAlignment="1" applyProtection="1">
      <alignment horizontal="center" vertical="center"/>
      <protection locked="0"/>
    </xf>
    <xf numFmtId="0" fontId="20" fillId="3" borderId="37" xfId="9" applyFont="1" applyFill="1" applyBorder="1" applyAlignment="1" applyProtection="1">
      <alignment horizontal="right" vertical="center" wrapText="1"/>
      <protection locked="0"/>
    </xf>
    <xf numFmtId="0" fontId="20" fillId="3" borderId="38" xfId="9" applyFont="1" applyFill="1" applyBorder="1" applyAlignment="1" applyProtection="1">
      <alignment horizontal="right" vertical="center" wrapText="1"/>
      <protection locked="0"/>
    </xf>
    <xf numFmtId="0" fontId="20" fillId="3" borderId="19" xfId="9" applyFont="1" applyFill="1" applyBorder="1" applyAlignment="1" applyProtection="1">
      <alignment horizontal="right" vertical="center" wrapText="1"/>
      <protection locked="0"/>
    </xf>
    <xf numFmtId="0" fontId="30" fillId="5" borderId="10" xfId="48" applyFont="1" applyFill="1" applyBorder="1" applyAlignment="1" applyProtection="1">
      <alignment horizontal="left" vertical="center" wrapText="1"/>
      <protection locked="0"/>
    </xf>
    <xf numFmtId="0" fontId="30" fillId="5" borderId="11" xfId="48" applyFont="1" applyFill="1" applyBorder="1" applyAlignment="1" applyProtection="1">
      <alignment horizontal="left" vertical="center" wrapText="1"/>
      <protection locked="0"/>
    </xf>
    <xf numFmtId="0" fontId="30" fillId="5" borderId="27" xfId="48" applyFont="1" applyFill="1" applyBorder="1" applyAlignment="1" applyProtection="1">
      <alignment horizontal="left" vertical="center" wrapText="1"/>
      <protection locked="0"/>
    </xf>
    <xf numFmtId="0" fontId="20" fillId="5" borderId="4" xfId="9" applyFont="1" applyFill="1" applyBorder="1" applyAlignment="1" applyProtection="1">
      <alignment horizontal="right" vertical="center" wrapText="1"/>
      <protection locked="0"/>
    </xf>
    <xf numFmtId="0" fontId="20" fillId="0" borderId="65" xfId="9" applyFont="1" applyBorder="1" applyAlignment="1" applyProtection="1">
      <alignment horizontal="center" vertical="center" wrapText="1"/>
      <protection locked="0"/>
    </xf>
    <xf numFmtId="0" fontId="20" fillId="0" borderId="29" xfId="9" applyFont="1" applyBorder="1" applyAlignment="1" applyProtection="1">
      <alignment horizontal="center" vertical="center" wrapText="1"/>
      <protection locked="0"/>
    </xf>
    <xf numFmtId="0" fontId="30" fillId="0" borderId="0" xfId="48" applyFont="1" applyAlignment="1" applyProtection="1">
      <alignment horizontal="center" wrapText="1"/>
      <protection locked="0"/>
    </xf>
    <xf numFmtId="0" fontId="20" fillId="6" borderId="37" xfId="9" applyFont="1" applyFill="1" applyBorder="1" applyAlignment="1" applyProtection="1">
      <alignment horizontal="right" vertical="center" wrapText="1"/>
      <protection locked="0"/>
    </xf>
    <xf numFmtId="165" fontId="19" fillId="0" borderId="13" xfId="7" applyFont="1" applyFill="1" applyBorder="1" applyAlignment="1" applyProtection="1">
      <alignment horizontal="center" vertical="center"/>
      <protection locked="0"/>
    </xf>
    <xf numFmtId="165" fontId="19" fillId="0" borderId="14" xfId="7" applyFont="1" applyFill="1" applyBorder="1" applyAlignment="1" applyProtection="1">
      <alignment horizontal="center" vertical="center"/>
      <protection locked="0"/>
    </xf>
    <xf numFmtId="0" fontId="20" fillId="8" borderId="4" xfId="30" applyFont="1" applyFill="1" applyBorder="1" applyAlignment="1" applyProtection="1">
      <alignment horizontal="center" vertical="center" wrapText="1"/>
      <protection locked="0"/>
    </xf>
    <xf numFmtId="0" fontId="20" fillId="5" borderId="30" xfId="30" applyFont="1" applyFill="1" applyBorder="1" applyAlignment="1" applyProtection="1">
      <alignment horizontal="center" vertical="center" wrapText="1"/>
      <protection locked="0"/>
    </xf>
    <xf numFmtId="0" fontId="20" fillId="5" borderId="31" xfId="30" applyFont="1" applyFill="1" applyBorder="1" applyAlignment="1" applyProtection="1">
      <alignment horizontal="center" vertical="center" wrapText="1"/>
      <protection locked="0"/>
    </xf>
    <xf numFmtId="0" fontId="20" fillId="5" borderId="24" xfId="30" applyFont="1" applyFill="1" applyBorder="1" applyAlignment="1" applyProtection="1">
      <alignment horizontal="center" vertical="center" wrapText="1"/>
      <protection locked="0"/>
    </xf>
    <xf numFmtId="0" fontId="19" fillId="0" borderId="21" xfId="9" applyFont="1" applyBorder="1" applyAlignment="1" applyProtection="1">
      <alignment horizontal="center" vertical="center"/>
      <protection locked="0"/>
    </xf>
    <xf numFmtId="0" fontId="19" fillId="3" borderId="10" xfId="9" applyFont="1" applyFill="1" applyBorder="1" applyAlignment="1" applyProtection="1">
      <alignment horizontal="justify" vertical="center" wrapText="1"/>
      <protection locked="0"/>
    </xf>
    <xf numFmtId="0" fontId="19" fillId="3" borderId="11" xfId="9" applyFont="1" applyFill="1" applyBorder="1" applyAlignment="1" applyProtection="1">
      <alignment horizontal="justify" vertical="center"/>
      <protection locked="0"/>
    </xf>
    <xf numFmtId="0" fontId="19" fillId="3" borderId="27" xfId="9" applyFont="1" applyFill="1" applyBorder="1" applyAlignment="1" applyProtection="1">
      <alignment horizontal="justify" vertical="center"/>
      <protection locked="0"/>
    </xf>
    <xf numFmtId="0" fontId="19" fillId="0" borderId="0" xfId="9" applyFont="1" applyAlignment="1" applyProtection="1">
      <alignment horizontal="center" wrapText="1"/>
      <protection locked="0"/>
    </xf>
    <xf numFmtId="0" fontId="20" fillId="5" borderId="31" xfId="30" applyFont="1" applyFill="1" applyBorder="1" applyAlignment="1" applyProtection="1">
      <alignment horizontal="left" vertical="center" wrapText="1"/>
      <protection locked="0"/>
    </xf>
    <xf numFmtId="0" fontId="20" fillId="5" borderId="24" xfId="30" applyFont="1" applyFill="1" applyBorder="1" applyAlignment="1" applyProtection="1">
      <alignment horizontal="left" vertical="center" wrapText="1"/>
      <protection locked="0"/>
    </xf>
    <xf numFmtId="0" fontId="19" fillId="0" borderId="10" xfId="30" applyBorder="1" applyAlignment="1" applyProtection="1">
      <alignment horizontal="center" vertical="center" wrapText="1"/>
      <protection locked="0"/>
    </xf>
    <xf numFmtId="0" fontId="19" fillId="0" borderId="11" xfId="30" applyBorder="1" applyAlignment="1" applyProtection="1">
      <alignment horizontal="center" vertical="center" wrapText="1"/>
      <protection locked="0"/>
    </xf>
    <xf numFmtId="0" fontId="19" fillId="0" borderId="27" xfId="30" applyBorder="1" applyAlignment="1" applyProtection="1">
      <alignment horizontal="center" vertical="center" wrapText="1"/>
      <protection locked="0"/>
    </xf>
    <xf numFmtId="0" fontId="20" fillId="5" borderId="23" xfId="30" applyFont="1" applyFill="1" applyBorder="1" applyAlignment="1" applyProtection="1">
      <alignment horizontal="left" vertical="center" wrapText="1"/>
      <protection locked="0"/>
    </xf>
    <xf numFmtId="0" fontId="30" fillId="0" borderId="57" xfId="45" applyFont="1" applyBorder="1" applyAlignment="1" applyProtection="1">
      <alignment horizontal="center"/>
      <protection locked="0"/>
    </xf>
    <xf numFmtId="0" fontId="30" fillId="0" borderId="56" xfId="45" applyFont="1" applyBorder="1" applyAlignment="1" applyProtection="1">
      <alignment horizontal="center"/>
      <protection locked="0"/>
    </xf>
    <xf numFmtId="0" fontId="30" fillId="0" borderId="15" xfId="45" applyFont="1" applyBorder="1" applyAlignment="1" applyProtection="1">
      <alignment horizontal="center"/>
      <protection locked="0"/>
    </xf>
    <xf numFmtId="175" fontId="20" fillId="3" borderId="1" xfId="45" applyNumberFormat="1" applyFont="1" applyFill="1" applyBorder="1" applyAlignment="1" applyProtection="1">
      <alignment horizontal="center" vertical="center" wrapText="1"/>
      <protection locked="0"/>
    </xf>
    <xf numFmtId="175" fontId="20" fillId="3" borderId="2" xfId="45" applyNumberFormat="1" applyFont="1" applyFill="1" applyBorder="1" applyAlignment="1" applyProtection="1">
      <alignment horizontal="center" vertical="center" wrapText="1"/>
      <protection locked="0"/>
    </xf>
    <xf numFmtId="175" fontId="20" fillId="3" borderId="3" xfId="45" applyNumberFormat="1" applyFont="1" applyFill="1" applyBorder="1" applyAlignment="1" applyProtection="1">
      <alignment horizontal="center" vertical="center" wrapText="1"/>
      <protection locked="0"/>
    </xf>
    <xf numFmtId="0" fontId="30" fillId="3" borderId="1" xfId="45" applyFont="1" applyFill="1" applyBorder="1" applyAlignment="1" applyProtection="1">
      <alignment horizontal="center" vertical="center" wrapText="1"/>
      <protection locked="0"/>
    </xf>
    <xf numFmtId="0" fontId="30" fillId="3" borderId="3" xfId="45" applyFont="1" applyFill="1" applyBorder="1" applyAlignment="1" applyProtection="1">
      <alignment horizontal="center" vertical="center" wrapText="1"/>
      <protection locked="0"/>
    </xf>
    <xf numFmtId="0" fontId="30" fillId="3" borderId="31" xfId="45" applyFont="1" applyFill="1" applyBorder="1" applyAlignment="1" applyProtection="1">
      <alignment horizontal="center" vertical="center" wrapText="1"/>
      <protection locked="0"/>
    </xf>
    <xf numFmtId="0" fontId="30" fillId="3" borderId="13" xfId="45" applyFont="1" applyFill="1" applyBorder="1" applyAlignment="1" applyProtection="1">
      <alignment horizontal="center" vertical="center" wrapText="1"/>
      <protection locked="0"/>
    </xf>
    <xf numFmtId="0" fontId="30" fillId="3" borderId="24" xfId="45" applyFont="1" applyFill="1" applyBorder="1" applyAlignment="1" applyProtection="1">
      <alignment horizontal="center" vertical="center" wrapText="1"/>
      <protection locked="0"/>
    </xf>
    <xf numFmtId="0" fontId="30" fillId="3" borderId="14" xfId="45" applyFont="1" applyFill="1" applyBorder="1" applyAlignment="1" applyProtection="1">
      <alignment horizontal="center" vertical="center" wrapText="1"/>
      <protection locked="0"/>
    </xf>
    <xf numFmtId="0" fontId="34" fillId="0" borderId="30" xfId="45" applyFont="1" applyBorder="1" applyAlignment="1" applyProtection="1">
      <alignment horizontal="left" vertical="center"/>
      <protection locked="0"/>
    </xf>
    <xf numFmtId="0" fontId="34" fillId="0" borderId="31" xfId="45" applyFont="1" applyBorder="1" applyAlignment="1" applyProtection="1">
      <alignment horizontal="left" vertical="center"/>
      <protection locked="0"/>
    </xf>
    <xf numFmtId="0" fontId="34" fillId="0" borderId="24" xfId="45" applyFont="1" applyBorder="1" applyAlignment="1" applyProtection="1">
      <alignment horizontal="left" vertical="center"/>
      <protection locked="0"/>
    </xf>
    <xf numFmtId="0" fontId="31" fillId="0" borderId="16" xfId="45" applyBorder="1" applyAlignment="1" applyProtection="1">
      <alignment horizontal="left" vertical="center" wrapText="1"/>
      <protection locked="0"/>
    </xf>
    <xf numFmtId="0" fontId="31" fillId="0" borderId="4" xfId="45" applyBorder="1" applyAlignment="1" applyProtection="1">
      <alignment horizontal="left" vertical="center" wrapText="1"/>
      <protection locked="0"/>
    </xf>
    <xf numFmtId="0" fontId="31" fillId="0" borderId="23" xfId="45" applyBorder="1" applyAlignment="1" applyProtection="1">
      <alignment horizontal="left" vertical="center" wrapText="1"/>
      <protection locked="0"/>
    </xf>
    <xf numFmtId="0" fontId="30" fillId="0" borderId="0" xfId="45" applyFont="1" applyAlignment="1" applyProtection="1">
      <alignment horizontal="center" vertical="center" wrapText="1"/>
      <protection locked="0"/>
    </xf>
    <xf numFmtId="0" fontId="22" fillId="0" borderId="16" xfId="45" applyFont="1" applyBorder="1" applyAlignment="1" applyProtection="1">
      <alignment horizontal="left" vertical="center" wrapText="1"/>
      <protection locked="0"/>
    </xf>
    <xf numFmtId="0" fontId="34" fillId="0" borderId="4" xfId="45" applyFont="1" applyBorder="1" applyAlignment="1" applyProtection="1">
      <alignment horizontal="left" vertical="center" wrapText="1"/>
      <protection locked="0"/>
    </xf>
    <xf numFmtId="0" fontId="34" fillId="0" borderId="23" xfId="45" applyFont="1" applyBorder="1" applyAlignment="1" applyProtection="1">
      <alignment horizontal="left" vertical="center" wrapText="1"/>
      <protection locked="0"/>
    </xf>
    <xf numFmtId="0" fontId="30" fillId="0" borderId="9" xfId="45" applyFont="1" applyBorder="1" applyAlignment="1" applyProtection="1">
      <alignment horizontal="center"/>
      <protection locked="0"/>
    </xf>
    <xf numFmtId="0" fontId="30" fillId="0" borderId="0" xfId="45" applyFont="1" applyAlignment="1" applyProtection="1">
      <alignment horizontal="center"/>
      <protection locked="0"/>
    </xf>
    <xf numFmtId="0" fontId="30" fillId="0" borderId="48" xfId="45" applyFont="1" applyBorder="1" applyAlignment="1" applyProtection="1">
      <alignment horizontal="center"/>
      <protection locked="0"/>
    </xf>
    <xf numFmtId="175" fontId="24" fillId="3" borderId="55" xfId="45" applyNumberFormat="1" applyFont="1" applyFill="1" applyBorder="1" applyAlignment="1" applyProtection="1">
      <alignment horizontal="center" vertical="center" wrapText="1"/>
      <protection locked="0"/>
    </xf>
    <xf numFmtId="175" fontId="24" fillId="3" borderId="56" xfId="45" applyNumberFormat="1" applyFont="1" applyFill="1" applyBorder="1" applyAlignment="1" applyProtection="1">
      <alignment horizontal="center" vertical="center" wrapText="1"/>
      <protection locked="0"/>
    </xf>
    <xf numFmtId="173" fontId="20" fillId="14" borderId="51" xfId="7" applyNumberFormat="1" applyFont="1" applyFill="1" applyBorder="1" applyAlignment="1" applyProtection="1">
      <alignment horizontal="right" vertical="center" wrapText="1"/>
      <protection locked="0"/>
    </xf>
    <xf numFmtId="173" fontId="20" fillId="14" borderId="13" xfId="7" applyNumberFormat="1" applyFont="1" applyFill="1" applyBorder="1" applyAlignment="1" applyProtection="1">
      <alignment horizontal="right" vertical="center" wrapText="1"/>
      <protection locked="0"/>
    </xf>
    <xf numFmtId="0" fontId="20" fillId="5" borderId="1" xfId="30" applyFont="1" applyFill="1" applyBorder="1" applyAlignment="1" applyProtection="1">
      <alignment horizontal="center" vertical="center" wrapText="1"/>
      <protection locked="0"/>
    </xf>
    <xf numFmtId="0" fontId="20" fillId="5" borderId="2" xfId="30" applyFont="1" applyFill="1" applyBorder="1" applyAlignment="1" applyProtection="1">
      <alignment horizontal="center" vertical="center" wrapText="1"/>
      <protection locked="0"/>
    </xf>
    <xf numFmtId="0" fontId="20" fillId="5" borderId="3" xfId="30" applyFont="1" applyFill="1" applyBorder="1" applyAlignment="1" applyProtection="1">
      <alignment horizontal="center" vertical="center" wrapText="1"/>
      <protection locked="0"/>
    </xf>
    <xf numFmtId="173" fontId="20" fillId="14" borderId="39" xfId="7" applyNumberFormat="1" applyFont="1" applyFill="1" applyBorder="1" applyAlignment="1" applyProtection="1">
      <alignment horizontal="right" vertical="center" wrapText="1"/>
      <protection locked="0"/>
    </xf>
    <xf numFmtId="173" fontId="20" fillId="14" borderId="41" xfId="7" applyNumberFormat="1" applyFont="1" applyFill="1" applyBorder="1" applyAlignment="1" applyProtection="1">
      <alignment horizontal="right" vertical="center" wrapText="1"/>
      <protection locked="0"/>
    </xf>
    <xf numFmtId="173" fontId="20" fillId="14" borderId="25" xfId="7" applyNumberFormat="1" applyFont="1" applyFill="1" applyBorder="1" applyAlignment="1" applyProtection="1">
      <alignment horizontal="right" vertical="center" wrapText="1"/>
      <protection locked="0"/>
    </xf>
    <xf numFmtId="173" fontId="20" fillId="14" borderId="19" xfId="7" applyNumberFormat="1" applyFont="1" applyFill="1" applyBorder="1" applyAlignment="1" applyProtection="1">
      <alignment horizontal="right" vertical="center" wrapText="1"/>
      <protection locked="0"/>
    </xf>
    <xf numFmtId="0" fontId="20" fillId="8" borderId="1" xfId="30" applyFont="1" applyFill="1" applyBorder="1" applyAlignment="1" applyProtection="1">
      <alignment horizontal="center" vertical="center" wrapText="1"/>
      <protection locked="0"/>
    </xf>
    <xf numFmtId="0" fontId="20" fillId="8" borderId="2" xfId="30" applyFont="1" applyFill="1" applyBorder="1" applyAlignment="1" applyProtection="1">
      <alignment horizontal="center" vertical="center" wrapText="1"/>
      <protection locked="0"/>
    </xf>
    <xf numFmtId="0" fontId="20" fillId="8" borderId="3" xfId="30" applyFont="1" applyFill="1" applyBorder="1" applyAlignment="1" applyProtection="1">
      <alignment horizontal="center" vertical="center" wrapText="1"/>
      <protection locked="0"/>
    </xf>
    <xf numFmtId="173" fontId="20" fillId="14" borderId="30" xfId="7" applyNumberFormat="1" applyFont="1" applyFill="1" applyBorder="1" applyAlignment="1" applyProtection="1">
      <alignment horizontal="right" vertical="center" wrapText="1"/>
      <protection locked="0"/>
    </xf>
    <xf numFmtId="173" fontId="20" fillId="14" borderId="31" xfId="7" applyNumberFormat="1" applyFont="1" applyFill="1" applyBorder="1" applyAlignment="1" applyProtection="1">
      <alignment horizontal="right" vertical="center" wrapText="1"/>
      <protection locked="0"/>
    </xf>
    <xf numFmtId="173" fontId="20" fillId="14" borderId="16" xfId="7" applyNumberFormat="1" applyFont="1" applyFill="1" applyBorder="1" applyAlignment="1" applyProtection="1">
      <alignment horizontal="right" vertical="center" wrapText="1"/>
      <protection locked="0"/>
    </xf>
    <xf numFmtId="173" fontId="20" fillId="14" borderId="4" xfId="7" applyNumberFormat="1" applyFont="1" applyFill="1" applyBorder="1" applyAlignment="1" applyProtection="1">
      <alignment horizontal="right" vertical="center" wrapText="1"/>
      <protection locked="0"/>
    </xf>
    <xf numFmtId="173" fontId="20" fillId="14" borderId="32" xfId="7" applyNumberFormat="1" applyFont="1" applyFill="1" applyBorder="1" applyAlignment="1" applyProtection="1">
      <alignment horizontal="right" vertical="center" wrapText="1"/>
      <protection locked="0"/>
    </xf>
    <xf numFmtId="173" fontId="20" fillId="14" borderId="34" xfId="7" applyNumberFormat="1" applyFont="1" applyFill="1" applyBorder="1" applyAlignment="1" applyProtection="1">
      <alignment horizontal="right" vertical="center" wrapText="1"/>
      <protection locked="0"/>
    </xf>
    <xf numFmtId="0" fontId="19" fillId="3" borderId="11" xfId="9" applyFont="1" applyFill="1" applyBorder="1" applyAlignment="1" applyProtection="1">
      <alignment horizontal="justify" vertical="center" wrapText="1"/>
      <protection locked="0"/>
    </xf>
    <xf numFmtId="0" fontId="19" fillId="3" borderId="27" xfId="9" applyFont="1" applyFill="1" applyBorder="1" applyAlignment="1" applyProtection="1">
      <alignment horizontal="justify" vertical="center" wrapText="1"/>
      <protection locked="0"/>
    </xf>
    <xf numFmtId="0" fontId="20" fillId="5" borderId="30" xfId="30" applyFont="1" applyFill="1" applyBorder="1" applyAlignment="1">
      <alignment horizontal="right" vertical="center" wrapText="1"/>
    </xf>
    <xf numFmtId="0" fontId="20" fillId="5" borderId="31" xfId="30" applyFont="1" applyFill="1" applyBorder="1" applyAlignment="1">
      <alignment horizontal="right" vertical="center" wrapText="1"/>
    </xf>
    <xf numFmtId="0" fontId="19" fillId="0" borderId="10" xfId="9" applyFont="1" applyBorder="1" applyAlignment="1" applyProtection="1">
      <alignment horizontal="center"/>
      <protection locked="0"/>
    </xf>
    <xf numFmtId="0" fontId="19" fillId="0" borderId="11" xfId="9" applyFont="1" applyBorder="1" applyAlignment="1" applyProtection="1">
      <alignment horizontal="center"/>
      <protection locked="0"/>
    </xf>
    <xf numFmtId="0" fontId="19" fillId="0" borderId="27" xfId="9" applyFont="1" applyBorder="1" applyAlignment="1" applyProtection="1">
      <alignment horizontal="center"/>
      <protection locked="0"/>
    </xf>
    <xf numFmtId="0" fontId="20" fillId="8" borderId="54" xfId="30" applyFont="1" applyFill="1" applyBorder="1" applyAlignment="1" applyProtection="1">
      <alignment horizontal="center" vertical="center" wrapText="1"/>
      <protection locked="0"/>
    </xf>
    <xf numFmtId="0" fontId="20" fillId="8" borderId="55" xfId="30" applyFont="1" applyFill="1" applyBorder="1" applyAlignment="1" applyProtection="1">
      <alignment horizontal="center" vertical="center" wrapText="1"/>
      <protection locked="0"/>
    </xf>
    <xf numFmtId="0" fontId="20" fillId="8" borderId="63" xfId="30" applyFont="1" applyFill="1" applyBorder="1" applyAlignment="1" applyProtection="1">
      <alignment horizontal="center" vertical="center" wrapText="1"/>
      <protection locked="0"/>
    </xf>
    <xf numFmtId="0" fontId="30" fillId="6" borderId="4" xfId="52" applyFont="1" applyFill="1" applyBorder="1" applyAlignment="1" applyProtection="1">
      <alignment horizontal="center" vertical="center" wrapText="1"/>
      <protection locked="0"/>
    </xf>
    <xf numFmtId="0" fontId="30" fillId="5" borderId="4" xfId="52" applyFont="1" applyFill="1" applyBorder="1" applyAlignment="1" applyProtection="1">
      <alignment horizontal="center" vertical="center" wrapText="1"/>
      <protection locked="0"/>
    </xf>
    <xf numFmtId="0" fontId="19" fillId="0" borderId="10" xfId="30" applyBorder="1" applyAlignment="1">
      <alignment horizontal="justify" vertical="center" wrapText="1"/>
    </xf>
    <xf numFmtId="0" fontId="19" fillId="0" borderId="11" xfId="30" applyBorder="1" applyAlignment="1">
      <alignment horizontal="justify" vertical="center" wrapText="1"/>
    </xf>
    <xf numFmtId="0" fontId="19" fillId="0" borderId="27" xfId="30" applyBorder="1" applyAlignment="1">
      <alignment horizontal="justify" vertical="center" wrapText="1"/>
    </xf>
    <xf numFmtId="0" fontId="30" fillId="8" borderId="4" xfId="52" applyFont="1" applyFill="1" applyBorder="1" applyAlignment="1">
      <alignment horizontal="center" vertical="center" wrapText="1"/>
    </xf>
    <xf numFmtId="0" fontId="19" fillId="0" borderId="30" xfId="9" applyFont="1" applyBorder="1" applyAlignment="1">
      <alignment horizontal="center"/>
    </xf>
    <xf numFmtId="0" fontId="19" fillId="0" borderId="16" xfId="9" applyFont="1" applyBorder="1" applyAlignment="1">
      <alignment horizontal="center"/>
    </xf>
    <xf numFmtId="0" fontId="19" fillId="0" borderId="51" xfId="9" applyFont="1" applyBorder="1" applyAlignment="1">
      <alignment horizontal="center"/>
    </xf>
    <xf numFmtId="0" fontId="19" fillId="0" borderId="46" xfId="9" applyFont="1" applyBorder="1" applyAlignment="1">
      <alignment horizontal="center" vertical="center"/>
    </xf>
    <xf numFmtId="0" fontId="19" fillId="0" borderId="40" xfId="9" applyFont="1" applyBorder="1" applyAlignment="1">
      <alignment horizontal="center" vertical="center"/>
    </xf>
    <xf numFmtId="0" fontId="19" fillId="0" borderId="49" xfId="9" applyFont="1" applyBorder="1" applyAlignment="1">
      <alignment horizontal="center" vertical="center"/>
    </xf>
    <xf numFmtId="0" fontId="19" fillId="0" borderId="52" xfId="9" applyFont="1" applyBorder="1" applyAlignment="1">
      <alignment horizontal="center" vertical="center"/>
    </xf>
    <xf numFmtId="0" fontId="19" fillId="0" borderId="34" xfId="9" applyFont="1" applyBorder="1" applyAlignment="1">
      <alignment horizontal="center" vertical="center"/>
    </xf>
    <xf numFmtId="0" fontId="19" fillId="0" borderId="37" xfId="9" applyFont="1" applyBorder="1" applyAlignment="1">
      <alignment horizontal="center" vertical="center"/>
    </xf>
    <xf numFmtId="0" fontId="19" fillId="0" borderId="38" xfId="9" applyFont="1" applyBorder="1" applyAlignment="1">
      <alignment horizontal="center" vertical="center"/>
    </xf>
    <xf numFmtId="0" fontId="19" fillId="0" borderId="45" xfId="9" applyFont="1" applyBorder="1" applyAlignment="1">
      <alignment horizontal="center" vertical="center"/>
    </xf>
    <xf numFmtId="0" fontId="30" fillId="0" borderId="37" xfId="52" applyFont="1" applyBorder="1" applyAlignment="1">
      <alignment horizontal="left"/>
    </xf>
    <xf numFmtId="0" fontId="30" fillId="0" borderId="38" xfId="52" applyFont="1" applyBorder="1" applyAlignment="1">
      <alignment horizontal="left"/>
    </xf>
    <xf numFmtId="0" fontId="30" fillId="0" borderId="19" xfId="52" applyFont="1" applyBorder="1" applyAlignment="1">
      <alignment horizontal="left"/>
    </xf>
    <xf numFmtId="0" fontId="30" fillId="0" borderId="0" xfId="52" applyFont="1" applyAlignment="1">
      <alignment horizontal="center" wrapText="1"/>
    </xf>
    <xf numFmtId="0" fontId="30" fillId="0" borderId="0" xfId="52" applyFont="1" applyAlignment="1">
      <alignment horizontal="center"/>
    </xf>
    <xf numFmtId="0" fontId="31" fillId="0" borderId="0" xfId="52" applyFont="1" applyAlignment="1">
      <alignment horizontal="left" vertical="center"/>
    </xf>
    <xf numFmtId="0" fontId="32" fillId="0" borderId="12" xfId="52" applyFont="1" applyBorder="1" applyAlignment="1">
      <alignment horizontal="center" wrapText="1"/>
    </xf>
    <xf numFmtId="0" fontId="19" fillId="0" borderId="31" xfId="9" applyFont="1" applyBorder="1" applyAlignment="1">
      <alignment horizontal="center"/>
    </xf>
    <xf numFmtId="0" fontId="19" fillId="0" borderId="4" xfId="9" applyFont="1" applyBorder="1" applyAlignment="1">
      <alignment horizontal="center"/>
    </xf>
    <xf numFmtId="0" fontId="19" fillId="0" borderId="13" xfId="9" applyFont="1" applyBorder="1" applyAlignment="1">
      <alignment horizontal="center"/>
    </xf>
    <xf numFmtId="0" fontId="19" fillId="0" borderId="31" xfId="9" applyFont="1" applyBorder="1" applyAlignment="1">
      <alignment horizontal="center" vertical="center"/>
    </xf>
    <xf numFmtId="0" fontId="19" fillId="0" borderId="24" xfId="9" applyFont="1" applyBorder="1" applyAlignment="1">
      <alignment horizontal="center" vertical="center"/>
    </xf>
    <xf numFmtId="0" fontId="19" fillId="0" borderId="4" xfId="9" applyFont="1" applyBorder="1" applyAlignment="1">
      <alignment horizontal="center" vertical="center"/>
    </xf>
    <xf numFmtId="0" fontId="19" fillId="0" borderId="23" xfId="9" applyFont="1" applyBorder="1" applyAlignment="1">
      <alignment horizontal="center" vertical="center"/>
    </xf>
    <xf numFmtId="0" fontId="19" fillId="0" borderId="13" xfId="9" applyFont="1" applyBorder="1" applyAlignment="1">
      <alignment horizontal="center" vertical="center"/>
    </xf>
    <xf numFmtId="0" fontId="19" fillId="0" borderId="14" xfId="9" applyFont="1" applyBorder="1" applyAlignment="1">
      <alignment horizontal="center" vertical="center"/>
    </xf>
    <xf numFmtId="0" fontId="19" fillId="2" borderId="4" xfId="9" applyFont="1" applyFill="1" applyBorder="1" applyAlignment="1" applyProtection="1">
      <alignment horizontal="center" vertical="center" wrapText="1"/>
      <protection locked="0"/>
    </xf>
    <xf numFmtId="0" fontId="19" fillId="2" borderId="23" xfId="9" applyFont="1" applyFill="1" applyBorder="1" applyAlignment="1" applyProtection="1">
      <alignment horizontal="center" vertical="center" wrapText="1"/>
      <protection locked="0"/>
    </xf>
    <xf numFmtId="0" fontId="31" fillId="2" borderId="54" xfId="44" applyFont="1" applyFill="1" applyBorder="1" applyAlignment="1" applyProtection="1">
      <alignment horizontal="center"/>
      <protection locked="0"/>
    </xf>
    <xf numFmtId="0" fontId="31" fillId="2" borderId="61" xfId="44" applyFont="1" applyFill="1" applyBorder="1" applyAlignment="1" applyProtection="1">
      <alignment horizontal="center"/>
      <protection locked="0"/>
    </xf>
    <xf numFmtId="0" fontId="31" fillId="2" borderId="57" xfId="44" applyFont="1" applyFill="1" applyBorder="1" applyAlignment="1" applyProtection="1">
      <alignment horizontal="center"/>
      <protection locked="0"/>
    </xf>
    <xf numFmtId="0" fontId="31" fillId="3" borderId="4" xfId="28" applyFont="1" applyFill="1" applyBorder="1" applyAlignment="1" applyProtection="1">
      <alignment horizontal="left" vertical="center"/>
      <protection locked="0"/>
    </xf>
    <xf numFmtId="0" fontId="30" fillId="14" borderId="4" xfId="44" applyFont="1" applyFill="1" applyBorder="1" applyAlignment="1" applyProtection="1">
      <alignment horizontal="center" vertical="center" wrapText="1"/>
      <protection locked="0"/>
    </xf>
    <xf numFmtId="0" fontId="19" fillId="3" borderId="4" xfId="44" applyFont="1" applyFill="1" applyBorder="1" applyAlignment="1" applyProtection="1">
      <alignment horizontal="justify" vertical="center" wrapText="1"/>
      <protection locked="0"/>
    </xf>
    <xf numFmtId="0" fontId="31" fillId="3" borderId="4" xfId="44" applyFont="1" applyFill="1" applyBorder="1" applyAlignment="1" applyProtection="1">
      <alignment horizontal="justify" vertical="center" wrapText="1"/>
      <protection locked="0"/>
    </xf>
    <xf numFmtId="0" fontId="22" fillId="20" borderId="4" xfId="0" applyFont="1" applyFill="1" applyBorder="1" applyAlignment="1" applyProtection="1">
      <alignment horizontal="justify" vertical="center" wrapText="1"/>
      <protection locked="0"/>
    </xf>
    <xf numFmtId="0" fontId="31" fillId="3" borderId="4" xfId="44" applyFont="1" applyFill="1" applyBorder="1" applyAlignment="1" applyProtection="1">
      <alignment horizontal="left" vertical="center" wrapText="1"/>
      <protection locked="0"/>
    </xf>
    <xf numFmtId="0" fontId="19" fillId="2" borderId="4" xfId="9" applyFont="1" applyFill="1" applyBorder="1" applyAlignment="1" applyProtection="1">
      <alignment horizontal="center" vertical="center"/>
      <protection locked="0"/>
    </xf>
    <xf numFmtId="0" fontId="31" fillId="0" borderId="0" xfId="28" applyFont="1" applyAlignment="1" applyProtection="1">
      <alignment horizontal="center" vertical="center" wrapText="1"/>
      <protection locked="0"/>
    </xf>
    <xf numFmtId="0" fontId="30" fillId="3" borderId="10" xfId="28" applyFont="1" applyFill="1" applyBorder="1" applyAlignment="1" applyProtection="1">
      <alignment horizontal="left" vertical="center"/>
      <protection locked="0"/>
    </xf>
    <xf numFmtId="0" fontId="30" fillId="3" borderId="27" xfId="28" applyFont="1" applyFill="1" applyBorder="1" applyAlignment="1" applyProtection="1">
      <alignment horizontal="left" vertical="center"/>
      <protection locked="0"/>
    </xf>
    <xf numFmtId="0" fontId="31" fillId="0" borderId="10" xfId="28" applyFont="1" applyBorder="1" applyAlignment="1" applyProtection="1">
      <alignment horizontal="justify" vertical="center" wrapText="1"/>
      <protection locked="0"/>
    </xf>
    <xf numFmtId="0" fontId="31" fillId="0" borderId="11" xfId="28" applyFont="1" applyBorder="1" applyAlignment="1" applyProtection="1">
      <alignment horizontal="justify" vertical="center" wrapText="1"/>
      <protection locked="0"/>
    </xf>
    <xf numFmtId="0" fontId="31" fillId="0" borderId="27" xfId="28" applyFont="1" applyBorder="1" applyAlignment="1" applyProtection="1">
      <alignment horizontal="justify" vertical="center" wrapText="1"/>
      <protection locked="0"/>
    </xf>
    <xf numFmtId="0" fontId="20" fillId="14" borderId="46" xfId="9" applyFont="1" applyFill="1" applyBorder="1" applyAlignment="1">
      <alignment horizontal="center" vertical="center" wrapText="1"/>
    </xf>
    <xf numFmtId="0" fontId="20" fillId="14" borderId="49" xfId="9" applyFont="1" applyFill="1" applyBorder="1" applyAlignment="1">
      <alignment horizontal="center" vertical="center" wrapText="1"/>
    </xf>
    <xf numFmtId="181" fontId="19" fillId="0" borderId="37" xfId="8" applyNumberFormat="1" applyFont="1" applyFill="1" applyBorder="1" applyAlignment="1" applyProtection="1">
      <alignment horizontal="right"/>
    </xf>
    <xf numFmtId="181" fontId="19" fillId="0" borderId="45" xfId="8" applyNumberFormat="1" applyFont="1" applyFill="1" applyBorder="1" applyAlignment="1" applyProtection="1">
      <alignment horizontal="right"/>
    </xf>
    <xf numFmtId="181" fontId="19" fillId="0" borderId="52" xfId="8" applyNumberFormat="1" applyFont="1" applyFill="1" applyBorder="1" applyAlignment="1" applyProtection="1">
      <alignment horizontal="right"/>
    </xf>
    <xf numFmtId="181" fontId="19" fillId="0" borderId="62" xfId="8" applyNumberFormat="1" applyFont="1" applyFill="1" applyBorder="1" applyAlignment="1" applyProtection="1">
      <alignment horizontal="right"/>
    </xf>
    <xf numFmtId="0" fontId="30" fillId="14" borderId="1" xfId="36" applyFont="1" applyFill="1" applyBorder="1" applyAlignment="1" applyProtection="1">
      <alignment horizontal="center" vertical="center"/>
      <protection locked="0"/>
    </xf>
    <xf numFmtId="0" fontId="30" fillId="14" borderId="2" xfId="36" applyFont="1" applyFill="1" applyBorder="1" applyAlignment="1" applyProtection="1">
      <alignment horizontal="center" vertical="center"/>
      <protection locked="0"/>
    </xf>
    <xf numFmtId="0" fontId="30" fillId="14" borderId="3" xfId="36" applyFont="1" applyFill="1" applyBorder="1" applyAlignment="1" applyProtection="1">
      <alignment horizontal="center" vertical="center"/>
      <protection locked="0"/>
    </xf>
    <xf numFmtId="0" fontId="30" fillId="3" borderId="51" xfId="36" applyFont="1" applyFill="1" applyBorder="1" applyAlignment="1" applyProtection="1">
      <alignment horizontal="right"/>
      <protection hidden="1"/>
    </xf>
    <xf numFmtId="0" fontId="30" fillId="3" borderId="13" xfId="36" applyFont="1" applyFill="1" applyBorder="1" applyAlignment="1" applyProtection="1">
      <alignment horizontal="right"/>
      <protection hidden="1"/>
    </xf>
    <xf numFmtId="0" fontId="30" fillId="3" borderId="25" xfId="36" applyFont="1" applyFill="1" applyBorder="1" applyAlignment="1">
      <alignment horizontal="left"/>
    </xf>
    <xf numFmtId="0" fontId="30" fillId="3" borderId="19" xfId="36" applyFont="1" applyFill="1" applyBorder="1" applyAlignment="1">
      <alignment horizontal="left"/>
    </xf>
    <xf numFmtId="0" fontId="30" fillId="3" borderId="32" xfId="36" applyFont="1" applyFill="1" applyBorder="1" applyAlignment="1">
      <alignment horizontal="left"/>
    </xf>
    <xf numFmtId="0" fontId="30" fillId="3" borderId="34" xfId="36" applyFont="1" applyFill="1" applyBorder="1" applyAlignment="1">
      <alignment horizontal="left"/>
    </xf>
    <xf numFmtId="0" fontId="31" fillId="0" borderId="9" xfId="36" applyFont="1" applyBorder="1" applyAlignment="1" applyProtection="1">
      <alignment horizontal="left" vertical="top" wrapText="1"/>
      <protection locked="0"/>
    </xf>
    <xf numFmtId="0" fontId="31" fillId="0" borderId="0" xfId="36" applyFont="1" applyAlignment="1" applyProtection="1">
      <alignment horizontal="left" vertical="top" wrapText="1"/>
      <protection locked="0"/>
    </xf>
    <xf numFmtId="0" fontId="31" fillId="0" borderId="48" xfId="36" applyFont="1" applyBorder="1" applyAlignment="1" applyProtection="1">
      <alignment horizontal="left" vertical="top" wrapText="1"/>
      <protection locked="0"/>
    </xf>
    <xf numFmtId="0" fontId="31" fillId="0" borderId="22" xfId="36" applyFont="1" applyBorder="1" applyAlignment="1" applyProtection="1">
      <alignment horizontal="left" vertical="top" wrapText="1"/>
      <protection locked="0"/>
    </xf>
    <xf numFmtId="0" fontId="31" fillId="0" borderId="12" xfId="36" applyFont="1" applyBorder="1" applyAlignment="1" applyProtection="1">
      <alignment horizontal="left" vertical="top" wrapText="1"/>
      <protection locked="0"/>
    </xf>
    <xf numFmtId="0" fontId="31" fillId="0" borderId="36" xfId="36" applyFont="1" applyBorder="1" applyAlignment="1" applyProtection="1">
      <alignment horizontal="left" vertical="top" wrapText="1"/>
      <protection locked="0"/>
    </xf>
    <xf numFmtId="0" fontId="30" fillId="0" borderId="20" xfId="36" applyFont="1" applyBorder="1" applyAlignment="1" applyProtection="1">
      <alignment horizontal="left"/>
      <protection locked="0"/>
    </xf>
    <xf numFmtId="0" fontId="30" fillId="0" borderId="21" xfId="36" applyFont="1" applyBorder="1" applyAlignment="1" applyProtection="1">
      <alignment horizontal="left"/>
      <protection locked="0"/>
    </xf>
    <xf numFmtId="0" fontId="30" fillId="0" borderId="35" xfId="36" applyFont="1" applyBorder="1" applyAlignment="1" applyProtection="1">
      <alignment horizontal="left"/>
      <protection locked="0"/>
    </xf>
    <xf numFmtId="0" fontId="19" fillId="2" borderId="30" xfId="9" applyFont="1" applyFill="1" applyBorder="1" applyAlignment="1" applyProtection="1">
      <alignment horizontal="center"/>
      <protection locked="0"/>
    </xf>
    <xf numFmtId="0" fontId="19" fillId="2" borderId="31" xfId="9" applyFont="1" applyFill="1" applyBorder="1" applyAlignment="1" applyProtection="1">
      <alignment horizontal="center"/>
      <protection locked="0"/>
    </xf>
    <xf numFmtId="0" fontId="19" fillId="2" borderId="16" xfId="9" applyFont="1" applyFill="1" applyBorder="1" applyAlignment="1" applyProtection="1">
      <alignment horizontal="center"/>
      <protection locked="0"/>
    </xf>
    <xf numFmtId="0" fontId="19" fillId="2" borderId="4" xfId="9" applyFont="1" applyFill="1" applyBorder="1" applyAlignment="1" applyProtection="1">
      <alignment horizontal="center"/>
      <protection locked="0"/>
    </xf>
    <xf numFmtId="0" fontId="19" fillId="2" borderId="51" xfId="9" applyFont="1" applyFill="1" applyBorder="1" applyAlignment="1" applyProtection="1">
      <alignment horizontal="center"/>
      <protection locked="0"/>
    </xf>
    <xf numFmtId="0" fontId="19" fillId="2" borderId="13" xfId="9" applyFont="1" applyFill="1" applyBorder="1" applyAlignment="1" applyProtection="1">
      <alignment horizontal="center"/>
      <protection locked="0"/>
    </xf>
    <xf numFmtId="0" fontId="19" fillId="2" borderId="23" xfId="9" applyFont="1" applyFill="1" applyBorder="1" applyAlignment="1" applyProtection="1">
      <alignment horizontal="center" vertical="center"/>
      <protection locked="0"/>
    </xf>
    <xf numFmtId="0" fontId="30" fillId="3" borderId="16" xfId="0" applyFont="1" applyFill="1" applyBorder="1" applyAlignment="1">
      <alignment horizontal="left"/>
    </xf>
    <xf numFmtId="0" fontId="30" fillId="3" borderId="4" xfId="0" applyFont="1" applyFill="1" applyBorder="1" applyAlignment="1">
      <alignment horizontal="left"/>
    </xf>
    <xf numFmtId="0" fontId="30" fillId="3" borderId="16" xfId="0" applyFont="1" applyFill="1" applyBorder="1" applyAlignment="1" applyProtection="1">
      <alignment horizontal="left"/>
      <protection hidden="1"/>
    </xf>
    <xf numFmtId="0" fontId="30" fillId="3" borderId="4" xfId="0" applyFont="1" applyFill="1" applyBorder="1" applyAlignment="1" applyProtection="1">
      <alignment horizontal="left"/>
      <protection hidden="1"/>
    </xf>
    <xf numFmtId="0" fontId="30" fillId="14" borderId="30" xfId="0" applyFont="1" applyFill="1" applyBorder="1" applyAlignment="1" applyProtection="1">
      <alignment horizontal="center" vertical="center"/>
      <protection locked="0"/>
    </xf>
    <xf numFmtId="0" fontId="30" fillId="14" borderId="31" xfId="0" applyFont="1" applyFill="1" applyBorder="1" applyAlignment="1" applyProtection="1">
      <alignment horizontal="center" vertical="center"/>
      <protection locked="0"/>
    </xf>
    <xf numFmtId="0" fontId="30" fillId="14" borderId="24" xfId="0" applyFont="1" applyFill="1" applyBorder="1" applyAlignment="1" applyProtection="1">
      <alignment horizontal="center" vertical="center"/>
      <protection locked="0"/>
    </xf>
    <xf numFmtId="0" fontId="30" fillId="3" borderId="51" xfId="0" applyFont="1" applyFill="1" applyBorder="1" applyAlignment="1">
      <alignment horizontal="left"/>
    </xf>
    <xf numFmtId="0" fontId="30" fillId="3" borderId="13" xfId="0" applyFont="1" applyFill="1" applyBorder="1" applyAlignment="1">
      <alignment horizontal="left"/>
    </xf>
    <xf numFmtId="0" fontId="31" fillId="3" borderId="4" xfId="28" applyFont="1" applyFill="1" applyBorder="1" applyAlignment="1" applyProtection="1">
      <alignment horizontal="right" vertical="center"/>
      <protection locked="0"/>
    </xf>
    <xf numFmtId="173" fontId="31" fillId="3" borderId="4" xfId="7" applyNumberFormat="1" applyFont="1" applyFill="1" applyBorder="1" applyAlignment="1" applyProtection="1">
      <alignment horizontal="right" vertical="center"/>
      <protection hidden="1"/>
    </xf>
    <xf numFmtId="0" fontId="30" fillId="14" borderId="10" xfId="36" applyFont="1" applyFill="1" applyBorder="1" applyAlignment="1">
      <alignment horizontal="center" vertical="center"/>
    </xf>
    <xf numFmtId="0" fontId="30" fillId="14" borderId="11" xfId="36" applyFont="1" applyFill="1" applyBorder="1" applyAlignment="1">
      <alignment horizontal="center" vertical="center"/>
    </xf>
    <xf numFmtId="0" fontId="30" fillId="14" borderId="27" xfId="36" applyFont="1" applyFill="1" applyBorder="1" applyAlignment="1">
      <alignment horizontal="center" vertical="center"/>
    </xf>
    <xf numFmtId="0" fontId="30" fillId="5" borderId="53" xfId="0" applyFont="1" applyFill="1" applyBorder="1" applyAlignment="1">
      <alignment horizontal="left"/>
    </xf>
    <xf numFmtId="0" fontId="30" fillId="5" borderId="5" xfId="0" applyFont="1" applyFill="1" applyBorder="1" applyAlignment="1">
      <alignment horizontal="left"/>
    </xf>
    <xf numFmtId="0" fontId="30" fillId="5" borderId="16" xfId="0" applyFont="1" applyFill="1" applyBorder="1" applyAlignment="1">
      <alignment horizontal="left"/>
    </xf>
    <xf numFmtId="0" fontId="30" fillId="5" borderId="4" xfId="0" applyFont="1" applyFill="1" applyBorder="1" applyAlignment="1">
      <alignment horizontal="left"/>
    </xf>
    <xf numFmtId="0" fontId="30" fillId="5" borderId="4" xfId="28" applyFont="1" applyFill="1" applyBorder="1" applyAlignment="1" applyProtection="1">
      <alignment horizontal="left" vertical="center"/>
      <protection locked="0"/>
    </xf>
    <xf numFmtId="0" fontId="30" fillId="14" borderId="4" xfId="28" applyFont="1" applyFill="1" applyBorder="1" applyAlignment="1" applyProtection="1">
      <alignment horizontal="left" vertical="center"/>
      <protection locked="0"/>
    </xf>
    <xf numFmtId="0" fontId="19" fillId="0" borderId="37" xfId="9" applyFont="1" applyBorder="1" applyAlignment="1" applyProtection="1">
      <alignment horizontal="center" vertical="center" wrapText="1"/>
      <protection locked="0"/>
    </xf>
    <xf numFmtId="0" fontId="19" fillId="0" borderId="38" xfId="9" applyFont="1" applyBorder="1" applyAlignment="1" applyProtection="1">
      <alignment horizontal="center" vertical="center" wrapText="1"/>
      <protection locked="0"/>
    </xf>
    <xf numFmtId="0" fontId="19" fillId="0" borderId="45" xfId="9" applyFont="1" applyBorder="1" applyAlignment="1" applyProtection="1">
      <alignment horizontal="center" vertical="center" wrapText="1"/>
      <protection locked="0"/>
    </xf>
    <xf numFmtId="0" fontId="19" fillId="2" borderId="42" xfId="9" applyFont="1" applyFill="1" applyBorder="1" applyAlignment="1" applyProtection="1">
      <alignment horizontal="center"/>
      <protection locked="0"/>
    </xf>
    <xf numFmtId="0" fontId="19" fillId="2" borderId="47" xfId="9" applyFont="1" applyFill="1" applyBorder="1" applyAlignment="1" applyProtection="1">
      <alignment horizontal="center"/>
      <protection locked="0"/>
    </xf>
    <xf numFmtId="0" fontId="19" fillId="2" borderId="28" xfId="9" applyFont="1" applyFill="1" applyBorder="1" applyAlignment="1" applyProtection="1">
      <alignment horizontal="center"/>
      <protection locked="0"/>
    </xf>
    <xf numFmtId="0" fontId="30" fillId="5" borderId="30" xfId="55" applyFont="1" applyFill="1" applyBorder="1" applyAlignment="1">
      <alignment horizontal="center" vertical="center"/>
    </xf>
    <xf numFmtId="0" fontId="30" fillId="5" borderId="31" xfId="55" applyFont="1" applyFill="1" applyBorder="1" applyAlignment="1">
      <alignment horizontal="center" vertical="center"/>
    </xf>
    <xf numFmtId="0" fontId="30" fillId="5" borderId="24" xfId="55" applyFont="1" applyFill="1" applyBorder="1" applyAlignment="1">
      <alignment horizontal="center" vertical="center"/>
    </xf>
    <xf numFmtId="0" fontId="30" fillId="3" borderId="11" xfId="28" applyFont="1" applyFill="1" applyBorder="1" applyAlignment="1" applyProtection="1">
      <alignment horizontal="left" vertical="center"/>
      <protection locked="0"/>
    </xf>
    <xf numFmtId="0" fontId="31" fillId="3" borderId="10" xfId="55" applyFont="1" applyFill="1" applyBorder="1" applyAlignment="1" applyProtection="1">
      <alignment horizontal="justify"/>
      <protection locked="0"/>
    </xf>
    <xf numFmtId="0" fontId="31" fillId="3" borderId="11" xfId="55" applyFont="1" applyFill="1" applyBorder="1" applyAlignment="1" applyProtection="1">
      <alignment horizontal="justify"/>
      <protection locked="0"/>
    </xf>
    <xf numFmtId="0" fontId="31" fillId="3" borderId="27" xfId="55" applyFont="1" applyFill="1" applyBorder="1" applyAlignment="1" applyProtection="1">
      <alignment horizontal="justify"/>
      <protection locked="0"/>
    </xf>
    <xf numFmtId="0" fontId="31" fillId="2" borderId="16" xfId="34" applyFont="1" applyFill="1" applyBorder="1" applyAlignment="1" applyProtection="1">
      <alignment horizontal="left" vertical="center" wrapText="1"/>
      <protection locked="0"/>
    </xf>
    <xf numFmtId="0" fontId="31" fillId="2" borderId="4" xfId="34" applyFont="1" applyFill="1" applyBorder="1" applyAlignment="1" applyProtection="1">
      <alignment horizontal="left" vertical="center" wrapText="1"/>
      <protection locked="0"/>
    </xf>
    <xf numFmtId="0" fontId="30" fillId="3" borderId="4" xfId="34" applyFont="1" applyFill="1" applyBorder="1" applyAlignment="1" applyProtection="1">
      <alignment horizontal="left" vertical="center" wrapText="1"/>
      <protection locked="0"/>
    </xf>
    <xf numFmtId="0" fontId="30" fillId="2" borderId="4" xfId="34" applyFont="1" applyFill="1" applyBorder="1" applyAlignment="1" applyProtection="1">
      <alignment horizontal="center" vertical="center" wrapText="1"/>
      <protection locked="0"/>
    </xf>
    <xf numFmtId="0" fontId="31" fillId="2" borderId="23" xfId="34" applyFont="1" applyFill="1" applyBorder="1" applyAlignment="1" applyProtection="1">
      <alignment horizontal="center" vertical="center" wrapText="1"/>
      <protection locked="0"/>
    </xf>
    <xf numFmtId="0" fontId="31" fillId="2" borderId="25" xfId="34" applyFont="1" applyFill="1" applyBorder="1" applyAlignment="1" applyProtection="1">
      <alignment horizontal="left" vertical="center" wrapText="1"/>
      <protection locked="0"/>
    </xf>
    <xf numFmtId="0" fontId="31" fillId="2" borderId="19" xfId="34" applyFont="1" applyFill="1" applyBorder="1" applyAlignment="1" applyProtection="1">
      <alignment horizontal="left" vertical="center" wrapText="1"/>
      <protection locked="0"/>
    </xf>
    <xf numFmtId="0" fontId="31" fillId="2" borderId="0" xfId="28" applyFont="1" applyFill="1" applyAlignment="1" applyProtection="1">
      <alignment horizontal="center" vertical="center" wrapText="1"/>
      <protection locked="0"/>
    </xf>
    <xf numFmtId="0" fontId="30" fillId="3" borderId="25" xfId="34" applyFont="1" applyFill="1" applyBorder="1" applyAlignment="1" applyProtection="1">
      <alignment horizontal="center" vertical="center" wrapText="1"/>
      <protection locked="0"/>
    </xf>
    <xf numFmtId="0" fontId="30" fillId="3" borderId="19" xfId="34" applyFont="1" applyFill="1" applyBorder="1" applyAlignment="1" applyProtection="1">
      <alignment horizontal="center" vertical="center" wrapText="1"/>
      <protection locked="0"/>
    </xf>
    <xf numFmtId="0" fontId="30" fillId="3" borderId="39" xfId="34" applyFont="1" applyFill="1" applyBorder="1" applyAlignment="1" applyProtection="1">
      <alignment horizontal="center" vertical="center" wrapText="1"/>
      <protection locked="0"/>
    </xf>
    <xf numFmtId="0" fontId="30" fillId="3" borderId="41" xfId="34" applyFont="1" applyFill="1" applyBorder="1" applyAlignment="1" applyProtection="1">
      <alignment horizontal="center" vertical="center" wrapText="1"/>
      <protection locked="0"/>
    </xf>
    <xf numFmtId="0" fontId="30" fillId="3" borderId="16" xfId="34" applyFont="1" applyFill="1" applyBorder="1" applyAlignment="1" applyProtection="1">
      <alignment horizontal="center" vertical="center" wrapText="1"/>
      <protection locked="0"/>
    </xf>
    <xf numFmtId="0" fontId="30" fillId="3" borderId="4" xfId="34" applyFont="1" applyFill="1" applyBorder="1" applyAlignment="1" applyProtection="1">
      <alignment horizontal="center" vertical="center" wrapText="1"/>
      <protection locked="0"/>
    </xf>
    <xf numFmtId="6" fontId="30" fillId="2" borderId="4" xfId="34" applyNumberFormat="1" applyFont="1" applyFill="1" applyBorder="1" applyAlignment="1" applyProtection="1">
      <alignment horizontal="center" vertical="center" wrapText="1"/>
      <protection locked="0"/>
    </xf>
    <xf numFmtId="0" fontId="31" fillId="2" borderId="16" xfId="34" applyFont="1" applyFill="1" applyBorder="1" applyAlignment="1">
      <alignment horizontal="left" vertical="center"/>
    </xf>
    <xf numFmtId="0" fontId="31" fillId="2" borderId="4" xfId="34" applyFont="1" applyFill="1" applyBorder="1" applyAlignment="1">
      <alignment horizontal="left" vertical="center"/>
    </xf>
    <xf numFmtId="0" fontId="31" fillId="2" borderId="16" xfId="34" applyFont="1" applyFill="1" applyBorder="1" applyAlignment="1">
      <alignment horizontal="left" vertical="center" wrapText="1"/>
    </xf>
    <xf numFmtId="0" fontId="31" fillId="2" borderId="4" xfId="34" applyFont="1" applyFill="1" applyBorder="1" applyAlignment="1">
      <alignment horizontal="left" vertical="center" wrapText="1"/>
    </xf>
    <xf numFmtId="0" fontId="30" fillId="14" borderId="16" xfId="34" applyFont="1" applyFill="1" applyBorder="1" applyAlignment="1">
      <alignment horizontal="right" vertical="center"/>
    </xf>
    <xf numFmtId="0" fontId="30" fillId="14" borderId="4" xfId="34" applyFont="1" applyFill="1" applyBorder="1" applyAlignment="1">
      <alignment horizontal="right" vertical="center"/>
    </xf>
    <xf numFmtId="0" fontId="30" fillId="3" borderId="16" xfId="34" applyFont="1" applyFill="1" applyBorder="1" applyAlignment="1">
      <alignment horizontal="right" vertical="center"/>
    </xf>
    <xf numFmtId="0" fontId="30" fillId="3" borderId="4" xfId="34" applyFont="1" applyFill="1" applyBorder="1" applyAlignment="1">
      <alignment horizontal="right" vertical="center"/>
    </xf>
    <xf numFmtId="0" fontId="32" fillId="2" borderId="16" xfId="34" applyFont="1" applyFill="1" applyBorder="1" applyAlignment="1" applyProtection="1">
      <alignment horizontal="left" vertical="center" wrapText="1"/>
      <protection locked="0"/>
    </xf>
    <xf numFmtId="0" fontId="32" fillId="2" borderId="4" xfId="34" applyFont="1" applyFill="1" applyBorder="1" applyAlignment="1" applyProtection="1">
      <alignment horizontal="left" vertical="center" wrapText="1"/>
      <protection locked="0"/>
    </xf>
    <xf numFmtId="0" fontId="32" fillId="2" borderId="23" xfId="34" applyFont="1" applyFill="1" applyBorder="1" applyAlignment="1" applyProtection="1">
      <alignment horizontal="left" vertical="center" wrapText="1"/>
      <protection locked="0"/>
    </xf>
    <xf numFmtId="0" fontId="30" fillId="3" borderId="25" xfId="34" applyFont="1" applyFill="1" applyBorder="1" applyAlignment="1" applyProtection="1">
      <alignment horizontal="center" vertical="center"/>
      <protection locked="0"/>
    </xf>
    <xf numFmtId="0" fontId="30" fillId="3" borderId="19" xfId="34" applyFont="1" applyFill="1" applyBorder="1" applyAlignment="1" applyProtection="1">
      <alignment horizontal="center" vertical="center"/>
      <protection locked="0"/>
    </xf>
    <xf numFmtId="0" fontId="31" fillId="2" borderId="32" xfId="34" applyFont="1" applyFill="1" applyBorder="1" applyAlignment="1" applyProtection="1">
      <alignment horizontal="left" vertical="top" wrapText="1"/>
      <protection locked="0"/>
    </xf>
    <xf numFmtId="0" fontId="31" fillId="2" borderId="34" xfId="34" applyFont="1" applyFill="1" applyBorder="1" applyAlignment="1" applyProtection="1">
      <alignment horizontal="left" vertical="top" wrapText="1"/>
      <protection locked="0"/>
    </xf>
    <xf numFmtId="0" fontId="30" fillId="5" borderId="26" xfId="34" applyFont="1" applyFill="1" applyBorder="1" applyAlignment="1" applyProtection="1">
      <alignment horizontal="center" vertical="center"/>
      <protection locked="0"/>
    </xf>
    <xf numFmtId="0" fontId="30" fillId="5" borderId="17" xfId="34" applyFont="1" applyFill="1" applyBorder="1" applyAlignment="1" applyProtection="1">
      <alignment horizontal="center" vertical="center"/>
      <protection locked="0"/>
    </xf>
    <xf numFmtId="0" fontId="19" fillId="3" borderId="11" xfId="0" applyFont="1" applyFill="1" applyBorder="1" applyAlignment="1" applyProtection="1">
      <alignment horizontal="justify" vertical="center" wrapText="1"/>
      <protection locked="0"/>
    </xf>
    <xf numFmtId="0" fontId="19" fillId="3" borderId="27" xfId="0" applyFont="1" applyFill="1" applyBorder="1" applyAlignment="1" applyProtection="1">
      <alignment horizontal="justify" vertical="center" wrapText="1"/>
      <protection locked="0"/>
    </xf>
    <xf numFmtId="0" fontId="31" fillId="2" borderId="51" xfId="34" applyFont="1" applyFill="1" applyBorder="1" applyAlignment="1">
      <alignment horizontal="left" vertical="center"/>
    </xf>
    <xf numFmtId="0" fontId="31" fillId="2" borderId="13" xfId="34" applyFont="1" applyFill="1" applyBorder="1" applyAlignment="1">
      <alignment horizontal="left" vertical="center"/>
    </xf>
    <xf numFmtId="0" fontId="30" fillId="5" borderId="16" xfId="34" applyFont="1" applyFill="1" applyBorder="1" applyAlignment="1">
      <alignment horizontal="center" vertical="center"/>
    </xf>
    <xf numFmtId="0" fontId="30" fillId="5" borderId="4" xfId="34" applyFont="1" applyFill="1" applyBorder="1" applyAlignment="1">
      <alignment horizontal="center" vertical="center"/>
    </xf>
    <xf numFmtId="0" fontId="31" fillId="0" borderId="11" xfId="28" applyFont="1" applyBorder="1" applyAlignment="1" applyProtection="1">
      <alignment horizontal="justify" vertical="center"/>
      <protection locked="0"/>
    </xf>
    <xf numFmtId="0" fontId="31" fillId="0" borderId="27" xfId="28" applyFont="1" applyBorder="1" applyAlignment="1" applyProtection="1">
      <alignment horizontal="justify" vertical="center"/>
      <protection locked="0"/>
    </xf>
    <xf numFmtId="0" fontId="19" fillId="0" borderId="32" xfId="9" applyFont="1" applyBorder="1" applyAlignment="1">
      <alignment horizontal="left" wrapText="1"/>
    </xf>
    <xf numFmtId="0" fontId="19" fillId="0" borderId="34" xfId="9" applyFont="1" applyBorder="1" applyAlignment="1">
      <alignment horizontal="left" wrapText="1"/>
    </xf>
    <xf numFmtId="0" fontId="20" fillId="14" borderId="39" xfId="9" applyFont="1" applyFill="1" applyBorder="1" applyAlignment="1">
      <alignment horizontal="center" vertical="center" wrapText="1"/>
    </xf>
    <xf numFmtId="0" fontId="20" fillId="14" borderId="41" xfId="9" applyFont="1" applyFill="1" applyBorder="1" applyAlignment="1">
      <alignment horizontal="center" vertical="center" wrapText="1"/>
    </xf>
    <xf numFmtId="0" fontId="19" fillId="0" borderId="25" xfId="9" applyFont="1" applyBorder="1" applyAlignment="1">
      <alignment horizontal="left"/>
    </xf>
    <xf numFmtId="0" fontId="19" fillId="0" borderId="19" xfId="9" applyFont="1" applyBorder="1" applyAlignment="1">
      <alignment horizontal="left"/>
    </xf>
    <xf numFmtId="0" fontId="23" fillId="5" borderId="72" xfId="9" applyFont="1" applyFill="1" applyBorder="1" applyAlignment="1" applyProtection="1">
      <alignment horizontal="center" vertical="center"/>
      <protection locked="0"/>
    </xf>
    <xf numFmtId="0" fontId="31" fillId="0" borderId="37" xfId="21" applyFont="1" applyBorder="1" applyAlignment="1" applyProtection="1">
      <alignment horizontal="center" vertical="center"/>
      <protection locked="0"/>
    </xf>
    <xf numFmtId="0" fontId="31" fillId="0" borderId="45" xfId="21" applyFont="1" applyBorder="1" applyAlignment="1" applyProtection="1">
      <alignment horizontal="center" vertical="center"/>
      <protection locked="0"/>
    </xf>
    <xf numFmtId="173" fontId="30" fillId="3" borderId="10" xfId="7" applyNumberFormat="1" applyFont="1" applyFill="1" applyBorder="1" applyAlignment="1" applyProtection="1">
      <alignment horizontal="left" vertical="center"/>
      <protection hidden="1"/>
    </xf>
    <xf numFmtId="173" fontId="30" fillId="3" borderId="27" xfId="7" applyNumberFormat="1" applyFont="1" applyFill="1" applyBorder="1" applyAlignment="1" applyProtection="1">
      <alignment horizontal="left" vertical="center"/>
      <protection hidden="1"/>
    </xf>
    <xf numFmtId="0" fontId="30" fillId="3" borderId="22" xfId="28" applyFont="1" applyFill="1" applyBorder="1" applyAlignment="1" applyProtection="1">
      <alignment horizontal="left" vertical="center"/>
      <protection locked="0"/>
    </xf>
    <xf numFmtId="0" fontId="30" fillId="3" borderId="36" xfId="28" applyFont="1" applyFill="1" applyBorder="1" applyAlignment="1" applyProtection="1">
      <alignment horizontal="left" vertical="center"/>
      <protection locked="0"/>
    </xf>
    <xf numFmtId="0" fontId="31" fillId="0" borderId="10" xfId="21" applyFont="1" applyBorder="1" applyAlignment="1" applyProtection="1">
      <alignment horizontal="justify" vertical="center" wrapText="1"/>
      <protection locked="0"/>
    </xf>
    <xf numFmtId="0" fontId="31" fillId="0" borderId="11" xfId="21" applyFont="1" applyBorder="1" applyAlignment="1" applyProtection="1">
      <alignment horizontal="justify" vertical="center"/>
      <protection locked="0"/>
    </xf>
    <xf numFmtId="0" fontId="31" fillId="0" borderId="27" xfId="21" applyFont="1" applyBorder="1" applyAlignment="1" applyProtection="1">
      <alignment horizontal="justify" vertical="center"/>
      <protection locked="0"/>
    </xf>
    <xf numFmtId="0" fontId="31" fillId="12" borderId="10" xfId="21" applyFont="1" applyFill="1" applyBorder="1" applyAlignment="1" applyProtection="1">
      <alignment horizontal="left" vertical="center" wrapText="1"/>
      <protection locked="0"/>
    </xf>
    <xf numFmtId="0" fontId="31" fillId="12" borderId="11" xfId="21" applyFont="1" applyFill="1" applyBorder="1" applyAlignment="1" applyProtection="1">
      <alignment horizontal="left" vertical="center" wrapText="1"/>
      <protection locked="0"/>
    </xf>
    <xf numFmtId="0" fontId="31" fillId="12" borderId="27" xfId="21" applyFont="1" applyFill="1" applyBorder="1" applyAlignment="1" applyProtection="1">
      <alignment horizontal="left" vertical="center" wrapText="1"/>
      <protection locked="0"/>
    </xf>
    <xf numFmtId="0" fontId="31" fillId="0" borderId="16" xfId="21" applyFont="1" applyBorder="1" applyAlignment="1" applyProtection="1">
      <alignment horizontal="justify" vertical="center" wrapText="1"/>
      <protection locked="0"/>
    </xf>
    <xf numFmtId="0" fontId="31" fillId="0" borderId="4" xfId="21" applyFont="1" applyBorder="1" applyAlignment="1" applyProtection="1">
      <alignment horizontal="justify" vertical="center" wrapText="1"/>
      <protection locked="0"/>
    </xf>
    <xf numFmtId="0" fontId="31" fillId="0" borderId="16" xfId="21" applyFont="1" applyBorder="1" applyAlignment="1" applyProtection="1">
      <alignment horizontal="justify" vertical="center"/>
      <protection locked="0"/>
    </xf>
    <xf numFmtId="0" fontId="31" fillId="0" borderId="4" xfId="21" applyFont="1" applyBorder="1" applyAlignment="1" applyProtection="1">
      <alignment horizontal="justify" vertical="center"/>
      <protection locked="0"/>
    </xf>
    <xf numFmtId="0" fontId="30" fillId="3" borderId="53" xfId="21" applyFont="1" applyFill="1" applyBorder="1" applyAlignment="1" applyProtection="1">
      <alignment horizontal="center" vertical="center"/>
      <protection locked="0"/>
    </xf>
    <xf numFmtId="0" fontId="30" fillId="3" borderId="5" xfId="21" applyFont="1" applyFill="1" applyBorder="1" applyAlignment="1" applyProtection="1">
      <alignment horizontal="center" vertical="center"/>
      <protection locked="0"/>
    </xf>
    <xf numFmtId="0" fontId="31" fillId="0" borderId="51" xfId="21" applyFont="1" applyBorder="1" applyAlignment="1" applyProtection="1">
      <alignment horizontal="justify" vertical="center" wrapText="1"/>
      <protection locked="0"/>
    </xf>
    <xf numFmtId="0" fontId="31" fillId="0" borderId="13" xfId="21" applyFont="1" applyBorder="1" applyAlignment="1" applyProtection="1">
      <alignment horizontal="justify" vertical="center" wrapText="1"/>
      <protection locked="0"/>
    </xf>
    <xf numFmtId="0" fontId="30" fillId="0" borderId="20" xfId="21" applyFont="1" applyBorder="1" applyAlignment="1" applyProtection="1">
      <alignment horizontal="justify" vertical="center"/>
      <protection locked="0"/>
    </xf>
    <xf numFmtId="0" fontId="30" fillId="0" borderId="21" xfId="21" applyFont="1" applyBorder="1" applyAlignment="1" applyProtection="1">
      <alignment horizontal="justify" vertical="center"/>
      <protection locked="0"/>
    </xf>
    <xf numFmtId="0" fontId="30" fillId="0" borderId="35" xfId="21" applyFont="1" applyBorder="1" applyAlignment="1" applyProtection="1">
      <alignment horizontal="justify" vertical="center"/>
      <protection locked="0"/>
    </xf>
    <xf numFmtId="0" fontId="31" fillId="0" borderId="9" xfId="21" applyFont="1" applyBorder="1" applyAlignment="1" applyProtection="1">
      <alignment horizontal="justify" vertical="center" wrapText="1"/>
      <protection locked="0"/>
    </xf>
    <xf numFmtId="0" fontId="31" fillId="0" borderId="0" xfId="21" applyFont="1" applyAlignment="1" applyProtection="1">
      <alignment horizontal="justify" vertical="center"/>
      <protection locked="0"/>
    </xf>
    <xf numFmtId="0" fontId="31" fillId="0" borderId="48" xfId="21" applyFont="1" applyBorder="1" applyAlignment="1" applyProtection="1">
      <alignment horizontal="justify" vertical="center"/>
      <protection locked="0"/>
    </xf>
    <xf numFmtId="0" fontId="31" fillId="0" borderId="22" xfId="21" applyFont="1" applyBorder="1" applyAlignment="1" applyProtection="1">
      <alignment horizontal="justify" vertical="center" wrapText="1"/>
      <protection locked="0"/>
    </xf>
    <xf numFmtId="0" fontId="31" fillId="0" borderId="12" xfId="21" applyFont="1" applyBorder="1" applyAlignment="1" applyProtection="1">
      <alignment horizontal="justify" vertical="center"/>
      <protection locked="0"/>
    </xf>
    <xf numFmtId="0" fontId="31" fillId="0" borderId="36" xfId="21" applyFont="1" applyBorder="1" applyAlignment="1" applyProtection="1">
      <alignment horizontal="justify" vertical="center"/>
      <protection locked="0"/>
    </xf>
    <xf numFmtId="0" fontId="31" fillId="0" borderId="22" xfId="21" applyFont="1" applyBorder="1" applyAlignment="1" applyProtection="1">
      <alignment horizontal="left" vertical="center" wrapText="1"/>
      <protection locked="0"/>
    </xf>
    <xf numFmtId="0" fontId="31" fillId="0" borderId="12" xfId="21" applyFont="1" applyBorder="1" applyAlignment="1" applyProtection="1">
      <alignment horizontal="left" vertical="center" wrapText="1"/>
      <protection locked="0"/>
    </xf>
    <xf numFmtId="0" fontId="31" fillId="0" borderId="36" xfId="21" applyFont="1" applyBorder="1" applyAlignment="1" applyProtection="1">
      <alignment horizontal="left" vertical="center" wrapText="1"/>
      <protection locked="0"/>
    </xf>
    <xf numFmtId="0" fontId="31" fillId="0" borderId="0" xfId="21" applyFont="1" applyAlignment="1" applyProtection="1">
      <alignment horizontal="justify" vertical="center" wrapText="1"/>
      <protection locked="0"/>
    </xf>
    <xf numFmtId="0" fontId="31" fillId="0" borderId="9" xfId="21" applyFont="1" applyBorder="1" applyAlignment="1" applyProtection="1">
      <alignment horizontal="justify" vertical="top" wrapText="1"/>
      <protection locked="0"/>
    </xf>
    <xf numFmtId="0" fontId="31" fillId="0" borderId="0" xfId="21" applyFont="1" applyAlignment="1" applyProtection="1">
      <alignment horizontal="justify" vertical="top" wrapText="1"/>
      <protection locked="0"/>
    </xf>
    <xf numFmtId="0" fontId="31" fillId="0" borderId="48" xfId="21" applyFont="1" applyBorder="1" applyAlignment="1" applyProtection="1">
      <alignment horizontal="justify" vertical="top" wrapText="1"/>
      <protection locked="0"/>
    </xf>
    <xf numFmtId="0" fontId="31" fillId="0" borderId="22" xfId="21" applyFont="1" applyBorder="1" applyAlignment="1" applyProtection="1">
      <alignment horizontal="justify" vertical="top" wrapText="1"/>
      <protection locked="0"/>
    </xf>
    <xf numFmtId="0" fontId="31" fillId="0" borderId="12" xfId="21" applyFont="1" applyBorder="1" applyAlignment="1" applyProtection="1">
      <alignment horizontal="justify" vertical="top" wrapText="1"/>
      <protection locked="0"/>
    </xf>
    <xf numFmtId="0" fontId="31" fillId="0" borderId="36" xfId="21" applyFont="1" applyBorder="1" applyAlignment="1" applyProtection="1">
      <alignment horizontal="justify" vertical="top" wrapText="1"/>
      <protection locked="0"/>
    </xf>
    <xf numFmtId="0" fontId="22" fillId="0" borderId="4" xfId="21" applyFont="1" applyBorder="1" applyAlignment="1" applyProtection="1">
      <alignment horizontal="justify" vertical="center"/>
      <protection locked="0"/>
    </xf>
    <xf numFmtId="0" fontId="22" fillId="0" borderId="23" xfId="21" applyFont="1" applyBorder="1" applyAlignment="1" applyProtection="1">
      <alignment horizontal="justify" vertical="center"/>
      <protection locked="0"/>
    </xf>
    <xf numFmtId="0" fontId="23" fillId="0" borderId="50" xfId="21" applyFont="1" applyBorder="1" applyAlignment="1" applyProtection="1">
      <alignment horizontal="center" vertical="center"/>
      <protection locked="0"/>
    </xf>
    <xf numFmtId="0" fontId="23" fillId="0" borderId="0" xfId="21" applyFont="1" applyAlignment="1" applyProtection="1">
      <alignment horizontal="center" vertical="center"/>
      <protection locked="0"/>
    </xf>
    <xf numFmtId="0" fontId="34" fillId="5" borderId="23" xfId="9" applyFont="1" applyFill="1" applyBorder="1" applyAlignment="1" applyProtection="1">
      <alignment horizontal="center" vertical="center" wrapText="1"/>
      <protection locked="0"/>
    </xf>
    <xf numFmtId="0" fontId="22" fillId="2" borderId="16" xfId="21" applyFont="1" applyFill="1" applyBorder="1" applyAlignment="1" applyProtection="1">
      <alignment vertical="center"/>
      <protection locked="0"/>
    </xf>
    <xf numFmtId="0" fontId="22" fillId="2" borderId="4" xfId="21" applyFont="1" applyFill="1" applyBorder="1" applyAlignment="1" applyProtection="1">
      <alignment vertical="center"/>
      <protection locked="0"/>
    </xf>
    <xf numFmtId="0" fontId="33" fillId="2" borderId="16" xfId="21" applyFont="1" applyFill="1" applyBorder="1" applyAlignment="1" applyProtection="1">
      <alignment vertical="center" wrapText="1"/>
      <protection locked="0"/>
    </xf>
    <xf numFmtId="0" fontId="33" fillId="2" borderId="4" xfId="21" applyFont="1" applyFill="1" applyBorder="1" applyAlignment="1" applyProtection="1">
      <alignment vertical="center" wrapText="1"/>
      <protection locked="0"/>
    </xf>
    <xf numFmtId="0" fontId="23" fillId="3" borderId="16" xfId="21" applyFont="1" applyFill="1" applyBorder="1" applyAlignment="1" applyProtection="1">
      <alignment horizontal="right" vertical="center"/>
      <protection locked="0"/>
    </xf>
    <xf numFmtId="0" fontId="23" fillId="3" borderId="4" xfId="21" applyFont="1" applyFill="1" applyBorder="1" applyAlignment="1" applyProtection="1">
      <alignment horizontal="right" vertical="center"/>
      <protection locked="0"/>
    </xf>
    <xf numFmtId="0" fontId="23" fillId="3" borderId="37" xfId="21" applyFont="1" applyFill="1" applyBorder="1" applyAlignment="1" applyProtection="1">
      <alignment horizontal="right" vertical="center"/>
      <protection locked="0"/>
    </xf>
    <xf numFmtId="0" fontId="23" fillId="3" borderId="16" xfId="21" applyFont="1" applyFill="1" applyBorder="1" applyAlignment="1" applyProtection="1">
      <alignment horizontal="left" vertical="center"/>
      <protection locked="0"/>
    </xf>
    <xf numFmtId="0" fontId="23" fillId="3" borderId="4" xfId="21" applyFont="1" applyFill="1" applyBorder="1" applyAlignment="1" applyProtection="1">
      <alignment horizontal="left" vertical="center"/>
      <protection locked="0"/>
    </xf>
    <xf numFmtId="0" fontId="23" fillId="3" borderId="23" xfId="21" applyFont="1" applyFill="1" applyBorder="1" applyAlignment="1" applyProtection="1">
      <alignment horizontal="left" vertical="center"/>
      <protection locked="0"/>
    </xf>
    <xf numFmtId="0" fontId="19" fillId="0" borderId="53" xfId="0" applyFont="1" applyBorder="1" applyAlignment="1" applyProtection="1">
      <alignment horizontal="justify" vertical="center" wrapText="1"/>
      <protection locked="0"/>
    </xf>
    <xf numFmtId="0" fontId="19" fillId="0" borderId="69" xfId="0" applyFont="1" applyBorder="1" applyAlignment="1" applyProtection="1">
      <alignment horizontal="justify" vertical="center" wrapText="1"/>
      <protection locked="0"/>
    </xf>
    <xf numFmtId="0" fontId="22" fillId="0" borderId="13" xfId="21" applyFont="1" applyBorder="1" applyAlignment="1" applyProtection="1">
      <alignment horizontal="justify" vertical="center"/>
      <protection locked="0"/>
    </xf>
    <xf numFmtId="0" fontId="22" fillId="0" borderId="14" xfId="21" applyFont="1" applyBorder="1" applyAlignment="1" applyProtection="1">
      <alignment horizontal="justify" vertical="center"/>
      <protection locked="0"/>
    </xf>
    <xf numFmtId="0" fontId="33" fillId="2" borderId="51" xfId="21" applyFont="1" applyFill="1" applyBorder="1" applyAlignment="1" applyProtection="1">
      <alignment vertical="center" wrapText="1"/>
      <protection locked="0"/>
    </xf>
    <xf numFmtId="0" fontId="33" fillId="2" borderId="13" xfId="21" applyFont="1" applyFill="1" applyBorder="1" applyAlignment="1" applyProtection="1">
      <alignment vertical="center" wrapText="1"/>
      <protection locked="0"/>
    </xf>
    <xf numFmtId="0" fontId="23" fillId="3" borderId="51" xfId="21" applyFont="1" applyFill="1" applyBorder="1" applyAlignment="1" applyProtection="1">
      <alignment horizontal="right" vertical="center"/>
      <protection locked="0"/>
    </xf>
    <xf numFmtId="0" fontId="23" fillId="3" borderId="13" xfId="21" applyFont="1" applyFill="1" applyBorder="1" applyAlignment="1" applyProtection="1">
      <alignment horizontal="right" vertical="center"/>
      <protection locked="0"/>
    </xf>
    <xf numFmtId="0" fontId="22" fillId="0" borderId="53" xfId="9" applyFont="1" applyBorder="1" applyAlignment="1" applyProtection="1">
      <alignment horizontal="justify" vertical="center" wrapText="1"/>
      <protection locked="0"/>
    </xf>
    <xf numFmtId="0" fontId="22" fillId="0" borderId="5" xfId="9" applyFont="1" applyBorder="1" applyAlignment="1" applyProtection="1">
      <alignment horizontal="justify" vertical="center" wrapText="1"/>
      <protection locked="0"/>
    </xf>
    <xf numFmtId="0" fontId="22" fillId="0" borderId="6" xfId="9" applyFont="1" applyBorder="1" applyAlignment="1" applyProtection="1">
      <alignment horizontal="justify" vertical="center" wrapText="1"/>
      <protection locked="0"/>
    </xf>
    <xf numFmtId="0" fontId="31" fillId="0" borderId="11" xfId="21" applyFont="1" applyBorder="1" applyAlignment="1" applyProtection="1">
      <alignment horizontal="justify" vertical="center" wrapText="1"/>
      <protection locked="0"/>
    </xf>
    <xf numFmtId="0" fontId="31" fillId="0" borderId="27" xfId="21" applyFont="1" applyBorder="1" applyAlignment="1" applyProtection="1">
      <alignment horizontal="justify" vertical="center" wrapText="1"/>
      <protection locked="0"/>
    </xf>
    <xf numFmtId="0" fontId="31" fillId="0" borderId="48" xfId="21" applyFont="1" applyBorder="1" applyAlignment="1" applyProtection="1">
      <alignment horizontal="justify" vertical="center" wrapText="1"/>
      <protection locked="0"/>
    </xf>
    <xf numFmtId="0" fontId="31" fillId="0" borderId="22" xfId="21" applyFont="1" applyBorder="1" applyAlignment="1" applyProtection="1">
      <alignment horizontal="justify" vertical="center"/>
      <protection locked="0"/>
    </xf>
    <xf numFmtId="0" fontId="31" fillId="0" borderId="12" xfId="21" applyFont="1" applyBorder="1" applyAlignment="1" applyProtection="1">
      <alignment horizontal="justify" vertical="center" wrapText="1"/>
      <protection locked="0"/>
    </xf>
    <xf numFmtId="0" fontId="31" fillId="0" borderId="36" xfId="21" applyFont="1" applyBorder="1" applyAlignment="1" applyProtection="1">
      <alignment horizontal="justify" vertical="center" wrapText="1"/>
      <protection locked="0"/>
    </xf>
    <xf numFmtId="0" fontId="30" fillId="0" borderId="20" xfId="21" applyFont="1" applyBorder="1" applyAlignment="1" applyProtection="1">
      <alignment horizontal="left" vertical="center" wrapText="1"/>
      <protection locked="0"/>
    </xf>
    <xf numFmtId="0" fontId="30" fillId="0" borderId="21" xfId="21" applyFont="1" applyBorder="1" applyAlignment="1" applyProtection="1">
      <alignment horizontal="left" vertical="center" wrapText="1"/>
      <protection locked="0"/>
    </xf>
    <xf numFmtId="0" fontId="30" fillId="0" borderId="35" xfId="21" applyFont="1" applyBorder="1" applyAlignment="1" applyProtection="1">
      <alignment horizontal="left" vertical="center" wrapText="1"/>
      <protection locked="0"/>
    </xf>
    <xf numFmtId="0" fontId="31" fillId="0" borderId="22" xfId="21" applyFont="1" applyBorder="1" applyAlignment="1" applyProtection="1">
      <alignment horizontal="left" vertical="center"/>
      <protection locked="0"/>
    </xf>
    <xf numFmtId="0" fontId="31" fillId="0" borderId="12" xfId="21" applyFont="1" applyBorder="1" applyAlignment="1" applyProtection="1">
      <alignment horizontal="left" vertical="center"/>
      <protection locked="0"/>
    </xf>
    <xf numFmtId="0" fontId="31" fillId="0" borderId="36" xfId="21" applyFont="1" applyBorder="1" applyAlignment="1" applyProtection="1">
      <alignment horizontal="left" vertical="center"/>
      <protection locked="0"/>
    </xf>
    <xf numFmtId="0" fontId="31" fillId="0" borderId="0" xfId="21" applyFont="1" applyAlignment="1" applyProtection="1">
      <alignment horizontal="justify" vertical="top"/>
      <protection locked="0"/>
    </xf>
    <xf numFmtId="0" fontId="31" fillId="0" borderId="48" xfId="21" applyFont="1" applyBorder="1" applyAlignment="1" applyProtection="1">
      <alignment horizontal="justify" vertical="top"/>
      <protection locked="0"/>
    </xf>
    <xf numFmtId="0" fontId="30" fillId="0" borderId="20" xfId="21" applyFont="1" applyBorder="1" applyAlignment="1" applyProtection="1">
      <alignment horizontal="left" vertical="center"/>
      <protection locked="0"/>
    </xf>
    <xf numFmtId="0" fontId="30" fillId="0" borderId="21" xfId="21" applyFont="1" applyBorder="1" applyAlignment="1" applyProtection="1">
      <alignment horizontal="left" vertical="center"/>
      <protection locked="0"/>
    </xf>
    <xf numFmtId="0" fontId="30" fillId="0" borderId="35" xfId="21" applyFont="1" applyBorder="1" applyAlignment="1" applyProtection="1">
      <alignment horizontal="left" vertical="center"/>
      <protection locked="0"/>
    </xf>
    <xf numFmtId="0" fontId="31" fillId="0" borderId="12" xfId="21" applyFont="1" applyBorder="1" applyAlignment="1" applyProtection="1">
      <alignment horizontal="justify" vertical="top"/>
      <protection locked="0"/>
    </xf>
    <xf numFmtId="0" fontId="31" fillId="0" borderId="36" xfId="21" applyFont="1" applyBorder="1" applyAlignment="1" applyProtection="1">
      <alignment horizontal="justify" vertical="top"/>
      <protection locked="0"/>
    </xf>
    <xf numFmtId="0" fontId="31" fillId="0" borderId="9" xfId="21" applyFont="1" applyBorder="1" applyAlignment="1" applyProtection="1">
      <alignment horizontal="left" vertical="center"/>
      <protection locked="0"/>
    </xf>
    <xf numFmtId="0" fontId="31" fillId="0" borderId="0" xfId="21" applyFont="1" applyAlignment="1" applyProtection="1">
      <alignment horizontal="left" vertical="center"/>
      <protection locked="0"/>
    </xf>
    <xf numFmtId="0" fontId="31" fillId="0" borderId="48" xfId="21" applyFont="1" applyBorder="1" applyAlignment="1" applyProtection="1">
      <alignment horizontal="left" vertical="center"/>
      <protection locked="0"/>
    </xf>
    <xf numFmtId="0" fontId="31" fillId="0" borderId="22" xfId="21" applyFont="1" applyBorder="1" applyAlignment="1" applyProtection="1">
      <alignment horizontal="left" wrapText="1"/>
      <protection locked="0"/>
    </xf>
    <xf numFmtId="0" fontId="31" fillId="0" borderId="12" xfId="21" applyFont="1" applyBorder="1" applyAlignment="1" applyProtection="1">
      <alignment horizontal="left"/>
      <protection locked="0"/>
    </xf>
    <xf numFmtId="0" fontId="31" fillId="0" borderId="36" xfId="21" applyFont="1" applyBorder="1" applyAlignment="1" applyProtection="1">
      <alignment horizontal="left"/>
      <protection locked="0"/>
    </xf>
    <xf numFmtId="0" fontId="31" fillId="0" borderId="38" xfId="21" applyFont="1" applyBorder="1" applyAlignment="1" applyProtection="1">
      <alignment horizontal="center" vertical="center"/>
      <protection locked="0"/>
    </xf>
    <xf numFmtId="0" fontId="19" fillId="0" borderId="4" xfId="0" applyFont="1" applyBorder="1" applyAlignment="1">
      <alignment horizontal="justify" vertical="top"/>
    </xf>
    <xf numFmtId="0" fontId="19" fillId="0" borderId="4" xfId="0" applyFont="1" applyBorder="1" applyAlignment="1">
      <alignment horizontal="justify" vertical="top" wrapText="1"/>
    </xf>
    <xf numFmtId="0" fontId="19" fillId="0" borderId="37" xfId="0" applyFont="1" applyBorder="1" applyAlignment="1">
      <alignment horizontal="justify" vertical="center" wrapText="1"/>
    </xf>
    <xf numFmtId="0" fontId="19" fillId="0" borderId="38" xfId="0" applyFont="1" applyBorder="1" applyAlignment="1">
      <alignment horizontal="justify" vertical="center" wrapText="1"/>
    </xf>
    <xf numFmtId="0" fontId="19" fillId="0" borderId="19" xfId="0" applyFont="1" applyBorder="1" applyAlignment="1">
      <alignment horizontal="justify" vertical="center" wrapText="1"/>
    </xf>
    <xf numFmtId="0" fontId="19" fillId="0" borderId="30" xfId="14" applyBorder="1" applyAlignment="1">
      <alignment horizontal="center" vertical="center"/>
    </xf>
    <xf numFmtId="0" fontId="19" fillId="0" borderId="16" xfId="14" applyBorder="1" applyAlignment="1">
      <alignment horizontal="center" vertical="center"/>
    </xf>
    <xf numFmtId="0" fontId="19" fillId="0" borderId="51" xfId="14" applyBorder="1" applyAlignment="1">
      <alignment horizontal="center" vertical="center"/>
    </xf>
    <xf numFmtId="0" fontId="19" fillId="0" borderId="31" xfId="14" applyBorder="1" applyAlignment="1">
      <alignment horizontal="center" vertical="center"/>
    </xf>
    <xf numFmtId="0" fontId="19" fillId="0" borderId="24" xfId="14" applyBorder="1" applyAlignment="1">
      <alignment horizontal="center" vertical="center"/>
    </xf>
    <xf numFmtId="0" fontId="19" fillId="0" borderId="4" xfId="14" applyBorder="1" applyAlignment="1">
      <alignment horizontal="center" vertical="center"/>
    </xf>
    <xf numFmtId="0" fontId="19" fillId="0" borderId="23" xfId="14" applyBorder="1" applyAlignment="1">
      <alignment horizontal="center" vertical="center"/>
    </xf>
    <xf numFmtId="0" fontId="19" fillId="0" borderId="13" xfId="14" applyBorder="1" applyAlignment="1">
      <alignment horizontal="center" vertical="center"/>
    </xf>
    <xf numFmtId="0" fontId="19" fillId="0" borderId="14" xfId="14" applyBorder="1" applyAlignment="1">
      <alignment horizontal="center" vertical="center"/>
    </xf>
    <xf numFmtId="0" fontId="20" fillId="5" borderId="4" xfId="0" applyFont="1" applyFill="1" applyBorder="1" applyAlignment="1">
      <alignment horizontal="left"/>
    </xf>
    <xf numFmtId="0" fontId="20" fillId="3" borderId="4" xfId="0" applyFont="1" applyFill="1" applyBorder="1" applyAlignment="1">
      <alignment horizontal="center" vertical="center" wrapText="1" readingOrder="1"/>
    </xf>
    <xf numFmtId="0" fontId="19" fillId="0" borderId="4" xfId="0" applyFont="1" applyBorder="1" applyAlignment="1">
      <alignment horizontal="justify" vertical="center" wrapText="1" readingOrder="1"/>
    </xf>
    <xf numFmtId="0" fontId="20" fillId="5" borderId="4" xfId="21" applyFont="1" applyFill="1" applyBorder="1" applyAlignment="1" applyProtection="1">
      <alignment horizontal="center" vertical="center"/>
      <protection locked="0"/>
    </xf>
    <xf numFmtId="0" fontId="30" fillId="5" borderId="7" xfId="21" applyFont="1" applyFill="1" applyBorder="1" applyAlignment="1" applyProtection="1">
      <alignment horizontal="center" vertical="center"/>
      <protection locked="0"/>
    </xf>
    <xf numFmtId="0" fontId="31" fillId="2" borderId="59" xfId="21" applyFont="1" applyFill="1" applyBorder="1" applyAlignment="1" applyProtection="1">
      <alignment horizontal="justify" vertical="top" wrapText="1"/>
      <protection locked="0"/>
    </xf>
    <xf numFmtId="0" fontId="31" fillId="2" borderId="29" xfId="21" applyFont="1" applyFill="1" applyBorder="1" applyAlignment="1" applyProtection="1">
      <alignment horizontal="justify" vertical="top"/>
      <protection locked="0"/>
    </xf>
    <xf numFmtId="0" fontId="31" fillId="2" borderId="60" xfId="21" applyFont="1" applyFill="1" applyBorder="1" applyAlignment="1" applyProtection="1">
      <alignment horizontal="justify" vertical="top"/>
      <protection locked="0"/>
    </xf>
    <xf numFmtId="0" fontId="31" fillId="2" borderId="50" xfId="21" applyFont="1" applyFill="1" applyBorder="1" applyAlignment="1" applyProtection="1">
      <alignment horizontal="justify" vertical="top" wrapText="1"/>
      <protection locked="0"/>
    </xf>
    <xf numFmtId="0" fontId="31" fillId="2" borderId="0" xfId="21" applyFont="1" applyFill="1" applyAlignment="1" applyProtection="1">
      <alignment horizontal="justify" vertical="top" wrapText="1"/>
      <protection locked="0"/>
    </xf>
    <xf numFmtId="0" fontId="31" fillId="2" borderId="47" xfId="21" applyFont="1" applyFill="1" applyBorder="1" applyAlignment="1" applyProtection="1">
      <alignment horizontal="justify" vertical="top" wrapText="1"/>
      <protection locked="0"/>
    </xf>
    <xf numFmtId="0" fontId="31" fillId="2" borderId="43" xfId="21" applyFont="1" applyFill="1" applyBorder="1" applyAlignment="1" applyProtection="1">
      <alignment horizontal="justify" vertical="center" wrapText="1"/>
      <protection locked="0"/>
    </xf>
    <xf numFmtId="0" fontId="31" fillId="2" borderId="17" xfId="21" applyFont="1" applyFill="1" applyBorder="1" applyAlignment="1" applyProtection="1">
      <alignment horizontal="justify" vertical="center"/>
      <protection locked="0"/>
    </xf>
    <xf numFmtId="0" fontId="31" fillId="2" borderId="44" xfId="21" applyFont="1" applyFill="1" applyBorder="1" applyAlignment="1" applyProtection="1">
      <alignment horizontal="justify" vertical="center"/>
      <protection locked="0"/>
    </xf>
    <xf numFmtId="0" fontId="30" fillId="5" borderId="4" xfId="21" applyFont="1" applyFill="1" applyBorder="1" applyAlignment="1" applyProtection="1">
      <alignment horizontal="center" vertical="center" wrapText="1"/>
      <protection locked="0"/>
    </xf>
    <xf numFmtId="0" fontId="31" fillId="2" borderId="59" xfId="21" applyFont="1" applyFill="1" applyBorder="1" applyAlignment="1" applyProtection="1">
      <alignment horizontal="justify" vertical="justify" wrapText="1"/>
      <protection locked="0"/>
    </xf>
    <xf numFmtId="0" fontId="31" fillId="2" borderId="29" xfId="21" applyFont="1" applyFill="1" applyBorder="1" applyAlignment="1" applyProtection="1">
      <alignment horizontal="justify" vertical="justify"/>
      <protection locked="0"/>
    </xf>
    <xf numFmtId="0" fontId="31" fillId="2" borderId="60" xfId="21" applyFont="1" applyFill="1" applyBorder="1" applyAlignment="1" applyProtection="1">
      <alignment horizontal="justify" vertical="justify"/>
      <protection locked="0"/>
    </xf>
    <xf numFmtId="0" fontId="31" fillId="2" borderId="43" xfId="21" applyFont="1" applyFill="1" applyBorder="1" applyAlignment="1" applyProtection="1">
      <alignment horizontal="justify" vertical="justify" wrapText="1"/>
      <protection locked="0"/>
    </xf>
    <xf numFmtId="0" fontId="31" fillId="2" borderId="17" xfId="21" applyFont="1" applyFill="1" applyBorder="1" applyAlignment="1" applyProtection="1">
      <alignment horizontal="justify" vertical="justify"/>
      <protection locked="0"/>
    </xf>
    <xf numFmtId="0" fontId="31" fillId="2" borderId="44" xfId="21" applyFont="1" applyFill="1" applyBorder="1" applyAlignment="1" applyProtection="1">
      <alignment horizontal="justify" vertical="justify"/>
      <protection locked="0"/>
    </xf>
    <xf numFmtId="0" fontId="31" fillId="2" borderId="37" xfId="58" applyFont="1" applyFill="1" applyBorder="1" applyAlignment="1" applyProtection="1">
      <alignment horizontal="left"/>
      <protection locked="0"/>
    </xf>
    <xf numFmtId="0" fontId="31" fillId="2" borderId="45" xfId="58" applyFont="1" applyFill="1" applyBorder="1" applyAlignment="1" applyProtection="1">
      <alignment horizontal="left"/>
      <protection locked="0"/>
    </xf>
    <xf numFmtId="0" fontId="31" fillId="3" borderId="13" xfId="58" applyFont="1" applyFill="1" applyBorder="1" applyAlignment="1" applyProtection="1">
      <alignment horizontal="center"/>
      <protection locked="0"/>
    </xf>
    <xf numFmtId="0" fontId="31" fillId="3" borderId="14" xfId="58" applyFont="1" applyFill="1" applyBorder="1" applyAlignment="1" applyProtection="1">
      <alignment horizontal="center"/>
      <protection locked="0"/>
    </xf>
    <xf numFmtId="0" fontId="46" fillId="0" borderId="10" xfId="58" applyFont="1" applyBorder="1" applyAlignment="1">
      <alignment horizontal="left" wrapText="1"/>
    </xf>
    <xf numFmtId="0" fontId="46" fillId="0" borderId="11" xfId="58" applyFont="1" applyBorder="1" applyAlignment="1">
      <alignment horizontal="left" wrapText="1"/>
    </xf>
    <xf numFmtId="0" fontId="46" fillId="0" borderId="27" xfId="58" applyFont="1" applyBorder="1" applyAlignment="1">
      <alignment horizontal="left" wrapText="1"/>
    </xf>
    <xf numFmtId="173" fontId="30" fillId="3" borderId="10" xfId="8" applyNumberFormat="1" applyFont="1" applyFill="1" applyBorder="1" applyAlignment="1" applyProtection="1">
      <alignment horizontal="left" vertical="center"/>
    </xf>
    <xf numFmtId="173" fontId="30" fillId="3" borderId="11" xfId="8" applyNumberFormat="1" applyFont="1" applyFill="1" applyBorder="1" applyAlignment="1" applyProtection="1">
      <alignment horizontal="left" vertical="center"/>
    </xf>
    <xf numFmtId="173" fontId="30" fillId="3" borderId="27" xfId="8" applyNumberFormat="1" applyFont="1" applyFill="1" applyBorder="1" applyAlignment="1" applyProtection="1">
      <alignment horizontal="left" vertical="center"/>
    </xf>
    <xf numFmtId="0" fontId="30" fillId="7" borderId="31" xfId="58" applyFont="1" applyFill="1" applyBorder="1" applyAlignment="1" applyProtection="1">
      <alignment horizontal="center" vertical="center" wrapText="1"/>
      <protection locked="0"/>
    </xf>
    <xf numFmtId="0" fontId="30" fillId="7" borderId="24" xfId="58" applyFont="1" applyFill="1" applyBorder="1" applyAlignment="1" applyProtection="1">
      <alignment horizontal="center" vertical="center" wrapText="1"/>
      <protection locked="0"/>
    </xf>
    <xf numFmtId="0" fontId="31" fillId="3" borderId="4" xfId="58" applyFont="1" applyFill="1" applyBorder="1" applyAlignment="1" applyProtection="1">
      <alignment horizontal="center"/>
      <protection locked="0"/>
    </xf>
    <xf numFmtId="0" fontId="31" fillId="3" borderId="23" xfId="58" applyFont="1" applyFill="1" applyBorder="1" applyAlignment="1" applyProtection="1">
      <alignment horizontal="center"/>
      <protection locked="0"/>
    </xf>
    <xf numFmtId="0" fontId="31" fillId="2" borderId="4" xfId="58" applyFont="1" applyFill="1" applyBorder="1" applyAlignment="1" applyProtection="1">
      <alignment horizontal="center"/>
      <protection locked="0"/>
    </xf>
    <xf numFmtId="0" fontId="31" fillId="2" borderId="23" xfId="58" applyFont="1" applyFill="1" applyBorder="1" applyAlignment="1" applyProtection="1">
      <alignment horizontal="center"/>
      <protection locked="0"/>
    </xf>
    <xf numFmtId="0" fontId="31" fillId="2" borderId="4" xfId="58" applyFont="1" applyFill="1" applyBorder="1" applyAlignment="1" applyProtection="1">
      <alignment horizontal="left"/>
      <protection locked="0"/>
    </xf>
    <xf numFmtId="0" fontId="31" fillId="2" borderId="23" xfId="58" applyFont="1" applyFill="1" applyBorder="1" applyAlignment="1" applyProtection="1">
      <alignment horizontal="left"/>
      <protection locked="0"/>
    </xf>
    <xf numFmtId="0" fontId="19" fillId="0" borderId="37" xfId="9" applyFont="1" applyBorder="1" applyAlignment="1" applyProtection="1">
      <alignment horizontal="center"/>
      <protection locked="0"/>
    </xf>
    <xf numFmtId="0" fontId="19" fillId="0" borderId="19" xfId="9" applyFont="1" applyBorder="1" applyAlignment="1" applyProtection="1">
      <alignment horizontal="center"/>
      <protection locked="0"/>
    </xf>
    <xf numFmtId="0" fontId="30" fillId="18" borderId="0" xfId="28" applyFont="1" applyFill="1" applyAlignment="1" applyProtection="1">
      <alignment horizontal="left" vertical="top" wrapText="1"/>
      <protection locked="0"/>
    </xf>
    <xf numFmtId="0" fontId="31" fillId="0" borderId="10" xfId="28" applyFont="1" applyBorder="1" applyAlignment="1" applyProtection="1">
      <alignment horizontal="justify" vertical="top" wrapText="1"/>
      <protection locked="0"/>
    </xf>
    <xf numFmtId="0" fontId="31" fillId="0" borderId="11" xfId="28" applyFont="1" applyBorder="1" applyAlignment="1" applyProtection="1">
      <alignment horizontal="justify" vertical="top" wrapText="1"/>
      <protection locked="0"/>
    </xf>
    <xf numFmtId="0" fontId="31" fillId="0" borderId="27" xfId="28" applyFont="1" applyBorder="1" applyAlignment="1" applyProtection="1">
      <alignment horizontal="justify" vertical="top" wrapText="1"/>
      <protection locked="0"/>
    </xf>
    <xf numFmtId="0" fontId="30" fillId="5" borderId="10" xfId="28" applyFont="1" applyFill="1" applyBorder="1" applyAlignment="1" applyProtection="1">
      <alignment horizontal="center"/>
      <protection locked="0"/>
    </xf>
    <xf numFmtId="0" fontId="30" fillId="5" borderId="11" xfId="28" applyFont="1" applyFill="1" applyBorder="1" applyAlignment="1" applyProtection="1">
      <alignment horizontal="center"/>
      <protection locked="0"/>
    </xf>
    <xf numFmtId="0" fontId="30" fillId="5" borderId="27" xfId="28" applyFont="1" applyFill="1" applyBorder="1" applyAlignment="1" applyProtection="1">
      <alignment horizontal="center"/>
      <protection locked="0"/>
    </xf>
  </cellXfs>
  <cellStyles count="77">
    <cellStyle name="Hipervínculo" xfId="57" builtinId="8"/>
    <cellStyle name="Millares [0]" xfId="64" builtinId="6"/>
    <cellStyle name="Millares [0] 2" xfId="1" xr:uid="{00000000-0005-0000-0000-000001000000}"/>
    <cellStyle name="Millares [0] 3" xfId="54" xr:uid="{00000000-0005-0000-0000-000002000000}"/>
    <cellStyle name="Millares [0] 4" xfId="69" xr:uid="{6E5A1216-DD1C-4ED5-B902-763AE76EC71A}"/>
    <cellStyle name="Millares 2" xfId="2" xr:uid="{00000000-0005-0000-0000-000003000000}"/>
    <cellStyle name="Millares 2 2" xfId="3" xr:uid="{00000000-0005-0000-0000-000004000000}"/>
    <cellStyle name="Millares 2 3" xfId="24" xr:uid="{00000000-0005-0000-0000-000005000000}"/>
    <cellStyle name="Millares 2 5 2" xfId="31" xr:uid="{00000000-0005-0000-0000-000006000000}"/>
    <cellStyle name="Millares 3" xfId="4" xr:uid="{00000000-0005-0000-0000-000007000000}"/>
    <cellStyle name="Millares 3 2" xfId="5" xr:uid="{00000000-0005-0000-0000-000008000000}"/>
    <cellStyle name="Millares 4" xfId="6" xr:uid="{00000000-0005-0000-0000-000009000000}"/>
    <cellStyle name="Millares 4 2" xfId="22" xr:uid="{00000000-0005-0000-0000-00000A000000}"/>
    <cellStyle name="Millares 5" xfId="46" xr:uid="{00000000-0005-0000-0000-00000B000000}"/>
    <cellStyle name="Moneda" xfId="7" builtinId="4"/>
    <cellStyle name="Moneda [0] 10" xfId="71" xr:uid="{970EED8F-A9A5-4920-AC30-E9A1DB1785CF}"/>
    <cellStyle name="Moneda [0] 2" xfId="23" xr:uid="{00000000-0005-0000-0000-00000D000000}"/>
    <cellStyle name="Moneda [0] 2 2" xfId="61" xr:uid="{8C0988C1-A224-4083-933B-042A1B6606F9}"/>
    <cellStyle name="Moneda [0] 3" xfId="26" xr:uid="{00000000-0005-0000-0000-00000E000000}"/>
    <cellStyle name="Moneda [0] 3 2" xfId="40" xr:uid="{00000000-0005-0000-0000-00000F000000}"/>
    <cellStyle name="Moneda [0] 4" xfId="29" xr:uid="{00000000-0005-0000-0000-000010000000}"/>
    <cellStyle name="Moneda [0] 5" xfId="43" xr:uid="{00000000-0005-0000-0000-000011000000}"/>
    <cellStyle name="Moneda [0] 6" xfId="53" xr:uid="{00000000-0005-0000-0000-000012000000}"/>
    <cellStyle name="Moneda [0] 7" xfId="56" xr:uid="{00000000-0005-0000-0000-000013000000}"/>
    <cellStyle name="Moneda [0] 8" xfId="63" xr:uid="{269ADC34-77CB-4B87-BABD-26A62A20E40C}"/>
    <cellStyle name="Moneda [0] 8 2" xfId="76" xr:uid="{42000CE4-0387-41DE-8E61-79E48432F44A}"/>
    <cellStyle name="Moneda [0] 9" xfId="68" xr:uid="{87A2A7A7-0A99-4CDD-A617-9D419C3383FB}"/>
    <cellStyle name="Moneda 10" xfId="72" xr:uid="{6BF623BC-209A-4572-BD8A-E2FBD3F8E93E}"/>
    <cellStyle name="Moneda 2" xfId="8" xr:uid="{00000000-0005-0000-0000-000014000000}"/>
    <cellStyle name="Moneda 3" xfId="19" xr:uid="{00000000-0005-0000-0000-000015000000}"/>
    <cellStyle name="Moneda 4" xfId="35" xr:uid="{00000000-0005-0000-0000-000016000000}"/>
    <cellStyle name="Moneda 5" xfId="37" xr:uid="{00000000-0005-0000-0000-000017000000}"/>
    <cellStyle name="Moneda 6" xfId="33" xr:uid="{00000000-0005-0000-0000-000018000000}"/>
    <cellStyle name="Moneda 7" xfId="49" xr:uid="{00000000-0005-0000-0000-000019000000}"/>
    <cellStyle name="Moneda 8" xfId="62" xr:uid="{24AE31BD-557C-4D2D-8F98-AE0190F26189}"/>
    <cellStyle name="Moneda 8 2" xfId="75" xr:uid="{D70B110A-9A8D-483F-B2DA-D251C69573B8}"/>
    <cellStyle name="Moneda 9" xfId="66" xr:uid="{C6722736-A25C-4F36-950B-43829368D860}"/>
    <cellStyle name="Normal" xfId="0" builtinId="0"/>
    <cellStyle name="Normal 10" xfId="34" xr:uid="{00000000-0005-0000-0000-00001B000000}"/>
    <cellStyle name="Normal 10 2 2" xfId="30" xr:uid="{00000000-0005-0000-0000-00001C000000}"/>
    <cellStyle name="Normal 11" xfId="36" xr:uid="{00000000-0005-0000-0000-00001D000000}"/>
    <cellStyle name="Normal 11 2" xfId="41" xr:uid="{00000000-0005-0000-0000-00001E000000}"/>
    <cellStyle name="Normal 11 3" xfId="58" xr:uid="{6392CAF9-AF54-409A-BAA5-BC18C8BF4DD9}"/>
    <cellStyle name="Normal 12" xfId="45" xr:uid="{00000000-0005-0000-0000-00001F000000}"/>
    <cellStyle name="Normal 13" xfId="48" xr:uid="{00000000-0005-0000-0000-000020000000}"/>
    <cellStyle name="Normal 14" xfId="52" xr:uid="{00000000-0005-0000-0000-000021000000}"/>
    <cellStyle name="Normal 15" xfId="55" xr:uid="{00000000-0005-0000-0000-000022000000}"/>
    <cellStyle name="Normal 16" xfId="60" xr:uid="{7583ADED-3097-4228-B4BC-1DADF7479CDD}"/>
    <cellStyle name="Normal 16 2" xfId="74" xr:uid="{E4D9CC51-3983-4D58-B599-5BD74C73B849}"/>
    <cellStyle name="Normal 17" xfId="65" xr:uid="{582BC5CD-F5EA-4955-83AB-3EDA344894FC}"/>
    <cellStyle name="Normal 17 2" xfId="73" xr:uid="{27EC5087-C364-425A-BF5F-F74E41424DF1}"/>
    <cellStyle name="Normal 18" xfId="70" xr:uid="{677E8335-B553-4B0A-B4D1-E9538E4EF98A}"/>
    <cellStyle name="Normal 2" xfId="9" xr:uid="{00000000-0005-0000-0000-000023000000}"/>
    <cellStyle name="Normal 2 2" xfId="10" xr:uid="{00000000-0005-0000-0000-000024000000}"/>
    <cellStyle name="Normal 2 3" xfId="50" xr:uid="{00000000-0005-0000-0000-000025000000}"/>
    <cellStyle name="Normal 3" xfId="11" xr:uid="{00000000-0005-0000-0000-000026000000}"/>
    <cellStyle name="Normal 4" xfId="12" xr:uid="{00000000-0005-0000-0000-000027000000}"/>
    <cellStyle name="Normal 4 2" xfId="27" xr:uid="{00000000-0005-0000-0000-000028000000}"/>
    <cellStyle name="Normal 5" xfId="13" xr:uid="{00000000-0005-0000-0000-000029000000}"/>
    <cellStyle name="Normal 5 2" xfId="21" xr:uid="{00000000-0005-0000-0000-00002A000000}"/>
    <cellStyle name="Normal 5 3" xfId="28" xr:uid="{00000000-0005-0000-0000-00002B000000}"/>
    <cellStyle name="Normal 6" xfId="18" xr:uid="{00000000-0005-0000-0000-00002C000000}"/>
    <cellStyle name="Normal 7" xfId="14" xr:uid="{00000000-0005-0000-0000-00002D000000}"/>
    <cellStyle name="Normal 8" xfId="25" xr:uid="{00000000-0005-0000-0000-00002E000000}"/>
    <cellStyle name="Normal 8 2" xfId="39" xr:uid="{00000000-0005-0000-0000-00002F000000}"/>
    <cellStyle name="Normal 8 3" xfId="44" xr:uid="{00000000-0005-0000-0000-000030000000}"/>
    <cellStyle name="Normal 9" xfId="15" xr:uid="{00000000-0005-0000-0000-000031000000}"/>
    <cellStyle name="Porcentaje" xfId="16" builtinId="5"/>
    <cellStyle name="Porcentaje 2" xfId="17" xr:uid="{00000000-0005-0000-0000-000033000000}"/>
    <cellStyle name="Porcentaje 2 3" xfId="32" xr:uid="{00000000-0005-0000-0000-000034000000}"/>
    <cellStyle name="Porcentaje 3" xfId="20" xr:uid="{00000000-0005-0000-0000-000035000000}"/>
    <cellStyle name="Porcentaje 4" xfId="38" xr:uid="{00000000-0005-0000-0000-000036000000}"/>
    <cellStyle name="Porcentaje 4 2" xfId="42" xr:uid="{00000000-0005-0000-0000-000037000000}"/>
    <cellStyle name="Porcentaje 4 3" xfId="59" xr:uid="{AB5EFD23-08D5-4605-AD45-37F169F41BA2}"/>
    <cellStyle name="Porcentaje 5" xfId="47" xr:uid="{00000000-0005-0000-0000-000038000000}"/>
    <cellStyle name="Porcentaje 6" xfId="51" xr:uid="{00000000-0005-0000-0000-000039000000}"/>
    <cellStyle name="Porcentaje 7" xfId="67" xr:uid="{F87A43D8-54F2-417B-8084-7FA637A15D49}"/>
  </cellStyles>
  <dxfs count="46">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EAFA50"/>
      <color rgb="FFD4D84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74.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externalLink" Target="externalLinks/externalLink4.xml"/><Relationship Id="rId63" Type="http://schemas.openxmlformats.org/officeDocument/2006/relationships/externalLink" Target="externalLinks/externalLink20.xml"/><Relationship Id="rId68" Type="http://schemas.openxmlformats.org/officeDocument/2006/relationships/externalLink" Target="externalLinks/externalLink25.xml"/><Relationship Id="rId84" Type="http://schemas.openxmlformats.org/officeDocument/2006/relationships/externalLink" Target="externalLinks/externalLink41.xml"/><Relationship Id="rId89" Type="http://schemas.openxmlformats.org/officeDocument/2006/relationships/externalLink" Target="externalLinks/externalLink46.xml"/><Relationship Id="rId112" Type="http://schemas.openxmlformats.org/officeDocument/2006/relationships/externalLink" Target="externalLinks/externalLink69.xml"/><Relationship Id="rId16" Type="http://schemas.openxmlformats.org/officeDocument/2006/relationships/worksheet" Target="worksheets/sheet16.xml"/><Relationship Id="rId107" Type="http://schemas.openxmlformats.org/officeDocument/2006/relationships/externalLink" Target="externalLinks/externalLink64.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externalLink" Target="externalLinks/externalLink10.xml"/><Relationship Id="rId58" Type="http://schemas.openxmlformats.org/officeDocument/2006/relationships/externalLink" Target="externalLinks/externalLink15.xml"/><Relationship Id="rId74" Type="http://schemas.openxmlformats.org/officeDocument/2006/relationships/externalLink" Target="externalLinks/externalLink31.xml"/><Relationship Id="rId79" Type="http://schemas.openxmlformats.org/officeDocument/2006/relationships/externalLink" Target="externalLinks/externalLink36.xml"/><Relationship Id="rId102" Type="http://schemas.openxmlformats.org/officeDocument/2006/relationships/externalLink" Target="externalLinks/externalLink59.xml"/><Relationship Id="rId123" Type="http://schemas.openxmlformats.org/officeDocument/2006/relationships/externalLink" Target="externalLinks/externalLink80.xml"/><Relationship Id="rId128"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externalLink" Target="externalLinks/externalLink47.xml"/><Relationship Id="rId95" Type="http://schemas.openxmlformats.org/officeDocument/2006/relationships/externalLink" Target="externalLinks/externalLink52.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externalLink" Target="externalLinks/externalLink5.xml"/><Relationship Id="rId64" Type="http://schemas.openxmlformats.org/officeDocument/2006/relationships/externalLink" Target="externalLinks/externalLink21.xml"/><Relationship Id="rId69" Type="http://schemas.openxmlformats.org/officeDocument/2006/relationships/externalLink" Target="externalLinks/externalLink26.xml"/><Relationship Id="rId113" Type="http://schemas.openxmlformats.org/officeDocument/2006/relationships/externalLink" Target="externalLinks/externalLink70.xml"/><Relationship Id="rId118" Type="http://schemas.openxmlformats.org/officeDocument/2006/relationships/externalLink" Target="externalLinks/externalLink75.xml"/><Relationship Id="rId80" Type="http://schemas.openxmlformats.org/officeDocument/2006/relationships/externalLink" Target="externalLinks/externalLink37.xml"/><Relationship Id="rId85" Type="http://schemas.openxmlformats.org/officeDocument/2006/relationships/externalLink" Target="externalLinks/externalLink42.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externalLink" Target="externalLinks/externalLink16.xml"/><Relationship Id="rId103" Type="http://schemas.openxmlformats.org/officeDocument/2006/relationships/externalLink" Target="externalLinks/externalLink60.xml"/><Relationship Id="rId108" Type="http://schemas.openxmlformats.org/officeDocument/2006/relationships/externalLink" Target="externalLinks/externalLink65.xml"/><Relationship Id="rId124" Type="http://schemas.openxmlformats.org/officeDocument/2006/relationships/externalLink" Target="externalLinks/externalLink81.xml"/><Relationship Id="rId129" Type="http://schemas.openxmlformats.org/officeDocument/2006/relationships/customXml" Target="../customXml/item1.xml"/><Relationship Id="rId54" Type="http://schemas.openxmlformats.org/officeDocument/2006/relationships/externalLink" Target="externalLinks/externalLink11.xml"/><Relationship Id="rId70" Type="http://schemas.openxmlformats.org/officeDocument/2006/relationships/externalLink" Target="externalLinks/externalLink27.xml"/><Relationship Id="rId75" Type="http://schemas.openxmlformats.org/officeDocument/2006/relationships/externalLink" Target="externalLinks/externalLink32.xml"/><Relationship Id="rId91" Type="http://schemas.openxmlformats.org/officeDocument/2006/relationships/externalLink" Target="externalLinks/externalLink48.xml"/><Relationship Id="rId96" Type="http://schemas.openxmlformats.org/officeDocument/2006/relationships/externalLink" Target="externalLinks/externalLink53.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externalLink" Target="externalLinks/externalLink6.xml"/><Relationship Id="rId114" Type="http://schemas.openxmlformats.org/officeDocument/2006/relationships/externalLink" Target="externalLinks/externalLink71.xml"/><Relationship Id="rId119" Type="http://schemas.openxmlformats.org/officeDocument/2006/relationships/externalLink" Target="externalLinks/externalLink76.xml"/><Relationship Id="rId44" Type="http://schemas.openxmlformats.org/officeDocument/2006/relationships/externalLink" Target="externalLinks/externalLink1.xml"/><Relationship Id="rId60" Type="http://schemas.openxmlformats.org/officeDocument/2006/relationships/externalLink" Target="externalLinks/externalLink17.xml"/><Relationship Id="rId65" Type="http://schemas.openxmlformats.org/officeDocument/2006/relationships/externalLink" Target="externalLinks/externalLink22.xml"/><Relationship Id="rId81" Type="http://schemas.openxmlformats.org/officeDocument/2006/relationships/externalLink" Target="externalLinks/externalLink38.xml"/><Relationship Id="rId86" Type="http://schemas.openxmlformats.org/officeDocument/2006/relationships/externalLink" Target="externalLinks/externalLink43.xml"/><Relationship Id="rId130" Type="http://schemas.openxmlformats.org/officeDocument/2006/relationships/customXml" Target="../customXml/item2.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66.xml"/><Relationship Id="rId34" Type="http://schemas.openxmlformats.org/officeDocument/2006/relationships/worksheet" Target="worksheets/sheet34.xml"/><Relationship Id="rId50" Type="http://schemas.openxmlformats.org/officeDocument/2006/relationships/externalLink" Target="externalLinks/externalLink7.xml"/><Relationship Id="rId55" Type="http://schemas.openxmlformats.org/officeDocument/2006/relationships/externalLink" Target="externalLinks/externalLink12.xml"/><Relationship Id="rId76" Type="http://schemas.openxmlformats.org/officeDocument/2006/relationships/externalLink" Target="externalLinks/externalLink33.xml"/><Relationship Id="rId97" Type="http://schemas.openxmlformats.org/officeDocument/2006/relationships/externalLink" Target="externalLinks/externalLink54.xml"/><Relationship Id="rId104" Type="http://schemas.openxmlformats.org/officeDocument/2006/relationships/externalLink" Target="externalLinks/externalLink61.xml"/><Relationship Id="rId120" Type="http://schemas.openxmlformats.org/officeDocument/2006/relationships/externalLink" Target="externalLinks/externalLink77.xml"/><Relationship Id="rId125" Type="http://schemas.openxmlformats.org/officeDocument/2006/relationships/theme" Target="theme/theme1.xml"/><Relationship Id="rId7" Type="http://schemas.openxmlformats.org/officeDocument/2006/relationships/worksheet" Target="worksheets/sheet7.xml"/><Relationship Id="rId71" Type="http://schemas.openxmlformats.org/officeDocument/2006/relationships/externalLink" Target="externalLinks/externalLink28.xml"/><Relationship Id="rId92" Type="http://schemas.openxmlformats.org/officeDocument/2006/relationships/externalLink" Target="externalLinks/externalLink49.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externalLink" Target="externalLinks/externalLink2.xml"/><Relationship Id="rId66" Type="http://schemas.openxmlformats.org/officeDocument/2006/relationships/externalLink" Target="externalLinks/externalLink23.xml"/><Relationship Id="rId87" Type="http://schemas.openxmlformats.org/officeDocument/2006/relationships/externalLink" Target="externalLinks/externalLink44.xml"/><Relationship Id="rId110" Type="http://schemas.openxmlformats.org/officeDocument/2006/relationships/externalLink" Target="externalLinks/externalLink67.xml"/><Relationship Id="rId115" Type="http://schemas.openxmlformats.org/officeDocument/2006/relationships/externalLink" Target="externalLinks/externalLink72.xml"/><Relationship Id="rId131" Type="http://schemas.openxmlformats.org/officeDocument/2006/relationships/customXml" Target="../customXml/item3.xml"/><Relationship Id="rId61" Type="http://schemas.openxmlformats.org/officeDocument/2006/relationships/externalLink" Target="externalLinks/externalLink18.xml"/><Relationship Id="rId82" Type="http://schemas.openxmlformats.org/officeDocument/2006/relationships/externalLink" Target="externalLinks/externalLink39.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externalLink" Target="externalLinks/externalLink13.xml"/><Relationship Id="rId77" Type="http://schemas.openxmlformats.org/officeDocument/2006/relationships/externalLink" Target="externalLinks/externalLink34.xml"/><Relationship Id="rId100" Type="http://schemas.openxmlformats.org/officeDocument/2006/relationships/externalLink" Target="externalLinks/externalLink57.xml"/><Relationship Id="rId105" Type="http://schemas.openxmlformats.org/officeDocument/2006/relationships/externalLink" Target="externalLinks/externalLink62.xml"/><Relationship Id="rId126"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externalLink" Target="externalLinks/externalLink8.xml"/><Relationship Id="rId72" Type="http://schemas.openxmlformats.org/officeDocument/2006/relationships/externalLink" Target="externalLinks/externalLink29.xml"/><Relationship Id="rId93" Type="http://schemas.openxmlformats.org/officeDocument/2006/relationships/externalLink" Target="externalLinks/externalLink50.xml"/><Relationship Id="rId98" Type="http://schemas.openxmlformats.org/officeDocument/2006/relationships/externalLink" Target="externalLinks/externalLink55.xml"/><Relationship Id="rId121" Type="http://schemas.openxmlformats.org/officeDocument/2006/relationships/externalLink" Target="externalLinks/externalLink7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3.xml"/><Relationship Id="rId67" Type="http://schemas.openxmlformats.org/officeDocument/2006/relationships/externalLink" Target="externalLinks/externalLink24.xml"/><Relationship Id="rId116" Type="http://schemas.openxmlformats.org/officeDocument/2006/relationships/externalLink" Target="externalLinks/externalLink73.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9.xml"/><Relationship Id="rId83" Type="http://schemas.openxmlformats.org/officeDocument/2006/relationships/externalLink" Target="externalLinks/externalLink40.xml"/><Relationship Id="rId88" Type="http://schemas.openxmlformats.org/officeDocument/2006/relationships/externalLink" Target="externalLinks/externalLink45.xml"/><Relationship Id="rId111" Type="http://schemas.openxmlformats.org/officeDocument/2006/relationships/externalLink" Target="externalLinks/externalLink68.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externalLink" Target="externalLinks/externalLink14.xml"/><Relationship Id="rId106" Type="http://schemas.openxmlformats.org/officeDocument/2006/relationships/externalLink" Target="externalLinks/externalLink63.xml"/><Relationship Id="rId127" Type="http://schemas.openxmlformats.org/officeDocument/2006/relationships/sharedStrings" Target="sharedStrings.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externalLink" Target="externalLinks/externalLink9.xml"/><Relationship Id="rId73" Type="http://schemas.openxmlformats.org/officeDocument/2006/relationships/externalLink" Target="externalLinks/externalLink30.xml"/><Relationship Id="rId78" Type="http://schemas.openxmlformats.org/officeDocument/2006/relationships/externalLink" Target="externalLinks/externalLink35.xml"/><Relationship Id="rId94" Type="http://schemas.openxmlformats.org/officeDocument/2006/relationships/externalLink" Target="externalLinks/externalLink51.xml"/><Relationship Id="rId99" Type="http://schemas.openxmlformats.org/officeDocument/2006/relationships/externalLink" Target="externalLinks/externalLink56.xml"/><Relationship Id="rId101" Type="http://schemas.openxmlformats.org/officeDocument/2006/relationships/externalLink" Target="externalLinks/externalLink58.xml"/><Relationship Id="rId122" Type="http://schemas.openxmlformats.org/officeDocument/2006/relationships/externalLink" Target="externalLinks/externalLink79.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1.emf"/></Relationships>
</file>

<file path=xl/drawings/_rels/drawing7.xml.rels><?xml version="1.0" encoding="UTF-8" standalone="yes"?>
<Relationships xmlns="http://schemas.openxmlformats.org/package/2006/relationships"><Relationship Id="rId1" Type="http://schemas.openxmlformats.org/officeDocument/2006/relationships/image" Target="../media/image1.emf"/></Relationships>
</file>

<file path=xl/drawings/_rels/drawing8.xml.rels><?xml version="1.0" encoding="UTF-8" standalone="yes"?>
<Relationships xmlns="http://schemas.openxmlformats.org/package/2006/relationships"><Relationship Id="rId1" Type="http://schemas.openxmlformats.org/officeDocument/2006/relationships/image" Target="../media/image1.emf"/></Relationships>
</file>

<file path=xl/drawings/_rels/drawing9.xml.rels><?xml version="1.0" encoding="UTF-8" standalone="yes"?>
<Relationships xmlns="http://schemas.openxmlformats.org/package/2006/relationships"><Relationship Id="rId1" Type="http://schemas.openxmlformats.org/officeDocument/2006/relationships/image" Target="../media/image1.emf"/></Relationships>
</file>

<file path=xl/drawings/_rels/drawing10.xml.rels><?xml version="1.0" encoding="UTF-8" standalone="yes"?>
<Relationships xmlns="http://schemas.openxmlformats.org/package/2006/relationships"><Relationship Id="rId1" Type="http://schemas.openxmlformats.org/officeDocument/2006/relationships/image" Target="../media/image1.emf"/></Relationships>
</file>

<file path=xl/drawings/_rels/drawing11.xml.rels><?xml version="1.0" encoding="UTF-8" standalone="yes"?>
<Relationships xmlns="http://schemas.openxmlformats.org/package/2006/relationships"><Relationship Id="rId1" Type="http://schemas.openxmlformats.org/officeDocument/2006/relationships/image" Target="../media/image1.emf"/></Relationships>
</file>

<file path=xl/drawings/_rels/drawing12.xml.rels><?xml version="1.0" encoding="UTF-8" standalone="yes"?>
<Relationships xmlns="http://schemas.openxmlformats.org/package/2006/relationships"><Relationship Id="rId1" Type="http://schemas.openxmlformats.org/officeDocument/2006/relationships/image" Target="../media/image1.emf"/></Relationships>
</file>

<file path=xl/drawings/_rels/drawing13.xml.rels><?xml version="1.0" encoding="UTF-8" standalone="yes"?>
<Relationships xmlns="http://schemas.openxmlformats.org/package/2006/relationships"><Relationship Id="rId1" Type="http://schemas.openxmlformats.org/officeDocument/2006/relationships/image" Target="../media/image1.emf"/></Relationships>
</file>

<file path=xl/drawings/_rels/drawing14.xml.rels><?xml version="1.0" encoding="UTF-8" standalone="yes"?>
<Relationships xmlns="http://schemas.openxmlformats.org/package/2006/relationships"><Relationship Id="rId1" Type="http://schemas.openxmlformats.org/officeDocument/2006/relationships/image" Target="../media/image1.emf"/></Relationships>
</file>

<file path=xl/drawings/_rels/drawing15.xml.rels><?xml version="1.0" encoding="UTF-8" standalone="yes"?>
<Relationships xmlns="http://schemas.openxmlformats.org/package/2006/relationships"><Relationship Id="rId1" Type="http://schemas.openxmlformats.org/officeDocument/2006/relationships/image" Target="../media/image1.emf"/></Relationships>
</file>

<file path=xl/drawings/_rels/drawing16.xml.rels><?xml version="1.0" encoding="UTF-8" standalone="yes"?>
<Relationships xmlns="http://schemas.openxmlformats.org/package/2006/relationships"><Relationship Id="rId1" Type="http://schemas.openxmlformats.org/officeDocument/2006/relationships/image" Target="../media/image1.emf"/></Relationships>
</file>

<file path=xl/drawings/_rels/drawing17.xml.rels><?xml version="1.0" encoding="UTF-8" standalone="yes"?>
<Relationships xmlns="http://schemas.openxmlformats.org/package/2006/relationships"><Relationship Id="rId1" Type="http://schemas.openxmlformats.org/officeDocument/2006/relationships/image" Target="../media/image1.emf"/></Relationships>
</file>

<file path=xl/drawings/_rels/drawing18.xml.rels><?xml version="1.0" encoding="UTF-8" standalone="yes"?>
<Relationships xmlns="http://schemas.openxmlformats.org/package/2006/relationships"><Relationship Id="rId1" Type="http://schemas.openxmlformats.org/officeDocument/2006/relationships/image" Target="../media/image1.emf"/></Relationships>
</file>

<file path=xl/drawings/_rels/drawing19.xml.rels><?xml version="1.0" encoding="UTF-8" standalone="yes"?>
<Relationships xmlns="http://schemas.openxmlformats.org/package/2006/relationships"><Relationship Id="rId1" Type="http://schemas.openxmlformats.org/officeDocument/2006/relationships/image" Target="../media/image1.emf"/></Relationships>
</file>

<file path=xl/drawings/_rels/drawing20.xml.rels><?xml version="1.0" encoding="UTF-8" standalone="yes"?>
<Relationships xmlns="http://schemas.openxmlformats.org/package/2006/relationships"><Relationship Id="rId1" Type="http://schemas.openxmlformats.org/officeDocument/2006/relationships/image" Target="../media/image1.emf"/></Relationships>
</file>

<file path=xl/drawings/_rels/drawing2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2.xml.rels><?xml version="1.0" encoding="UTF-8" standalone="yes"?>
<Relationships xmlns="http://schemas.openxmlformats.org/package/2006/relationships"><Relationship Id="rId1" Type="http://schemas.openxmlformats.org/officeDocument/2006/relationships/image" Target="../media/image1.emf"/></Relationships>
</file>

<file path=xl/drawings/_rels/drawing23.xml.rels><?xml version="1.0" encoding="UTF-8" standalone="yes"?>
<Relationships xmlns="http://schemas.openxmlformats.org/package/2006/relationships"><Relationship Id="rId1" Type="http://schemas.openxmlformats.org/officeDocument/2006/relationships/image" Target="../media/image1.emf"/></Relationships>
</file>

<file path=xl/drawings/_rels/drawing24.xml.rels><?xml version="1.0" encoding="UTF-8" standalone="yes"?>
<Relationships xmlns="http://schemas.openxmlformats.org/package/2006/relationships"><Relationship Id="rId1" Type="http://schemas.openxmlformats.org/officeDocument/2006/relationships/image" Target="../media/image1.emf"/></Relationships>
</file>

<file path=xl/drawings/_rels/drawing25.xml.rels><?xml version="1.0" encoding="UTF-8" standalone="yes"?>
<Relationships xmlns="http://schemas.openxmlformats.org/package/2006/relationships"><Relationship Id="rId1" Type="http://schemas.openxmlformats.org/officeDocument/2006/relationships/image" Target="../media/image1.emf"/></Relationships>
</file>

<file path=xl/drawings/_rels/drawing26.xml.rels><?xml version="1.0" encoding="UTF-8" standalone="yes"?>
<Relationships xmlns="http://schemas.openxmlformats.org/package/2006/relationships"><Relationship Id="rId1" Type="http://schemas.openxmlformats.org/officeDocument/2006/relationships/image" Target="../media/image1.emf"/></Relationships>
</file>

<file path=xl/drawings/_rels/drawing27.xml.rels><?xml version="1.0" encoding="UTF-8" standalone="yes"?>
<Relationships xmlns="http://schemas.openxmlformats.org/package/2006/relationships"><Relationship Id="rId1" Type="http://schemas.openxmlformats.org/officeDocument/2006/relationships/image" Target="../media/image1.emf"/></Relationships>
</file>

<file path=xl/drawings/_rels/drawing28.xml.rels><?xml version="1.0" encoding="UTF-8" standalone="yes"?>
<Relationships xmlns="http://schemas.openxmlformats.org/package/2006/relationships"><Relationship Id="rId1" Type="http://schemas.openxmlformats.org/officeDocument/2006/relationships/image" Target="../media/image1.emf"/></Relationships>
</file>

<file path=xl/drawings/_rels/drawing29.xml.rels><?xml version="1.0" encoding="UTF-8" standalone="yes"?>
<Relationships xmlns="http://schemas.openxmlformats.org/package/2006/relationships"><Relationship Id="rId1" Type="http://schemas.openxmlformats.org/officeDocument/2006/relationships/image" Target="../media/image1.emf"/></Relationships>
</file>

<file path=xl/drawings/_rels/drawing30.xml.rels><?xml version="1.0" encoding="UTF-8" standalone="yes"?>
<Relationships xmlns="http://schemas.openxmlformats.org/package/2006/relationships"><Relationship Id="rId1" Type="http://schemas.openxmlformats.org/officeDocument/2006/relationships/image" Target="../media/image1.emf"/></Relationships>
</file>

<file path=xl/drawings/_rels/drawing31.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emf"/></Relationships>
</file>

<file path=xl/drawings/_rels/drawing3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3.xml.rels><?xml version="1.0" encoding="UTF-8" standalone="yes"?>
<Relationships xmlns="http://schemas.openxmlformats.org/package/2006/relationships"><Relationship Id="rId1" Type="http://schemas.openxmlformats.org/officeDocument/2006/relationships/image" Target="../media/image1.emf"/></Relationships>
</file>

<file path=xl/drawings/_rels/drawing34.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238127</xdr:colOff>
      <xdr:row>0</xdr:row>
      <xdr:rowOff>0</xdr:rowOff>
    </xdr:from>
    <xdr:to>
      <xdr:col>1</xdr:col>
      <xdr:colOff>427384</xdr:colOff>
      <xdr:row>2</xdr:row>
      <xdr:rowOff>219074</xdr:rowOff>
    </xdr:to>
    <xdr:pic>
      <xdr:nvPicPr>
        <xdr:cNvPr id="2" name="Imagen 2">
          <a:extLst>
            <a:ext uri="{FF2B5EF4-FFF2-40B4-BE49-F238E27FC236}">
              <a16:creationId xmlns:a16="http://schemas.microsoft.com/office/drawing/2014/main" id="{00000000-0008-0000-0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061"/>
        <a:stretch/>
      </xdr:blipFill>
      <xdr:spPr bwMode="auto">
        <a:xfrm>
          <a:off x="238127" y="0"/>
          <a:ext cx="970307" cy="6762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1031081</xdr:colOff>
      <xdr:row>0</xdr:row>
      <xdr:rowOff>0</xdr:rowOff>
    </xdr:from>
    <xdr:to>
      <xdr:col>1</xdr:col>
      <xdr:colOff>485775</xdr:colOff>
      <xdr:row>2</xdr:row>
      <xdr:rowOff>276225</xdr:rowOff>
    </xdr:to>
    <xdr:pic>
      <xdr:nvPicPr>
        <xdr:cNvPr id="2" name="Imagen 2">
          <a:extLst>
            <a:ext uri="{FF2B5EF4-FFF2-40B4-BE49-F238E27FC236}">
              <a16:creationId xmlns:a16="http://schemas.microsoft.com/office/drawing/2014/main" id="{00000000-0008-0000-0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662"/>
        <a:stretch/>
      </xdr:blipFill>
      <xdr:spPr bwMode="auto">
        <a:xfrm>
          <a:off x="1031081" y="0"/>
          <a:ext cx="1178719"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1000125</xdr:colOff>
      <xdr:row>236</xdr:row>
      <xdr:rowOff>23812</xdr:rowOff>
    </xdr:from>
    <xdr:to>
      <xdr:col>8</xdr:col>
      <xdr:colOff>202724</xdr:colOff>
      <xdr:row>237</xdr:row>
      <xdr:rowOff>201453</xdr:rowOff>
    </xdr:to>
    <xdr:pic>
      <xdr:nvPicPr>
        <xdr:cNvPr id="3" name="Imagen 2">
          <a:extLst>
            <a:ext uri="{FF2B5EF4-FFF2-40B4-BE49-F238E27FC236}">
              <a16:creationId xmlns:a16="http://schemas.microsoft.com/office/drawing/2014/main" id="{E2770C7D-BDA2-0AEA-7A90-D6CB803BA70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322594" y="21300281"/>
          <a:ext cx="1691005" cy="403860"/>
        </a:xfrm>
        <a:prstGeom prst="rect">
          <a:avLst/>
        </a:prstGeom>
      </xdr:spPr>
    </xdr:pic>
    <xdr:clientData/>
  </xdr:twoCellAnchor>
  <xdr:twoCellAnchor>
    <xdr:from>
      <xdr:col>1</xdr:col>
      <xdr:colOff>607218</xdr:colOff>
      <xdr:row>235</xdr:row>
      <xdr:rowOff>71438</xdr:rowOff>
    </xdr:from>
    <xdr:to>
      <xdr:col>2</xdr:col>
      <xdr:colOff>380999</xdr:colOff>
      <xdr:row>240</xdr:row>
      <xdr:rowOff>35718</xdr:rowOff>
    </xdr:to>
    <xdr:grpSp>
      <xdr:nvGrpSpPr>
        <xdr:cNvPr id="4" name="Group 55">
          <a:extLst>
            <a:ext uri="{FF2B5EF4-FFF2-40B4-BE49-F238E27FC236}">
              <a16:creationId xmlns:a16="http://schemas.microsoft.com/office/drawing/2014/main" id="{B4EA3B33-D901-F77C-A4AB-7C543BFD2DFC}"/>
            </a:ext>
          </a:extLst>
        </xdr:cNvPr>
        <xdr:cNvGrpSpPr>
          <a:grpSpLocks/>
        </xdr:cNvGrpSpPr>
      </xdr:nvGrpSpPr>
      <xdr:grpSpPr>
        <a:xfrm>
          <a:off x="2333624" y="21121688"/>
          <a:ext cx="1238250" cy="1095374"/>
          <a:chOff x="0" y="0"/>
          <a:chExt cx="390700" cy="435630"/>
        </a:xfrm>
      </xdr:grpSpPr>
      <xdr:pic>
        <xdr:nvPicPr>
          <xdr:cNvPr id="5" name="Image 56">
            <a:extLst>
              <a:ext uri="{FF2B5EF4-FFF2-40B4-BE49-F238E27FC236}">
                <a16:creationId xmlns:a16="http://schemas.microsoft.com/office/drawing/2014/main" id="{452F0DEC-5131-D020-FB73-5ADEF6EABE78}"/>
              </a:ext>
            </a:extLst>
          </xdr:cNvPr>
          <xdr:cNvPicPr/>
        </xdr:nvPicPr>
        <xdr:blipFill>
          <a:blip xmlns:r="http://schemas.openxmlformats.org/officeDocument/2006/relationships" r:embed="rId3" cstate="print"/>
          <a:stretch>
            <a:fillRect/>
          </a:stretch>
        </xdr:blipFill>
        <xdr:spPr>
          <a:xfrm>
            <a:off x="0" y="0"/>
            <a:ext cx="390700" cy="435630"/>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475538</xdr:colOff>
      <xdr:row>0</xdr:row>
      <xdr:rowOff>30727</xdr:rowOff>
    </xdr:from>
    <xdr:to>
      <xdr:col>0</xdr:col>
      <xdr:colOff>1533525</xdr:colOff>
      <xdr:row>2</xdr:row>
      <xdr:rowOff>225698</xdr:rowOff>
    </xdr:to>
    <xdr:pic>
      <xdr:nvPicPr>
        <xdr:cNvPr id="2" name="Imagen 2">
          <a:extLst>
            <a:ext uri="{FF2B5EF4-FFF2-40B4-BE49-F238E27FC236}">
              <a16:creationId xmlns:a16="http://schemas.microsoft.com/office/drawing/2014/main" id="{00000000-0008-0000-03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705"/>
        <a:stretch/>
      </xdr:blipFill>
      <xdr:spPr bwMode="auto">
        <a:xfrm>
          <a:off x="475538" y="30727"/>
          <a:ext cx="1057987" cy="6902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275304</xdr:colOff>
      <xdr:row>0</xdr:row>
      <xdr:rowOff>0</xdr:rowOff>
    </xdr:from>
    <xdr:to>
      <xdr:col>0</xdr:col>
      <xdr:colOff>1304925</xdr:colOff>
      <xdr:row>2</xdr:row>
      <xdr:rowOff>234122</xdr:rowOff>
    </xdr:to>
    <xdr:pic>
      <xdr:nvPicPr>
        <xdr:cNvPr id="2" name="Imagen 2">
          <a:extLst>
            <a:ext uri="{FF2B5EF4-FFF2-40B4-BE49-F238E27FC236}">
              <a16:creationId xmlns:a16="http://schemas.microsoft.com/office/drawing/2014/main" id="{00000000-0008-0000-04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104"/>
        <a:stretch/>
      </xdr:blipFill>
      <xdr:spPr bwMode="auto">
        <a:xfrm>
          <a:off x="275304" y="0"/>
          <a:ext cx="1029621" cy="729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1293707</xdr:colOff>
      <xdr:row>0</xdr:row>
      <xdr:rowOff>9260</xdr:rowOff>
    </xdr:from>
    <xdr:to>
      <xdr:col>1</xdr:col>
      <xdr:colOff>702470</xdr:colOff>
      <xdr:row>2</xdr:row>
      <xdr:rowOff>212712</xdr:rowOff>
    </xdr:to>
    <xdr:pic>
      <xdr:nvPicPr>
        <xdr:cNvPr id="2" name="Imagen 2">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333"/>
        <a:stretch/>
      </xdr:blipFill>
      <xdr:spPr bwMode="auto">
        <a:xfrm>
          <a:off x="1293707" y="9260"/>
          <a:ext cx="1182794" cy="7630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628650</xdr:colOff>
      <xdr:row>0</xdr:row>
      <xdr:rowOff>9525</xdr:rowOff>
    </xdr:from>
    <xdr:to>
      <xdr:col>0</xdr:col>
      <xdr:colOff>1724026</xdr:colOff>
      <xdr:row>2</xdr:row>
      <xdr:rowOff>235872</xdr:rowOff>
    </xdr:to>
    <xdr:pic>
      <xdr:nvPicPr>
        <xdr:cNvPr id="2" name="Imagen 2">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414"/>
        <a:stretch/>
      </xdr:blipFill>
      <xdr:spPr bwMode="auto">
        <a:xfrm>
          <a:off x="628650" y="9525"/>
          <a:ext cx="1095376" cy="7216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560918</xdr:colOff>
      <xdr:row>0</xdr:row>
      <xdr:rowOff>0</xdr:rowOff>
    </xdr:from>
    <xdr:to>
      <xdr:col>0</xdr:col>
      <xdr:colOff>1576917</xdr:colOff>
      <xdr:row>2</xdr:row>
      <xdr:rowOff>216137</xdr:rowOff>
    </xdr:to>
    <xdr:pic>
      <xdr:nvPicPr>
        <xdr:cNvPr id="4" name="Imagen 2">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333"/>
        <a:stretch/>
      </xdr:blipFill>
      <xdr:spPr bwMode="auto">
        <a:xfrm>
          <a:off x="560918" y="0"/>
          <a:ext cx="1015999" cy="6818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1068915</xdr:colOff>
      <xdr:row>0</xdr:row>
      <xdr:rowOff>0</xdr:rowOff>
    </xdr:from>
    <xdr:to>
      <xdr:col>2</xdr:col>
      <xdr:colOff>95250</xdr:colOff>
      <xdr:row>2</xdr:row>
      <xdr:rowOff>216137</xdr:rowOff>
    </xdr:to>
    <xdr:pic>
      <xdr:nvPicPr>
        <xdr:cNvPr id="2" name="Imagen 2">
          <a:extLst>
            <a:ext uri="{FF2B5EF4-FFF2-40B4-BE49-F238E27FC236}">
              <a16:creationId xmlns:a16="http://schemas.microsoft.com/office/drawing/2014/main" id="{00000000-0008-0000-08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1942"/>
        <a:stretch/>
      </xdr:blipFill>
      <xdr:spPr bwMode="auto">
        <a:xfrm>
          <a:off x="1068915" y="0"/>
          <a:ext cx="994835" cy="6818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628649</xdr:colOff>
      <xdr:row>0</xdr:row>
      <xdr:rowOff>0</xdr:rowOff>
    </xdr:from>
    <xdr:to>
      <xdr:col>0</xdr:col>
      <xdr:colOff>1533525</xdr:colOff>
      <xdr:row>2</xdr:row>
      <xdr:rowOff>186257</xdr:rowOff>
    </xdr:to>
    <xdr:pic>
      <xdr:nvPicPr>
        <xdr:cNvPr id="2" name="Imagen 1">
          <a:extLst>
            <a:ext uri="{FF2B5EF4-FFF2-40B4-BE49-F238E27FC236}">
              <a16:creationId xmlns:a16="http://schemas.microsoft.com/office/drawing/2014/main" id="{00000000-0008-0000-0A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350"/>
        <a:stretch/>
      </xdr:blipFill>
      <xdr:spPr bwMode="auto">
        <a:xfrm>
          <a:off x="628649" y="0"/>
          <a:ext cx="904876" cy="6434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334928</xdr:colOff>
      <xdr:row>0</xdr:row>
      <xdr:rowOff>0</xdr:rowOff>
    </xdr:from>
    <xdr:to>
      <xdr:col>3</xdr:col>
      <xdr:colOff>933061</xdr:colOff>
      <xdr:row>2</xdr:row>
      <xdr:rowOff>202145</xdr:rowOff>
    </xdr:to>
    <xdr:pic>
      <xdr:nvPicPr>
        <xdr:cNvPr id="2" name="Imagen 1">
          <a:extLst>
            <a:ext uri="{FF2B5EF4-FFF2-40B4-BE49-F238E27FC236}">
              <a16:creationId xmlns:a16="http://schemas.microsoft.com/office/drawing/2014/main" id="{00000000-0008-0000-0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872"/>
        <a:stretch/>
      </xdr:blipFill>
      <xdr:spPr bwMode="auto">
        <a:xfrm>
          <a:off x="334928" y="0"/>
          <a:ext cx="1025786" cy="6686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1133476</xdr:colOff>
      <xdr:row>0</xdr:row>
      <xdr:rowOff>0</xdr:rowOff>
    </xdr:from>
    <xdr:to>
      <xdr:col>1</xdr:col>
      <xdr:colOff>466726</xdr:colOff>
      <xdr:row>2</xdr:row>
      <xdr:rowOff>190928</xdr:rowOff>
    </xdr:to>
    <xdr:pic>
      <xdr:nvPicPr>
        <xdr:cNvPr id="2" name="Imagen 2">
          <a:extLst>
            <a:ext uri="{FF2B5EF4-FFF2-40B4-BE49-F238E27FC236}">
              <a16:creationId xmlns:a16="http://schemas.microsoft.com/office/drawing/2014/main" id="{00000000-0008-0000-0D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012"/>
        <a:stretch/>
      </xdr:blipFill>
      <xdr:spPr bwMode="auto">
        <a:xfrm>
          <a:off x="1133476" y="0"/>
          <a:ext cx="933450" cy="6481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801158</xdr:colOff>
      <xdr:row>0</xdr:row>
      <xdr:rowOff>0</xdr:rowOff>
    </xdr:from>
    <xdr:to>
      <xdr:col>1</xdr:col>
      <xdr:colOff>419100</xdr:colOff>
      <xdr:row>2</xdr:row>
      <xdr:rowOff>213012</xdr:rowOff>
    </xdr:to>
    <xdr:pic>
      <xdr:nvPicPr>
        <xdr:cNvPr id="2" name="Imagen 2">
          <a:extLst>
            <a:ext uri="{FF2B5EF4-FFF2-40B4-BE49-F238E27FC236}">
              <a16:creationId xmlns:a16="http://schemas.microsoft.com/office/drawing/2014/main" id="{00000000-0008-0000-0E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652"/>
        <a:stretch/>
      </xdr:blipFill>
      <xdr:spPr bwMode="auto">
        <a:xfrm>
          <a:off x="801158" y="0"/>
          <a:ext cx="913342" cy="6702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209550</xdr:colOff>
      <xdr:row>0</xdr:row>
      <xdr:rowOff>0</xdr:rowOff>
    </xdr:from>
    <xdr:to>
      <xdr:col>0</xdr:col>
      <xdr:colOff>1238250</xdr:colOff>
      <xdr:row>2</xdr:row>
      <xdr:rowOff>225970</xdr:rowOff>
    </xdr:to>
    <xdr:pic>
      <xdr:nvPicPr>
        <xdr:cNvPr id="2" name="Imagen 2">
          <a:extLst>
            <a:ext uri="{FF2B5EF4-FFF2-40B4-BE49-F238E27FC236}">
              <a16:creationId xmlns:a16="http://schemas.microsoft.com/office/drawing/2014/main" id="{00000000-0008-0000-0F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547"/>
        <a:stretch/>
      </xdr:blipFill>
      <xdr:spPr bwMode="auto">
        <a:xfrm>
          <a:off x="209550" y="0"/>
          <a:ext cx="1028700" cy="7212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10</xdr:row>
      <xdr:rowOff>38100</xdr:rowOff>
    </xdr:from>
    <xdr:to>
      <xdr:col>1</xdr:col>
      <xdr:colOff>0</xdr:colOff>
      <xdr:row>10</xdr:row>
      <xdr:rowOff>628650</xdr:rowOff>
    </xdr:to>
    <xdr:cxnSp macro="">
      <xdr:nvCxnSpPr>
        <xdr:cNvPr id="2" name="1 Conector recto">
          <a:extLst>
            <a:ext uri="{FF2B5EF4-FFF2-40B4-BE49-F238E27FC236}">
              <a16:creationId xmlns:a16="http://schemas.microsoft.com/office/drawing/2014/main" id="{00000000-0008-0000-1000-000002000000}"/>
            </a:ext>
          </a:extLst>
        </xdr:cNvPr>
        <xdr:cNvCxnSpPr/>
      </xdr:nvCxnSpPr>
      <xdr:spPr>
        <a:xfrm flipV="1">
          <a:off x="0" y="3000375"/>
          <a:ext cx="1762125" cy="59055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twoCellAnchor editAs="oneCell">
    <xdr:from>
      <xdr:col>0</xdr:col>
      <xdr:colOff>1278466</xdr:colOff>
      <xdr:row>0</xdr:row>
      <xdr:rowOff>0</xdr:rowOff>
    </xdr:from>
    <xdr:to>
      <xdr:col>1</xdr:col>
      <xdr:colOff>476250</xdr:colOff>
      <xdr:row>2</xdr:row>
      <xdr:rowOff>204496</xdr:rowOff>
    </xdr:to>
    <xdr:pic>
      <xdr:nvPicPr>
        <xdr:cNvPr id="4" name="Imagen 2">
          <a:extLst>
            <a:ext uri="{FF2B5EF4-FFF2-40B4-BE49-F238E27FC236}">
              <a16:creationId xmlns:a16="http://schemas.microsoft.com/office/drawing/2014/main" id="{00000000-0008-0000-1000-000004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845"/>
        <a:stretch/>
      </xdr:blipFill>
      <xdr:spPr bwMode="auto">
        <a:xfrm>
          <a:off x="1278466" y="0"/>
          <a:ext cx="965201" cy="6913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18</xdr:row>
      <xdr:rowOff>38100</xdr:rowOff>
    </xdr:from>
    <xdr:to>
      <xdr:col>1</xdr:col>
      <xdr:colOff>0</xdr:colOff>
      <xdr:row>18</xdr:row>
      <xdr:rowOff>628650</xdr:rowOff>
    </xdr:to>
    <xdr:cxnSp macro="">
      <xdr:nvCxnSpPr>
        <xdr:cNvPr id="5" name="1 Conector recto">
          <a:extLst>
            <a:ext uri="{FF2B5EF4-FFF2-40B4-BE49-F238E27FC236}">
              <a16:creationId xmlns:a16="http://schemas.microsoft.com/office/drawing/2014/main" id="{00000000-0008-0000-1000-000005000000}"/>
            </a:ext>
          </a:extLst>
        </xdr:cNvPr>
        <xdr:cNvCxnSpPr/>
      </xdr:nvCxnSpPr>
      <xdr:spPr>
        <a:xfrm flipV="1">
          <a:off x="0" y="2916767"/>
          <a:ext cx="1767417" cy="590550"/>
        </a:xfrm>
        <a:prstGeom prst="line">
          <a:avLst/>
        </a:prstGeom>
      </xdr:spPr>
      <xdr:style>
        <a:lnRef idx="2">
          <a:schemeClr val="dk1"/>
        </a:lnRef>
        <a:fillRef idx="0">
          <a:schemeClr val="dk1"/>
        </a:fillRef>
        <a:effectRef idx="1">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103716</xdr:colOff>
      <xdr:row>0</xdr:row>
      <xdr:rowOff>28575</xdr:rowOff>
    </xdr:from>
    <xdr:to>
      <xdr:col>1</xdr:col>
      <xdr:colOff>1051348</xdr:colOff>
      <xdr:row>2</xdr:row>
      <xdr:rowOff>238125</xdr:rowOff>
    </xdr:to>
    <xdr:pic>
      <xdr:nvPicPr>
        <xdr:cNvPr id="2" name="Imagen 2">
          <a:extLst>
            <a:ext uri="{FF2B5EF4-FFF2-40B4-BE49-F238E27FC236}">
              <a16:creationId xmlns:a16="http://schemas.microsoft.com/office/drawing/2014/main" id="{00000000-0008-0000-1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992"/>
        <a:stretch/>
      </xdr:blipFill>
      <xdr:spPr bwMode="auto">
        <a:xfrm>
          <a:off x="1180041" y="28575"/>
          <a:ext cx="947632"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609600</xdr:colOff>
      <xdr:row>0</xdr:row>
      <xdr:rowOff>0</xdr:rowOff>
    </xdr:from>
    <xdr:to>
      <xdr:col>0</xdr:col>
      <xdr:colOff>1590676</xdr:colOff>
      <xdr:row>2</xdr:row>
      <xdr:rowOff>211865</xdr:rowOff>
    </xdr:to>
    <xdr:pic>
      <xdr:nvPicPr>
        <xdr:cNvPr id="2" name="Imagen 2">
          <a:extLst>
            <a:ext uri="{FF2B5EF4-FFF2-40B4-BE49-F238E27FC236}">
              <a16:creationId xmlns:a16="http://schemas.microsoft.com/office/drawing/2014/main" id="{00000000-0008-0000-12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186"/>
        <a:stretch/>
      </xdr:blipFill>
      <xdr:spPr bwMode="auto">
        <a:xfrm>
          <a:off x="609600" y="0"/>
          <a:ext cx="981076" cy="6690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619126</xdr:colOff>
      <xdr:row>0</xdr:row>
      <xdr:rowOff>0</xdr:rowOff>
    </xdr:from>
    <xdr:to>
      <xdr:col>0</xdr:col>
      <xdr:colOff>1514476</xdr:colOff>
      <xdr:row>2</xdr:row>
      <xdr:rowOff>205794</xdr:rowOff>
    </xdr:to>
    <xdr:pic>
      <xdr:nvPicPr>
        <xdr:cNvPr id="2" name="Imagen 2">
          <a:extLst>
            <a:ext uri="{FF2B5EF4-FFF2-40B4-BE49-F238E27FC236}">
              <a16:creationId xmlns:a16="http://schemas.microsoft.com/office/drawing/2014/main" id="{00000000-0008-0000-13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848"/>
        <a:stretch/>
      </xdr:blipFill>
      <xdr:spPr bwMode="auto">
        <a:xfrm>
          <a:off x="619126" y="0"/>
          <a:ext cx="895350" cy="6629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542926</xdr:colOff>
      <xdr:row>0</xdr:row>
      <xdr:rowOff>0</xdr:rowOff>
    </xdr:from>
    <xdr:to>
      <xdr:col>1</xdr:col>
      <xdr:colOff>819151</xdr:colOff>
      <xdr:row>2</xdr:row>
      <xdr:rowOff>200196</xdr:rowOff>
    </xdr:to>
    <xdr:pic>
      <xdr:nvPicPr>
        <xdr:cNvPr id="2" name="Imagen 2">
          <a:extLst>
            <a:ext uri="{FF2B5EF4-FFF2-40B4-BE49-F238E27FC236}">
              <a16:creationId xmlns:a16="http://schemas.microsoft.com/office/drawing/2014/main" id="{00000000-0008-0000-14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378"/>
        <a:stretch/>
      </xdr:blipFill>
      <xdr:spPr bwMode="auto">
        <a:xfrm>
          <a:off x="542926" y="0"/>
          <a:ext cx="895350" cy="657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485775</xdr:colOff>
      <xdr:row>0</xdr:row>
      <xdr:rowOff>0</xdr:rowOff>
    </xdr:from>
    <xdr:to>
      <xdr:col>1</xdr:col>
      <xdr:colOff>733425</xdr:colOff>
      <xdr:row>2</xdr:row>
      <xdr:rowOff>200196</xdr:rowOff>
    </xdr:to>
    <xdr:pic>
      <xdr:nvPicPr>
        <xdr:cNvPr id="3" name="Imagen 2">
          <a:extLst>
            <a:ext uri="{FF2B5EF4-FFF2-40B4-BE49-F238E27FC236}">
              <a16:creationId xmlns:a16="http://schemas.microsoft.com/office/drawing/2014/main" id="{00000000-0008-0000-1500-000003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6154"/>
        <a:stretch/>
      </xdr:blipFill>
      <xdr:spPr bwMode="auto">
        <a:xfrm>
          <a:off x="485775" y="0"/>
          <a:ext cx="866775" cy="6573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381000</xdr:colOff>
      <xdr:row>0</xdr:row>
      <xdr:rowOff>0</xdr:rowOff>
    </xdr:from>
    <xdr:to>
      <xdr:col>0</xdr:col>
      <xdr:colOff>1433017</xdr:colOff>
      <xdr:row>2</xdr:row>
      <xdr:rowOff>200025</xdr:rowOff>
    </xdr:to>
    <xdr:pic>
      <xdr:nvPicPr>
        <xdr:cNvPr id="2" name="Imagen 1">
          <a:extLst>
            <a:ext uri="{FF2B5EF4-FFF2-40B4-BE49-F238E27FC236}">
              <a16:creationId xmlns:a16="http://schemas.microsoft.com/office/drawing/2014/main" id="{00000000-0008-0000-16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461" b="1565"/>
        <a:stretch/>
      </xdr:blipFill>
      <xdr:spPr bwMode="auto">
        <a:xfrm>
          <a:off x="381000" y="0"/>
          <a:ext cx="1052017"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384175</xdr:colOff>
      <xdr:row>0</xdr:row>
      <xdr:rowOff>0</xdr:rowOff>
    </xdr:from>
    <xdr:to>
      <xdr:col>0</xdr:col>
      <xdr:colOff>1552574</xdr:colOff>
      <xdr:row>2</xdr:row>
      <xdr:rowOff>222722</xdr:rowOff>
    </xdr:to>
    <xdr:pic>
      <xdr:nvPicPr>
        <xdr:cNvPr id="2" name="Imagen 1">
          <a:extLst>
            <a:ext uri="{FF2B5EF4-FFF2-40B4-BE49-F238E27FC236}">
              <a16:creationId xmlns:a16="http://schemas.microsoft.com/office/drawing/2014/main" id="{00000000-0008-0000-17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226"/>
        <a:stretch/>
      </xdr:blipFill>
      <xdr:spPr bwMode="auto">
        <a:xfrm>
          <a:off x="384175" y="0"/>
          <a:ext cx="1168399" cy="7180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584200</xdr:colOff>
      <xdr:row>0</xdr:row>
      <xdr:rowOff>0</xdr:rowOff>
    </xdr:from>
    <xdr:to>
      <xdr:col>1</xdr:col>
      <xdr:colOff>104775</xdr:colOff>
      <xdr:row>2</xdr:row>
      <xdr:rowOff>231099</xdr:rowOff>
    </xdr:to>
    <xdr:pic>
      <xdr:nvPicPr>
        <xdr:cNvPr id="2" name="Imagen 1">
          <a:extLst>
            <a:ext uri="{FF2B5EF4-FFF2-40B4-BE49-F238E27FC236}">
              <a16:creationId xmlns:a16="http://schemas.microsoft.com/office/drawing/2014/main" id="{00000000-0008-0000-18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5692"/>
        <a:stretch/>
      </xdr:blipFill>
      <xdr:spPr bwMode="auto">
        <a:xfrm>
          <a:off x="584200" y="0"/>
          <a:ext cx="1092200" cy="726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533400</xdr:colOff>
      <xdr:row>0</xdr:row>
      <xdr:rowOff>9524</xdr:rowOff>
    </xdr:from>
    <xdr:to>
      <xdr:col>1</xdr:col>
      <xdr:colOff>485775</xdr:colOff>
      <xdr:row>2</xdr:row>
      <xdr:rowOff>225423</xdr:rowOff>
    </xdr:to>
    <xdr:pic>
      <xdr:nvPicPr>
        <xdr:cNvPr id="2" name="Imagen 1">
          <a:extLst>
            <a:ext uri="{FF2B5EF4-FFF2-40B4-BE49-F238E27FC236}">
              <a16:creationId xmlns:a16="http://schemas.microsoft.com/office/drawing/2014/main" id="{00000000-0008-0000-19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313"/>
        <a:stretch/>
      </xdr:blipFill>
      <xdr:spPr bwMode="auto">
        <a:xfrm>
          <a:off x="533400" y="9524"/>
          <a:ext cx="1009650" cy="6730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333376</xdr:colOff>
      <xdr:row>0</xdr:row>
      <xdr:rowOff>0</xdr:rowOff>
    </xdr:from>
    <xdr:to>
      <xdr:col>0</xdr:col>
      <xdr:colOff>1381126</xdr:colOff>
      <xdr:row>2</xdr:row>
      <xdr:rowOff>209550</xdr:rowOff>
    </xdr:to>
    <xdr:pic>
      <xdr:nvPicPr>
        <xdr:cNvPr id="2" name="Imagen 1">
          <a:extLst>
            <a:ext uri="{FF2B5EF4-FFF2-40B4-BE49-F238E27FC236}">
              <a16:creationId xmlns:a16="http://schemas.microsoft.com/office/drawing/2014/main" id="{00000000-0008-0000-1A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1929"/>
        <a:stretch/>
      </xdr:blipFill>
      <xdr:spPr bwMode="auto">
        <a:xfrm>
          <a:off x="333376" y="0"/>
          <a:ext cx="1047750"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508000</xdr:colOff>
      <xdr:row>0</xdr:row>
      <xdr:rowOff>42544</xdr:rowOff>
    </xdr:from>
    <xdr:to>
      <xdr:col>0</xdr:col>
      <xdr:colOff>1555631</xdr:colOff>
      <xdr:row>2</xdr:row>
      <xdr:rowOff>228600</xdr:rowOff>
    </xdr:to>
    <xdr:pic>
      <xdr:nvPicPr>
        <xdr:cNvPr id="2" name="Imagen 1">
          <a:extLst>
            <a:ext uri="{FF2B5EF4-FFF2-40B4-BE49-F238E27FC236}">
              <a16:creationId xmlns:a16="http://schemas.microsoft.com/office/drawing/2014/main" id="{00000000-0008-0000-1B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465"/>
        <a:stretch/>
      </xdr:blipFill>
      <xdr:spPr bwMode="auto">
        <a:xfrm>
          <a:off x="508000" y="42544"/>
          <a:ext cx="1047631" cy="6813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408515</xdr:colOff>
      <xdr:row>0</xdr:row>
      <xdr:rowOff>0</xdr:rowOff>
    </xdr:from>
    <xdr:to>
      <xdr:col>0</xdr:col>
      <xdr:colOff>1238250</xdr:colOff>
      <xdr:row>2</xdr:row>
      <xdr:rowOff>227770</xdr:rowOff>
    </xdr:to>
    <xdr:pic>
      <xdr:nvPicPr>
        <xdr:cNvPr id="2" name="Imagen 1">
          <a:extLst>
            <a:ext uri="{FF2B5EF4-FFF2-40B4-BE49-F238E27FC236}">
              <a16:creationId xmlns:a16="http://schemas.microsoft.com/office/drawing/2014/main" id="{00000000-0008-0000-1C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5180" b="1023"/>
        <a:stretch/>
      </xdr:blipFill>
      <xdr:spPr bwMode="auto">
        <a:xfrm>
          <a:off x="408515" y="0"/>
          <a:ext cx="829735" cy="693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419099</xdr:colOff>
      <xdr:row>0</xdr:row>
      <xdr:rowOff>0</xdr:rowOff>
    </xdr:from>
    <xdr:to>
      <xdr:col>0</xdr:col>
      <xdr:colOff>1252521</xdr:colOff>
      <xdr:row>2</xdr:row>
      <xdr:rowOff>201083</xdr:rowOff>
    </xdr:to>
    <xdr:pic>
      <xdr:nvPicPr>
        <xdr:cNvPr id="2" name="Imagen 1">
          <a:extLst>
            <a:ext uri="{FF2B5EF4-FFF2-40B4-BE49-F238E27FC236}">
              <a16:creationId xmlns:a16="http://schemas.microsoft.com/office/drawing/2014/main" id="{00000000-0008-0000-1D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139"/>
        <a:stretch/>
      </xdr:blipFill>
      <xdr:spPr bwMode="auto">
        <a:xfrm>
          <a:off x="419099" y="0"/>
          <a:ext cx="833422" cy="666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387351</xdr:colOff>
      <xdr:row>0</xdr:row>
      <xdr:rowOff>46566</xdr:rowOff>
    </xdr:from>
    <xdr:to>
      <xdr:col>0</xdr:col>
      <xdr:colOff>1111251</xdr:colOff>
      <xdr:row>2</xdr:row>
      <xdr:rowOff>212837</xdr:rowOff>
    </xdr:to>
    <xdr:pic>
      <xdr:nvPicPr>
        <xdr:cNvPr id="2" name="Imagen 1">
          <a:extLst>
            <a:ext uri="{FF2B5EF4-FFF2-40B4-BE49-F238E27FC236}">
              <a16:creationId xmlns:a16="http://schemas.microsoft.com/office/drawing/2014/main" id="{00000000-0008-0000-1E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 r="45448" b="-2879"/>
        <a:stretch/>
      </xdr:blipFill>
      <xdr:spPr bwMode="auto">
        <a:xfrm>
          <a:off x="387351" y="46566"/>
          <a:ext cx="723900" cy="631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523874</xdr:colOff>
      <xdr:row>0</xdr:row>
      <xdr:rowOff>0</xdr:rowOff>
    </xdr:from>
    <xdr:to>
      <xdr:col>0</xdr:col>
      <xdr:colOff>1362075</xdr:colOff>
      <xdr:row>2</xdr:row>
      <xdr:rowOff>202145</xdr:rowOff>
    </xdr:to>
    <xdr:pic>
      <xdr:nvPicPr>
        <xdr:cNvPr id="2" name="Imagen 1">
          <a:extLst>
            <a:ext uri="{FF2B5EF4-FFF2-40B4-BE49-F238E27FC236}">
              <a16:creationId xmlns:a16="http://schemas.microsoft.com/office/drawing/2014/main" id="{00000000-0008-0000-1F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2058"/>
        <a:stretch/>
      </xdr:blipFill>
      <xdr:spPr bwMode="auto">
        <a:xfrm>
          <a:off x="523874" y="0"/>
          <a:ext cx="83820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523874</xdr:colOff>
      <xdr:row>0</xdr:row>
      <xdr:rowOff>0</xdr:rowOff>
    </xdr:from>
    <xdr:to>
      <xdr:col>0</xdr:col>
      <xdr:colOff>1343025</xdr:colOff>
      <xdr:row>2</xdr:row>
      <xdr:rowOff>202145</xdr:rowOff>
    </xdr:to>
    <xdr:pic>
      <xdr:nvPicPr>
        <xdr:cNvPr id="2" name="Imagen 1">
          <a:extLst>
            <a:ext uri="{FF2B5EF4-FFF2-40B4-BE49-F238E27FC236}">
              <a16:creationId xmlns:a16="http://schemas.microsoft.com/office/drawing/2014/main" id="{00000000-0008-0000-20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3374"/>
        <a:stretch/>
      </xdr:blipFill>
      <xdr:spPr bwMode="auto">
        <a:xfrm>
          <a:off x="523874" y="0"/>
          <a:ext cx="81915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561974</xdr:colOff>
      <xdr:row>0</xdr:row>
      <xdr:rowOff>0</xdr:rowOff>
    </xdr:from>
    <xdr:to>
      <xdr:col>0</xdr:col>
      <xdr:colOff>1362075</xdr:colOff>
      <xdr:row>2</xdr:row>
      <xdr:rowOff>202145</xdr:rowOff>
    </xdr:to>
    <xdr:pic>
      <xdr:nvPicPr>
        <xdr:cNvPr id="2" name="Imagen 1">
          <a:extLst>
            <a:ext uri="{FF2B5EF4-FFF2-40B4-BE49-F238E27FC236}">
              <a16:creationId xmlns:a16="http://schemas.microsoft.com/office/drawing/2014/main" id="{00000000-0008-0000-21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44692"/>
        <a:stretch/>
      </xdr:blipFill>
      <xdr:spPr bwMode="auto">
        <a:xfrm>
          <a:off x="561974" y="0"/>
          <a:ext cx="800101" cy="65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116418</xdr:rowOff>
    </xdr:from>
    <xdr:to>
      <xdr:col>1</xdr:col>
      <xdr:colOff>2095499</xdr:colOff>
      <xdr:row>21</xdr:row>
      <xdr:rowOff>4134734</xdr:rowOff>
    </xdr:to>
    <xdr:pic>
      <xdr:nvPicPr>
        <xdr:cNvPr id="3" name="Imagen 2">
          <a:extLst>
            <a:ext uri="{FF2B5EF4-FFF2-40B4-BE49-F238E27FC236}">
              <a16:creationId xmlns:a16="http://schemas.microsoft.com/office/drawing/2014/main" id="{00000000-0008-0000-2100-000003000000}"/>
            </a:ext>
          </a:extLst>
        </xdr:cNvPr>
        <xdr:cNvPicPr>
          <a:picLocks noChangeAspect="1"/>
        </xdr:cNvPicPr>
      </xdr:nvPicPr>
      <xdr:blipFill rotWithShape="1">
        <a:blip xmlns:r="http://schemas.openxmlformats.org/officeDocument/2006/relationships" r:embed="rId2"/>
        <a:srcRect l="35100" t="29336" r="35806" b="18573"/>
        <a:stretch/>
      </xdr:blipFill>
      <xdr:spPr>
        <a:xfrm>
          <a:off x="0" y="5736168"/>
          <a:ext cx="3989916" cy="4018316"/>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447675</xdr:colOff>
      <xdr:row>0</xdr:row>
      <xdr:rowOff>0</xdr:rowOff>
    </xdr:from>
    <xdr:to>
      <xdr:col>0</xdr:col>
      <xdr:colOff>1343024</xdr:colOff>
      <xdr:row>2</xdr:row>
      <xdr:rowOff>216990</xdr:rowOff>
    </xdr:to>
    <xdr:pic>
      <xdr:nvPicPr>
        <xdr:cNvPr id="2" name="Imagen 2">
          <a:extLst>
            <a:ext uri="{FF2B5EF4-FFF2-40B4-BE49-F238E27FC236}">
              <a16:creationId xmlns:a16="http://schemas.microsoft.com/office/drawing/2014/main" id="{00000000-0008-0000-22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4936"/>
        <a:stretch/>
      </xdr:blipFill>
      <xdr:spPr bwMode="auto">
        <a:xfrm>
          <a:off x="447675" y="0"/>
          <a:ext cx="895349" cy="674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190500</xdr:colOff>
      <xdr:row>0</xdr:row>
      <xdr:rowOff>0</xdr:rowOff>
    </xdr:from>
    <xdr:to>
      <xdr:col>0</xdr:col>
      <xdr:colOff>981075</xdr:colOff>
      <xdr:row>2</xdr:row>
      <xdr:rowOff>206128</xdr:rowOff>
    </xdr:to>
    <xdr:pic>
      <xdr:nvPicPr>
        <xdr:cNvPr id="2" name="Imagen 1">
          <a:extLst>
            <a:ext uri="{FF2B5EF4-FFF2-40B4-BE49-F238E27FC236}">
              <a16:creationId xmlns:a16="http://schemas.microsoft.com/office/drawing/2014/main" id="{00000000-0008-0000-2300-000002000000}"/>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 r="45676"/>
        <a:stretch/>
      </xdr:blipFill>
      <xdr:spPr bwMode="auto">
        <a:xfrm>
          <a:off x="190500" y="0"/>
          <a:ext cx="790575" cy="6633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69850</xdr:colOff>
      <xdr:row>0</xdr:row>
      <xdr:rowOff>71120</xdr:rowOff>
    </xdr:from>
    <xdr:to>
      <xdr:col>0</xdr:col>
      <xdr:colOff>1509183</xdr:colOff>
      <xdr:row>2</xdr:row>
      <xdr:rowOff>95686</xdr:rowOff>
    </xdr:to>
    <xdr:pic>
      <xdr:nvPicPr>
        <xdr:cNvPr id="2" name="Imagen 1">
          <a:extLst>
            <a:ext uri="{FF2B5EF4-FFF2-40B4-BE49-F238E27FC236}">
              <a16:creationId xmlns:a16="http://schemas.microsoft.com/office/drawing/2014/main" id="{8744B6CC-1211-4A2E-8FAC-88C906E0C9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5650" y="71120"/>
          <a:ext cx="1439333" cy="5198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A66C42D\PRESUPUESTO%20SANTA_ROSA%20%20convenio_%2019%20agost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ORLIDIA\CORANTIOQUIA\Procesos%202007\OBRA\SAN%20PEDRO\presupuesto%20san%20pedro_13%20junio"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305A9237\Ppto.%20Sln.%20Indiv.%20Abril%2014%20Tars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84FC82E0\presupuesto%20san%20pedro_13%20junio"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ORLIDIA\IVA\SANTA%20ROSA\PRESUPUESTO%20SANTA_ROSA%20%20convenio_%2019%20agost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STELLA\CORANTIOQUIA\EVALUACION%20PROYECTOS%20-%202009\CISNEROS\Ppto.%20Sln.%20Indiv.%20Abril%2014%20Tars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cias3\AASSA\Documents\PRESUPUESTOS%20STA%20ROSA\ORIGINALES%20SANTA%20ROSA\ARAGON\Presupuesto%20Acueducto%20ARAG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cias3\compartido\SAN%20JOS&#201;%20ANDES\ANDES\EJEMPLOS%20PRESUPUESTOS\Presupuesto%20Acueducto%20ARAGON%20orig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c-cias3\compartido\INFORME%20EJEMPLO\Dise&#241;o\ARAGON\TOMO%201.%20ACUEDUCTO\ANEXOS%20DISE&#209;O\ANEXO%206.%20CANTIDADES%20DE%20OBRA%20PRESUPUESTO%20Y%20APU\Presupuesto%20Acueducto%20ARAGO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B:\Darwin\AASSA\AASSA\INFORME%20EJEMPLO\Dise&#241;o\ARAGON\TOMO%201.%20ACUEDUCTO\ANEXOS%20DISE&#209;O\ANEXO%206.%20CANTIDADES%20DE%20OBRA%20PRESUPUESTO%20Y%20APU\Presupuesto%20Acueducto%20ARAGO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C35F221\Otros&#237;%20de%20adici&#243;n,%20modificaci&#243;n%20y%20pr&#243;rroga-%20CV-1502-5-San%20Jose%20de%20la%20Monta&#241;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c-cias3\compartido\TAPARTO\PALERMO\PRESUPUESTO_REDES_LORICA_FASE_I.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cias3\compartido\TAPARTO\AASSA\Documents\PRESUPUESTOS%20STA%20ROSA\ORIGINALES%20SANTA%20ROSA\SAN%20PABLO\Presupuesto%20Acueducto%20SAN%20PABL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28E2C57A\Presupuesto%20Acueducto%20ARAGON%20origi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is%20documentos\DIANA\DIANA\PROCESOS%202014\TITIRIBI\PTAR%20ORIENTAL-SEPT%2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A1D8D46\Copia%20de%20Presupuesto%20Acueducto%20ARAGON%20Final-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Pc-cias3\compartido\TAPARTO\PALERMO\BASE%20PRESUPUESTOS%20CONS_080_13_ANT\BASE%20PRESUPUESTO%20ACUEDUCTO\Presupuesto%20Acueducto%20ARAGON%20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PROYECTOS13\Compartida\SANTA%20ROSA%20DE%20OSOS\A.P.U_y_Presupuesto_acueducto_final-LORICA(1).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cias3\compartido\TAPARTO\AASSA\Documents\PRESUPUESTOS%20STA%20ROSA\ORIGINALES%20SANTA%20ROSA\ARAGON\Presupuesto%20Acueducto%20ARAGON.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RANTIOQUIA-%20CALIDAD%20AMBIENTAL-%201407-71\convenio%20PTAR%20-%20CARACOL&#205;\Anexo_8_%20PPTO%20y%20APU%20PTAR%20CARACOL&#205;%20N.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cias1\compartido\Users\aassa\AppData\Local\Microsoft\Windows\Temporary%20Internet%20Files\Content.IE5\MWC8IHW3\Presupuesto%20Acueducto%20SAN%20PABLO%20TERMINAD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AASSA\CONS-013-VER-ANT\ETAPAS\PALERMO\PTAR%20FINAL\Presupuestos%20sistema%20de%20alcantarillado%20(Campament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HLOPEZA\CANTIDADES%20GERONA\Documents%20and%20Settings\swilches\Configuraci&#243;n%20local\Archivos%20temporales%20de%20Internet\OLK6\formulario%20bas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Users\marias\Downloads\APU-SEPT%201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is%20documentos\DIANA\DIANA\PROCESOS%202014\VENECIA\Anexo_8_Cantidades%20de%20Obra,%20APU&#180;s%20%20y%20Presupuesto-%20MAYO%2020.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RANTIOQUIA-%20CALIDAD%20AMBIENTAL-%201407-71\convenio%20PTAR%20-%20CARACOL&#205;\PRESUPUESTO%20CARACOL&#205;%2029-10-2014.xlsx"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PlaneacionIntegral\Bpc\Proyectos%20Planes%20Tematicos\OPREFCJ1\CARBOCOL\MODCARB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PlaneacionIntegral\Bpc\Proyectos%20Planes%20Tematicos\OPREFCJ1\CAFE\MODCAF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MPARTIDO\ZONA%204\La%20Mina%20Venecia\ALCANTARILLADO\presupuesto%20global%20ministerio\BASE_PPTOS_GOBANT_%2021-04-2014%2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is%20documentos\DIANA\DIANA\PROCESOS%202014\TITIRIBI\PPTO%20COLECTOR%20ORIENTAL-SEPT%202.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9B8F9823\Formato%20Unico%20subproyectos%20(en%20construcci&#243;n).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Pc-cias3\Users\aassa\Desktop\PRESUPUESTO_ALDO_MOMIL_ULTIMO_CONSOLIDADO.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windows\TEMP\ADMINISTRATIVA\BAAN\lista%20de%20precios%20definitiva%20sep16-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cias21\compartido\Presupuestos\CONSTRUCCION_ALCAN%20MOMIL\PRESUPUESTO_ALDO_MOMIL_2.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ORLIDIA\IVA\DON%20MATIAS\PRESUPUESTO%20DONMATIAS_JULIO%207__Filtro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COMPARTIDO\Tapa_losa\PTO_%20ACUEDUCTO_%20TAPART&#211;.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orantioquia-my.sharepoint.com/HERMAN/PERMANENTES/FORMATOS/FORMATOS%20HERMAN%202012/FORMATOS%20PRESUPUESTOS/APU%20%20Y%20BASE%20EDUCACI&#211;N%20ENERO%202013.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Documents%20and%20Settings\carenas\Escritorio\PRESUPUESTOS%20%20febr11\Copia%20de%20BASE%20DE%20PRESUPUEST(copi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anear9\d\PROYECTOS\CORANTIOQUIA\VENECIA\1.%20DIAGNOSTICO\ALCANTARILLADO\VENECI_AA_D_IN_01%20A%204.2%20RCH%20Alcantarillad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Pc3\d\PROYECTOS\CARAMANTA\2.%20ANTEPROYECTO\ANEXOS%20AL%20INFORME\CARAMA_AA_D_IN_1_Anexo%20x.xx%20REDES%20DE%20DISTRIBUCI&#211;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dwin\PMAA%20Campamento\Campamento\Presupuesto\BASE%20DE%20PRESUPUESTO.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rhenals\gobierno\Gobierno\Cierre97\OPEF%201997%20Cierre.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anearpc8\d\PROYECTOS\BUENOS%20AIRES\DISE&#209;O\Dise&#241;o%20hidraulico%20de%20component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F:\RESIDENTE%20CONST%20SADEP\formularios\A.P.U.%20BAS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88C11702\Anexo%208%20-%20Presupuesto%20y%20APU%20BASE_PPTOS_GOBANT_%2025-04-2014%20-%20Titiribi.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Users\Sergio\documentos%202013\Documents\Downloads\APUS%20ARAGON%20PARA%20ENVIAR.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F334919\Rendimientos_Sur%2003-00(JC).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61.xml.rels><?xml version="1.0" encoding="UTF-8" standalone="yes"?>
<Relationships xmlns="http://schemas.openxmlformats.org/package/2006/relationships"><Relationship Id="rId2" Type="http://schemas.openxmlformats.org/officeDocument/2006/relationships/externalLinkPath" Target="file:///H:\GRUPO%20RECURSOS%20FISICOS\ESTUDIOS%20PREVIOS\VIGILANCIA%202023\08032022%20%20POI%20EP%20VIGILANCIA.xlsx" TargetMode="External"/><Relationship Id="rId1" Type="http://schemas.openxmlformats.org/officeDocument/2006/relationships/externalLinkPath" Target="https://corantioquia-my.sharepoint.com/GRUPO%20RECURSOS%20FISICOS/ESTUDIOS%20PREVIOS/VIGILANCIA%202023/08032022%20%20POI%20EP%20VIGILANCIA.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2063EA66\RELACI~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orantioquia-my.sharepoint.com/Users/marcela_buitrago/OneDrive%20-%20Corantioquia/Documentos/MBM/ESTUDIOS%20PREVIOS/Est&#225;ndarizaci&#243;n%20de%20formatos/Formatos%20EP%20con%20anexos/EP%20financiero%20V032022.xlsx"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4A0D059\MODCARB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A02CBE2\MODCAFE.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orantioquia-my.sharepoint.com/Documents%20and%20Settings/71586474/Configuraci&#243;n%20local/Archivos%20temporales%20de%20Internet/Content.Outlook/GE6TS4RY/Copia%20de%20APU%20RESTAURANTE%20I%20E%20PERMANENTE%20MAZO%202012%20(3)%20%20verificar.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orantioquia-my.sharepoint.com/Documents%20and%20Settings/71586474/Configuraci&#243;n%20local/Archivos%20temporales%20de%20Internet/Content.Outlook/GE6TS4RY/APU%20%20Y%20BASE%20EDUCACI&#211;N%20JUNIO%202012.xlsm"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orantioquia-my.sharepoint.com/Documents%20and%20Settings/32311165.MEDELLIN/Configuraci&#243;n%20local/Archivos%20temporales%20de%20Internet/Content.Outlook/P9UOR7FS/APU%20%20Y%20BASE%20EDUCACI&#211;N%20JUNIO%202012%20(4).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orantioquia-my.sharepoint.com/Users/marcela_buitrago/OneDrive%20-%20Corantioquia/Documentos/MBM/ESTUDIOS%20PREVIOS/Est&#225;ndarizaci&#243;n%20de%20formatos/Formatos%20EP%20con%20anexos/EP%20financiero%20V122021.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corantioquia-my.sharepoint.com/Users/71586474/Desktop/APU%20Y%20BASE%20EDUCACI&#211;N%20ENERO%202016/APU%20BASE%20EDUCACI&#211;N%20ENERO%20%202016%20V1%20.xlsm"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Pc-eleal\BASE\HOJA%20BASE\BASE%20DE%20PRESUPUEST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My_Docs\OBRAS\SANTA%20ROSA%20-%20REDES%20ACUEDUCTO\Formatos\PPTO%20OFICIAL%20ACUEDUCTO%20SANTA%20ROS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8AA22AA1\Anexo%208.0%20PRESUPUESTO%20CONCORDI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TITIRIB&#205;\PTAR\Anexo_9_Cantid%20Obra,%20APU&#180;s%20%20Ppto%20PTAR.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G:\Users\jtabares\Desktop\0.%20Portafolio%20Corporaci&#243;n\2.%20Contratos%20a%20Sacar\2018\Mobiliario%20MC\ORLIDIA\CORANTIOQUIA\Procesos%202008\Obra\SANTA%20ROSA\PROYECTO%20PTAR%20EL%20TURCO\PRESUPUESTO%20ALCANTARILL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row r="86">
          <cell r="D86">
            <v>26442.199999999997</v>
          </cell>
        </row>
        <row r="87">
          <cell r="D87">
            <v>57395.64</v>
          </cell>
        </row>
        <row r="106">
          <cell r="D106">
            <v>100275.04</v>
          </cell>
        </row>
        <row r="116">
          <cell r="D116">
            <v>63373.119999999995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C3">
            <v>0.27</v>
          </cell>
        </row>
        <row r="9">
          <cell r="D9">
            <v>51000</v>
          </cell>
        </row>
        <row r="10">
          <cell r="D10">
            <v>44625</v>
          </cell>
        </row>
        <row r="11">
          <cell r="D11">
            <v>25500</v>
          </cell>
        </row>
        <row r="12">
          <cell r="D12">
            <v>250000</v>
          </cell>
        </row>
        <row r="13">
          <cell r="D13">
            <v>126000</v>
          </cell>
        </row>
        <row r="15">
          <cell r="D15">
            <v>300</v>
          </cell>
        </row>
        <row r="17">
          <cell r="D17">
            <v>7689.0000000000009</v>
          </cell>
        </row>
        <row r="21">
          <cell r="D21">
            <v>2320</v>
          </cell>
        </row>
        <row r="22">
          <cell r="D22">
            <v>2100</v>
          </cell>
        </row>
        <row r="23">
          <cell r="D23">
            <v>74000</v>
          </cell>
        </row>
        <row r="24">
          <cell r="D24">
            <v>28000</v>
          </cell>
        </row>
        <row r="32">
          <cell r="D32">
            <v>271544.20703749999</v>
          </cell>
        </row>
        <row r="33">
          <cell r="D33">
            <v>245428.78047750003</v>
          </cell>
        </row>
        <row r="35">
          <cell r="D35">
            <v>208653.0577375</v>
          </cell>
        </row>
        <row r="36">
          <cell r="D36">
            <v>192815.19551406248</v>
          </cell>
        </row>
        <row r="37">
          <cell r="D37">
            <v>209714.0284375</v>
          </cell>
        </row>
        <row r="38">
          <cell r="D38">
            <v>257766.93906249999</v>
          </cell>
        </row>
        <row r="39">
          <cell r="D39">
            <v>220124.13906250001</v>
          </cell>
        </row>
        <row r="49">
          <cell r="D49">
            <v>5500</v>
          </cell>
        </row>
        <row r="50">
          <cell r="D50">
            <v>16200</v>
          </cell>
        </row>
        <row r="51">
          <cell r="D51">
            <v>24000</v>
          </cell>
        </row>
        <row r="54">
          <cell r="D54">
            <v>25754</v>
          </cell>
        </row>
        <row r="55">
          <cell r="D55">
            <v>17000</v>
          </cell>
        </row>
        <row r="56">
          <cell r="D56">
            <v>1300</v>
          </cell>
        </row>
        <row r="64">
          <cell r="D64">
            <v>1450</v>
          </cell>
        </row>
        <row r="65">
          <cell r="D65">
            <v>550</v>
          </cell>
        </row>
        <row r="69">
          <cell r="D69">
            <v>1634</v>
          </cell>
        </row>
        <row r="70">
          <cell r="D70">
            <v>22.28</v>
          </cell>
        </row>
        <row r="79">
          <cell r="D79">
            <v>150536</v>
          </cell>
        </row>
        <row r="104">
          <cell r="D104">
            <v>322269</v>
          </cell>
        </row>
        <row r="105">
          <cell r="D105">
            <v>491098</v>
          </cell>
        </row>
        <row r="120">
          <cell r="D120">
            <v>24368</v>
          </cell>
        </row>
        <row r="122">
          <cell r="D122">
            <v>27406</v>
          </cell>
        </row>
        <row r="124">
          <cell r="D124">
            <v>11719</v>
          </cell>
        </row>
        <row r="125">
          <cell r="D125">
            <v>16333</v>
          </cell>
        </row>
        <row r="130">
          <cell r="D130">
            <v>6515</v>
          </cell>
        </row>
        <row r="145">
          <cell r="D145">
            <v>35195</v>
          </cell>
        </row>
        <row r="147">
          <cell r="D147">
            <v>73408</v>
          </cell>
        </row>
        <row r="163">
          <cell r="D163">
            <v>350900</v>
          </cell>
        </row>
        <row r="178">
          <cell r="D178">
            <v>363000</v>
          </cell>
        </row>
        <row r="190">
          <cell r="D190">
            <v>201608</v>
          </cell>
        </row>
        <row r="196">
          <cell r="D196">
            <v>108459.99999999999</v>
          </cell>
        </row>
        <row r="197">
          <cell r="D197">
            <v>283272</v>
          </cell>
        </row>
        <row r="201">
          <cell r="D201">
            <v>98252</v>
          </cell>
        </row>
        <row r="203">
          <cell r="D203">
            <v>237335.99999999997</v>
          </cell>
        </row>
        <row r="213">
          <cell r="D213">
            <v>500</v>
          </cell>
        </row>
        <row r="214">
          <cell r="D214">
            <v>56111</v>
          </cell>
        </row>
        <row r="215">
          <cell r="D215">
            <v>25657</v>
          </cell>
        </row>
        <row r="217">
          <cell r="D217">
            <v>1352.56</v>
          </cell>
        </row>
        <row r="218">
          <cell r="D218">
            <v>1487</v>
          </cell>
        </row>
        <row r="219">
          <cell r="D219">
            <v>1459</v>
          </cell>
        </row>
        <row r="220">
          <cell r="D220">
            <v>5510</v>
          </cell>
        </row>
        <row r="229">
          <cell r="D229">
            <v>4525</v>
          </cell>
        </row>
        <row r="230">
          <cell r="D230">
            <v>2500</v>
          </cell>
        </row>
        <row r="242">
          <cell r="D242">
            <v>15000</v>
          </cell>
        </row>
        <row r="243">
          <cell r="D243">
            <v>700</v>
          </cell>
        </row>
        <row r="244">
          <cell r="D244">
            <v>850</v>
          </cell>
        </row>
        <row r="245">
          <cell r="D245">
            <v>43450</v>
          </cell>
        </row>
        <row r="246">
          <cell r="D246">
            <v>40700</v>
          </cell>
        </row>
        <row r="248">
          <cell r="D248">
            <v>27500.000000000004</v>
          </cell>
        </row>
        <row r="249">
          <cell r="D249">
            <v>26950.000000000004</v>
          </cell>
        </row>
        <row r="250">
          <cell r="D250">
            <v>12790</v>
          </cell>
        </row>
        <row r="251">
          <cell r="D251">
            <v>243520</v>
          </cell>
        </row>
        <row r="253">
          <cell r="D253">
            <v>6400</v>
          </cell>
        </row>
        <row r="255">
          <cell r="D255">
            <v>2700</v>
          </cell>
        </row>
        <row r="256">
          <cell r="D256">
            <v>2002.0000000000002</v>
          </cell>
        </row>
        <row r="258">
          <cell r="D258">
            <v>50380.000000000007</v>
          </cell>
        </row>
        <row r="259">
          <cell r="D259">
            <v>2750</v>
          </cell>
        </row>
        <row r="264">
          <cell r="D264">
            <v>3493224</v>
          </cell>
        </row>
        <row r="265">
          <cell r="D265">
            <v>2500</v>
          </cell>
        </row>
        <row r="268">
          <cell r="D268">
            <v>812</v>
          </cell>
        </row>
        <row r="269">
          <cell r="D269">
            <v>52500</v>
          </cell>
        </row>
        <row r="270">
          <cell r="D270">
            <v>12800</v>
          </cell>
        </row>
        <row r="272">
          <cell r="D272">
            <v>8000</v>
          </cell>
        </row>
        <row r="283">
          <cell r="D283">
            <v>1276000</v>
          </cell>
        </row>
        <row r="285">
          <cell r="D285">
            <v>463999.99999999994</v>
          </cell>
        </row>
        <row r="294">
          <cell r="D294">
            <v>70180</v>
          </cell>
        </row>
        <row r="295">
          <cell r="D295">
            <v>452400</v>
          </cell>
        </row>
        <row r="296">
          <cell r="D296">
            <v>96097.1</v>
          </cell>
        </row>
        <row r="307">
          <cell r="D307">
            <v>56000</v>
          </cell>
        </row>
        <row r="308">
          <cell r="D308">
            <v>4785</v>
          </cell>
        </row>
        <row r="309">
          <cell r="D309">
            <v>16500</v>
          </cell>
        </row>
        <row r="310">
          <cell r="D310">
            <v>17400</v>
          </cell>
        </row>
        <row r="311">
          <cell r="D311">
            <v>17400</v>
          </cell>
        </row>
        <row r="312">
          <cell r="D312">
            <v>22040</v>
          </cell>
        </row>
        <row r="313">
          <cell r="D313">
            <v>14000</v>
          </cell>
        </row>
        <row r="314">
          <cell r="D314">
            <v>3000</v>
          </cell>
        </row>
        <row r="315">
          <cell r="D315">
            <v>8500</v>
          </cell>
        </row>
        <row r="316">
          <cell r="D316">
            <v>220</v>
          </cell>
        </row>
        <row r="319">
          <cell r="D319">
            <v>10000</v>
          </cell>
        </row>
        <row r="320">
          <cell r="D320">
            <v>385.00000000000006</v>
          </cell>
        </row>
        <row r="321">
          <cell r="D321">
            <v>17400</v>
          </cell>
        </row>
        <row r="322">
          <cell r="D322">
            <v>5000</v>
          </cell>
        </row>
        <row r="323">
          <cell r="D323">
            <v>14000</v>
          </cell>
        </row>
        <row r="331">
          <cell r="D331">
            <v>9100</v>
          </cell>
        </row>
        <row r="332">
          <cell r="D332">
            <v>17600</v>
          </cell>
        </row>
        <row r="333">
          <cell r="D333">
            <v>450</v>
          </cell>
        </row>
        <row r="334">
          <cell r="D334">
            <v>700000</v>
          </cell>
        </row>
        <row r="335">
          <cell r="D335">
            <v>10143</v>
          </cell>
        </row>
        <row r="336">
          <cell r="D336">
            <v>30000</v>
          </cell>
        </row>
        <row r="340">
          <cell r="D340">
            <v>10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arzo"/>
      <sheetName val="A.P.U."/>
      <sheetName val="IVA"/>
      <sheetName val="BASE SALARIOS"/>
      <sheetName val="APU SOL IND"/>
      <sheetName val="BASE"/>
      <sheetName val="BASE CTOS"/>
      <sheetName val="BASE ORIGINAL"/>
      <sheetName val="interv. pozos tarso"/>
      <sheetName val="RESUMEN COSTOS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 val="APU_ADUCCION2"/>
      <sheetName val="POZO_2"/>
      <sheetName val="APU_POZO2"/>
      <sheetName val="APU_CASETA2"/>
      <sheetName val="SIS__BOMBEO2"/>
      <sheetName val="APU_SIST_BOMBEO2"/>
      <sheetName val="SIS__ELECTRICO2"/>
      <sheetName val="APU_SIS__ELECTRICO2"/>
      <sheetName val="APU_ADUCCION"/>
      <sheetName val="POZO_"/>
      <sheetName val="APU_POZO"/>
      <sheetName val="APU_CASETA"/>
      <sheetName val="SIS__BOMBEO"/>
      <sheetName val="APU_SIST_BOMBEO"/>
      <sheetName val="SIS__ELECTRICO"/>
      <sheetName val="APU_SIS__ELECTRICO"/>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Hoja2"/>
      <sheetName val="OBRAS 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85">
          <cell r="D85">
            <v>72702</v>
          </cell>
        </row>
        <row r="168">
          <cell r="D168">
            <v>561440</v>
          </cell>
        </row>
        <row r="172">
          <cell r="D172">
            <v>229679.99999999997</v>
          </cell>
        </row>
        <row r="252">
          <cell r="D252">
            <v>139200</v>
          </cell>
        </row>
        <row r="253">
          <cell r="D253">
            <v>810</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 val="REAJUSTE "/>
      <sheetName val="Corte_(6)1"/>
      <sheetName val="Corte_(5)1"/>
      <sheetName val="Corte_(4)1"/>
      <sheetName val="Corte_(3)1"/>
      <sheetName val="Corte_(2)1"/>
      <sheetName val="Corte_(1)1"/>
      <sheetName val="REAJUSTE_DEFINITACTA11"/>
      <sheetName val="REAJUSTESDEFINITACTAS2_(2)1"/>
      <sheetName val="Paral__1"/>
      <sheetName val="Paral__2"/>
      <sheetName val="Paral__3"/>
      <sheetName val="Paral_4"/>
      <sheetName val="Coloc__e_Interc__Tapones"/>
      <sheetName val="Cambio_de_Valv_"/>
      <sheetName val="Interc_de_Hidr_"/>
      <sheetName val="Interc_tapones"/>
      <sheetName val="Interc_válv_"/>
      <sheetName val="Varios_"/>
      <sheetName val="LISTA CÓDIGOS"/>
      <sheetName val="BASE APU"/>
      <sheetName val="MANO DE OBRA"/>
      <sheetName val="INSUMOS"/>
      <sheetName val="EQUIPOS"/>
      <sheetName val="MATERIALES"/>
      <sheetName val="ESTRUCTURAS"/>
      <sheetName val="TRANSPORTE"/>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6">
          <cell r="D56">
            <v>1300</v>
          </cell>
        </row>
        <row r="64">
          <cell r="D64">
            <v>1450</v>
          </cell>
        </row>
        <row r="79">
          <cell r="D79">
            <v>150536</v>
          </cell>
        </row>
        <row r="120">
          <cell r="D120">
            <v>24368</v>
          </cell>
        </row>
        <row r="217">
          <cell r="D217">
            <v>1352.56</v>
          </cell>
        </row>
        <row r="218">
          <cell r="D218">
            <v>1487</v>
          </cell>
        </row>
        <row r="219">
          <cell r="D219">
            <v>1459</v>
          </cell>
        </row>
        <row r="253">
          <cell r="D253">
            <v>6400</v>
          </cell>
        </row>
        <row r="270">
          <cell r="D270">
            <v>12800</v>
          </cell>
        </row>
        <row r="315">
          <cell r="D315">
            <v>8500</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EL TURCO"/>
      <sheetName val="APU COLECTOR EL TURCO"/>
      <sheetName val=" PTAR Santa_Rosa"/>
      <sheetName val="APU PTAR"/>
      <sheetName val="resumen"/>
      <sheetName val="IVA"/>
      <sheetName val="FORMATO_Don Matias"/>
    </sheetNames>
    <sheetDataSet>
      <sheetData sheetId="0" refreshError="1">
        <row r="23">
          <cell r="D23">
            <v>2465</v>
          </cell>
        </row>
        <row r="59">
          <cell r="D59">
            <v>45714.285714285717</v>
          </cell>
        </row>
        <row r="86">
          <cell r="D86">
            <v>26442.199999999997</v>
          </cell>
        </row>
        <row r="87">
          <cell r="D87">
            <v>57395.64</v>
          </cell>
        </row>
        <row r="106">
          <cell r="D106">
            <v>100275.04</v>
          </cell>
        </row>
        <row r="116">
          <cell r="D116">
            <v>63373.119999999995</v>
          </cell>
        </row>
        <row r="193">
          <cell r="D193">
            <v>34587.72</v>
          </cell>
        </row>
        <row r="198">
          <cell r="D198">
            <v>64298.799999999996</v>
          </cell>
        </row>
        <row r="203">
          <cell r="D203">
            <v>31079.879999999997</v>
          </cell>
        </row>
        <row r="329">
          <cell r="D329">
            <v>904799.99999999988</v>
          </cell>
        </row>
        <row r="368">
          <cell r="D368">
            <v>29000</v>
          </cell>
        </row>
        <row r="369">
          <cell r="D369">
            <v>140</v>
          </cell>
        </row>
        <row r="370">
          <cell r="D370">
            <v>19400</v>
          </cell>
        </row>
        <row r="371">
          <cell r="D371">
            <v>12280</v>
          </cell>
        </row>
        <row r="392">
          <cell r="D392">
            <v>13750.000000000002</v>
          </cell>
        </row>
        <row r="396">
          <cell r="D396">
            <v>15862.000000000002</v>
          </cell>
        </row>
        <row r="421">
          <cell r="D421">
            <v>48706.079999999994</v>
          </cell>
        </row>
        <row r="505">
          <cell r="D505">
            <v>6050.0000000000009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Tarzo"/>
      <sheetName val="A.P.U."/>
      <sheetName val="IVA"/>
      <sheetName val="BASE SALARIOS"/>
      <sheetName val="APU SOL IND"/>
      <sheetName val="BASE"/>
      <sheetName val="BASE CTOS"/>
      <sheetName val="BASE ORIGINAL"/>
      <sheetName val="interv. pozos tarso"/>
      <sheetName val="RESUMEN COSTOS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ow r="3">
          <cell r="C3">
            <v>0.25</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row r="86">
          <cell r="D86">
            <v>6156.8933333333334</v>
          </cell>
        </row>
        <row r="89">
          <cell r="D89">
            <v>13474.946666666665</v>
          </cell>
        </row>
        <row r="342">
          <cell r="D342">
            <v>73080</v>
          </cell>
        </row>
        <row r="397">
          <cell r="D397">
            <v>295800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 PTAP ARAGÓN"/>
      <sheetName val="ALMACENAMIENTO"/>
      <sheetName val="APU ALMACENAMIENTO"/>
      <sheetName val="REDES"/>
      <sheetName val="APU REDES"/>
      <sheetName val="RESUMEN"/>
      <sheetName val="PRESTACIONES"/>
      <sheetName val="BASE_ CONCRETOS"/>
      <sheetName val="1.Tanque Superficial"/>
      <sheetName val="APU Tanque Superficial"/>
      <sheetName val="2. BOMBEO"/>
      <sheetName val="APU BOMBEO"/>
      <sheetName val="CÁLCULOS"/>
      <sheetName val="3. Tanque Almto Elevado"/>
      <sheetName val="APU Tanque Almto Elevado"/>
      <sheetName val="4. PTAP"/>
      <sheetName val="APU PTAP"/>
      <sheetName val="5. Red de Distribucion"/>
      <sheetName val="APUS Red de Distribucion"/>
      <sheetName val="6.PTAP_SistEléctrico"/>
      <sheetName val="APU_SisEléctrico"/>
      <sheetName val="RESUMEN OBRAS "/>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 Ejecución-ORI"/>
      <sheetName val="Plan ejecución Modificado"/>
      <sheetName val="PRESUPUESTO ORI"/>
      <sheetName val="PRESUPUESTO MOD"/>
      <sheetName val="INTERVENTORIA"/>
      <sheetName val="memoria imagen Corporat"/>
      <sheetName val="memoria Viaticos Interv"/>
      <sheetName val="M DE C PTAR"/>
      <sheetName val="MDEC BOMBEO PTAR"/>
      <sheetName val="MDEC COLECTOR"/>
      <sheetName val="RESUMEN OBRAS"/>
      <sheetName val="AIU"/>
      <sheetName val="PRESTA"/>
      <sheetName val="BASE"/>
      <sheetName val="BASE CTOS"/>
      <sheetName val="PRELIM"/>
      <sheetName val="TUBERIA"/>
      <sheetName val="EXCAVA"/>
      <sheetName val="APU COLECTOR-NORTE"/>
      <sheetName val="APU PTAR"/>
      <sheetName val="APU COLECTOR-SUR"/>
      <sheetName val="APU Redes Secundarias  NORTE"/>
      <sheetName val="APU Redes Secundarias  SUR"/>
      <sheetName val="APU DOMICILIARES"/>
      <sheetName val="MDEC ADICIÓN"/>
      <sheetName val="Cantidades IVA"/>
      <sheetName val="APU CO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83">
          <cell r="D83">
            <v>7820.7199999999993</v>
          </cell>
        </row>
        <row r="84">
          <cell r="D84">
            <v>11815.759999999998</v>
          </cell>
        </row>
        <row r="85">
          <cell r="D85">
            <v>16025.4</v>
          </cell>
        </row>
        <row r="91">
          <cell r="D91">
            <v>287019.95999999996</v>
          </cell>
        </row>
        <row r="94">
          <cell r="D94">
            <v>6638.6799999999994</v>
          </cell>
        </row>
        <row r="95">
          <cell r="D95">
            <v>13147.439999999999</v>
          </cell>
        </row>
        <row r="103">
          <cell r="D103">
            <v>18112.239999999998</v>
          </cell>
        </row>
        <row r="104">
          <cell r="D104">
            <v>37724.36</v>
          </cell>
        </row>
        <row r="110">
          <cell r="D110">
            <v>30726.079999999998</v>
          </cell>
        </row>
        <row r="131">
          <cell r="D131">
            <v>3369.7999999999997</v>
          </cell>
        </row>
        <row r="146">
          <cell r="D146">
            <v>1115.9199999999998</v>
          </cell>
        </row>
        <row r="150">
          <cell r="D150">
            <v>8297.48</v>
          </cell>
        </row>
        <row r="151">
          <cell r="D151">
            <v>17264.28</v>
          </cell>
        </row>
        <row r="171">
          <cell r="D171">
            <v>79415.92</v>
          </cell>
        </row>
        <row r="178">
          <cell r="D178">
            <v>51733.679999999993</v>
          </cell>
        </row>
        <row r="206">
          <cell r="D206">
            <v>91366.239999999991</v>
          </cell>
        </row>
        <row r="251">
          <cell r="D251">
            <v>269281.24</v>
          </cell>
        </row>
        <row r="260">
          <cell r="D260">
            <v>228690.52</v>
          </cell>
        </row>
        <row r="263">
          <cell r="D263">
            <v>167570.12</v>
          </cell>
        </row>
        <row r="297">
          <cell r="D297">
            <v>77720</v>
          </cell>
        </row>
        <row r="298">
          <cell r="D298">
            <v>53359.999999999993</v>
          </cell>
        </row>
        <row r="299">
          <cell r="D299">
            <v>46400</v>
          </cell>
        </row>
        <row r="318">
          <cell r="D318">
            <v>70180</v>
          </cell>
        </row>
        <row r="323">
          <cell r="D323">
            <v>224576</v>
          </cell>
        </row>
        <row r="360">
          <cell r="D360">
            <v>258680</v>
          </cell>
        </row>
        <row r="361">
          <cell r="D361">
            <v>388600</v>
          </cell>
        </row>
        <row r="461">
          <cell r="D461">
            <v>69599.999999999985</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CRONOGRAMA DE INVERSIONES"/>
    </sheetNames>
    <sheetDataSet>
      <sheetData sheetId="0"/>
      <sheetData sheetId="1"/>
      <sheetData sheetId="2">
        <row r="87">
          <cell r="D87">
            <v>13381</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P"/>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REDES"/>
      <sheetName val="APU REDES"/>
      <sheetName val="RESUMEN"/>
    </sheetNames>
    <sheetDataSet>
      <sheetData sheetId="0" refreshError="1"/>
      <sheetData sheetId="1" refreshError="1"/>
      <sheetData sheetId="2" refreshError="1">
        <row r="12">
          <cell r="D12">
            <v>53912.133000000016</v>
          </cell>
        </row>
        <row r="78">
          <cell r="D78">
            <v>1750</v>
          </cell>
        </row>
        <row r="89">
          <cell r="D89">
            <v>13475</v>
          </cell>
        </row>
        <row r="99">
          <cell r="D99">
            <v>11238</v>
          </cell>
        </row>
        <row r="399">
          <cell r="D399">
            <v>445439.99999999994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ORIENTAL"/>
      <sheetName val="APU_SisEléctrico"/>
      <sheetName val="Hoja1"/>
    </sheetNames>
    <sheetDataSet>
      <sheetData sheetId="0" refreshError="1"/>
      <sheetData sheetId="1" refreshError="1"/>
      <sheetData sheetId="2" refreshError="1">
        <row r="132">
          <cell r="D132">
            <v>31340.601599999998</v>
          </cell>
        </row>
        <row r="133">
          <cell r="D133">
            <v>52935.184799999995</v>
          </cell>
        </row>
      </sheetData>
      <sheetData sheetId="3" refreshError="1"/>
      <sheetData sheetId="4" refreshError="1"/>
      <sheetData sheetId="5" refreshError="1"/>
      <sheetData sheetId="6" refreshError="1"/>
      <sheetData sheetId="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ON "/>
      <sheetName val="APUT PTAT ARAGÓN"/>
      <sheetName val="ALMACENAMIENTO"/>
      <sheetName val="APU ALMACENAMIENTO"/>
      <sheetName val="REDES"/>
      <sheetName val="APU REDES"/>
      <sheetName val="RESUMEN"/>
    </sheetNames>
    <sheetDataSet>
      <sheetData sheetId="0" refreshError="1">
        <row r="44">
          <cell r="G44">
            <v>0.25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ON "/>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342">
          <cell r="D342">
            <v>73080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REDES 441.2"/>
      <sheetName val="REDES 313.2"/>
      <sheetName val="APU REDES"/>
      <sheetName val="BASE"/>
      <sheetName val="BASE CTOS"/>
      <sheetName val="RESUMEN DE OBRAS"/>
      <sheetName val="IMPACTO"/>
      <sheetName val="APU Bocatoma.Aduc.Desarenador"/>
      <sheetName val="Boc.Aduc.Desarenador"/>
      <sheetName val="APU Aduc.Tanque Succión"/>
      <sheetName val="Aduc.Tanque Succión"/>
      <sheetName val="APU Sistema de Bombeo"/>
      <sheetName val="Sistema de Bombeo"/>
      <sheetName val="APU PTAP"/>
      <sheetName val="PTAP"/>
      <sheetName val="APU Conducción"/>
      <sheetName val="Conduccion"/>
      <sheetName val="APU Tanque Almacenamiento"/>
      <sheetName val="Tanque almacenamiento"/>
      <sheetName val="Redes"/>
      <sheetName val="RESUMEN OBRAS"/>
      <sheetName val="PRESTACIONES"/>
      <sheetName val="BASE_ CONCRETOS"/>
      <sheetName val="1. Bombeo Agua Cruda"/>
      <sheetName val="APU Bombeo Agua Cruda"/>
      <sheetName val=" Tanque "/>
      <sheetName val="APUS Tanque "/>
      <sheetName val="1.Tanque Superficial"/>
      <sheetName val="APU Tanque Superficial"/>
      <sheetName val="2. BOMBEO"/>
      <sheetName val="APU BOMBEO"/>
      <sheetName val="3. Tanque Almto Elevado"/>
      <sheetName val="APU Tanque Almto Elevado"/>
      <sheetName val="CÁLCULOS"/>
      <sheetName val="4. PTAP"/>
      <sheetName val="4. PTAP 10 LS"/>
      <sheetName val="APU PTAP 10L"/>
      <sheetName val="5. Red de Distribucion"/>
      <sheetName val="APUS Red de Distribucion"/>
      <sheetName val="RESUMEN OBRAS "/>
      <sheetName val="Red de distribución"/>
      <sheetName val="APU red Distribucion"/>
    </sheetNames>
    <sheetDataSet>
      <sheetData sheetId="0" refreshError="1"/>
      <sheetData sheetId="1" refreshError="1"/>
      <sheetData sheetId="2" refreshError="1"/>
      <sheetData sheetId="3" refreshError="1"/>
      <sheetData sheetId="4" refreshError="1"/>
      <sheetData sheetId="5" refreshError="1">
        <row r="493">
          <cell r="D493">
            <v>145000</v>
          </cell>
        </row>
      </sheetData>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duc.Desa.A"/>
      <sheetName val="APU Boc.Aduc.Desa.A"/>
      <sheetName val="PTAP ARAGÓN"/>
      <sheetName val="APUT PTAT ARAGÓN"/>
      <sheetName val="ALMACENAMIENTO"/>
      <sheetName val="APU ALMACENAMIENTO"/>
      <sheetName val="REDES"/>
      <sheetName val="APU REDES"/>
      <sheetName val="RESUMEN"/>
    </sheetNames>
    <sheetDataSet>
      <sheetData sheetId="0" refreshError="1"/>
      <sheetData sheetId="1" refreshError="1"/>
      <sheetData sheetId="2" refreshError="1">
        <row r="75">
          <cell r="D75">
            <v>1245</v>
          </cell>
        </row>
        <row r="158">
          <cell r="D158">
            <v>12242.64</v>
          </cell>
        </row>
        <row r="187">
          <cell r="D187">
            <v>41891.079999999994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11"/>
      <sheetName val="APU PTAR "/>
      <sheetName val="PTAR PPAL"/>
      <sheetName val="PTAR COLEGIO"/>
      <sheetName val="PTAR CANCHA"/>
      <sheetName val="APU_SisEléctrico"/>
      <sheetName val="RESUMEN PTAR"/>
    </sheetNames>
    <sheetDataSet>
      <sheetData sheetId="0"/>
      <sheetData sheetId="1"/>
      <sheetData sheetId="2">
        <row r="84">
          <cell r="D84">
            <v>1785</v>
          </cell>
        </row>
      </sheetData>
      <sheetData sheetId="3"/>
      <sheetData sheetId="4"/>
      <sheetData sheetId="5"/>
      <sheetData sheetId="6"/>
      <sheetData sheetId="7"/>
      <sheetData sheetId="8"/>
      <sheetData sheetId="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MICROCUENCA"/>
      <sheetName val="APU MICROCUENCA"/>
      <sheetName val="Bocatoma.Aduc.Desa."/>
      <sheetName val="APU Boc.Aduc.Desa.P"/>
      <sheetName val="LA HERMOSA"/>
      <sheetName val="APU LA HERMOSA"/>
      <sheetName val="PTAP SAN PABLO"/>
      <sheetName val="APU PTAP SAN PABLO"/>
      <sheetName val="PTAP LA HERMOSA  "/>
      <sheetName val="APU PTAP HERMOSA"/>
      <sheetName val="ALCANTARILLADO PTAP"/>
      <sheetName val="APU ALCANTARILLADO PTAP"/>
      <sheetName val="ALMACENAMIENTO"/>
      <sheetName val="APU ALMACENAMIENTO"/>
      <sheetName val="APU REDES"/>
      <sheetName val="REDES"/>
      <sheetName val="RESUMEN FINAL"/>
    </sheetNames>
    <sheetDataSet>
      <sheetData sheetId="0" refreshError="1"/>
      <sheetData sheetId="1" refreshError="1"/>
      <sheetData sheetId="2" refreshError="1">
        <row r="61">
          <cell r="D61">
            <v>56400</v>
          </cell>
        </row>
        <row r="89">
          <cell r="D89">
            <v>13475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APU 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row r="77">
          <cell r="D77">
            <v>88435</v>
          </cell>
        </row>
        <row r="257">
          <cell r="D257">
            <v>163560</v>
          </cell>
        </row>
      </sheetData>
      <sheetData sheetId="2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Varios"/>
      <sheetName val="ACTIVIDADE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MATERIALES Y RECURSOS"/>
      <sheetName val="TARIFAS MATERIALES"/>
      <sheetName val="TARIFAS EQUIPOS "/>
      <sheetName val="TARIFA SALARIOS"/>
      <sheetName val="ó&gt;_x005f_x0000__x005f_x0001__x005f_x0000__x005f_x0000__"/>
      <sheetName val="PRES"/>
      <sheetName val="Tramo 2"/>
      <sheetName val="AMOBLAMINETO"/>
      <sheetName val="LISTA"/>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ó&gt;????j0$?#???j_$?#???LÓu????"/>
      <sheetName val="Paral. 1"/>
      <sheetName val="Paral. 2"/>
      <sheetName val="Paral. 3"/>
      <sheetName val="Paral.4"/>
      <sheetName val="CORTE DE OBRA N° 1"/>
      <sheetName val="memoria"/>
      <sheetName val="memoria 1"/>
      <sheetName val="Causa Posible"/>
      <sheetName val="Accidentalidad"/>
      <sheetName val="Elementos Involucrados"/>
      <sheetName val="Base de Datos"/>
      <sheetName val="CRA.MODI"/>
      <sheetName val="Lista ICC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CCONC"/>
      <sheetName val="ACTA PROVEEDORES"/>
      <sheetName val="ACTA INICIO"/>
      <sheetName val="ACTA PARCIAL"/>
      <sheetName val="ACTA TERMINACION"/>
      <sheetName val="Datos_CO"/>
      <sheetName val="Skid Lifting Lug"/>
      <sheetName val="Programacion"/>
      <sheetName val="_x0000_㈀㰰⌀_x0000_㈀㰮⌀_x0000_䰀଒v_x0000__x0000__x0000_頀"/>
      <sheetName val="EMPRESAS"/>
      <sheetName val="ó&gt;_x0000__x0001__x0000__x0000__"/>
      <sheetName val="TARIFAS_MATERIALES"/>
      <sheetName val="TARIFAS_EQUIPOS_"/>
      <sheetName val="TARIFA_SALARIOS"/>
      <sheetName val="Tramo_2"/>
      <sheetName val="TARIFAS_MATERIALES1"/>
      <sheetName val="TARIFAS_EQUIPOS_1"/>
      <sheetName val="TARIFA_SALARIOS1"/>
      <sheetName val="Tramo_21"/>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TARIFAS_MATERIALES2"/>
      <sheetName val="TARIFAS_EQUIPOS_2"/>
      <sheetName val="TARIFA_SALARIOS2"/>
      <sheetName val="Tramo_2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TARIFAS_MATERIALES3"/>
      <sheetName val="TARIFAS_EQUIPOS_3"/>
      <sheetName val="TARIFA_SALARIOS3"/>
      <sheetName val="Tramo_23"/>
      <sheetName val="CABLE CONTROL"/>
      <sheetName val="PSM Monthly"/>
      <sheetName val="BQMPALOC"/>
      <sheetName val="ACTA No.5"/>
      <sheetName val="IV. MANO DE OBRA AIU"/>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BASE_DE_DATOS_DE_PRECIOS"/>
      <sheetName val="BASE_DE_DATOS_DE_PRECIOS1"/>
      <sheetName val="MDC-1_COLOCACION_2"/>
      <sheetName val="D-20_COLOCACION_2"/>
      <sheetName val="TRANSPORTE_MEZCLA_ASFALTICA2"/>
      <sheetName val="EXT_microagomerado2"/>
      <sheetName val="Grafico_Avance2"/>
      <sheetName val="MYE_OBRA2"/>
      <sheetName val="BASE_DE_DATOS_DE_PRECIOS2"/>
      <sheetName val="Indicadores_Y_Listas2"/>
      <sheetName val="MDC-1_COLOCACION_3"/>
      <sheetName val="D-20_COLOCACION_3"/>
      <sheetName val="TRANSPORTE_MEZCLA_ASFALTICA3"/>
      <sheetName val="EXT_microagomerado3"/>
      <sheetName val="Grafico_Avance3"/>
      <sheetName val="MYE_OBRA3"/>
      <sheetName val="BASE_DE_DATOS_DE_PRECIOS3"/>
      <sheetName val="Indicadores_Y_Listas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s de apoyo Social"/>
      <sheetName val="Listas de apoyo"/>
      <sheetName val="&quot;PAGA&quot;"/>
      <sheetName val="REAJUSTESACTA1PROVI"/>
      <sheetName val="PRESUPUESTOS-REV1.xls"/>
      <sheetName val="INSUMOS"/>
      <sheetName val="EQUIPOS"/>
      <sheetName val="TRANS"/>
      <sheetName val="CUADRI"/>
      <sheetName val="EQUI"/>
      <sheetName val="CANT OBRA"/>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ow r="2">
          <cell r="A2">
            <v>0</v>
          </cell>
        </row>
      </sheetData>
      <sheetData sheetId="67">
        <row r="2">
          <cell r="A2">
            <v>0</v>
          </cell>
        </row>
      </sheetData>
      <sheetData sheetId="68">
        <row r="2">
          <cell r="A2">
            <v>0</v>
          </cell>
        </row>
      </sheetData>
      <sheetData sheetId="69">
        <row r="2">
          <cell r="A2">
            <v>0</v>
          </cell>
        </row>
      </sheetData>
      <sheetData sheetId="70" refreshError="1"/>
      <sheetData sheetId="71" refreshError="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efreshError="1"/>
      <sheetData sheetId="80" refreshError="1"/>
      <sheetData sheetId="81" refreshError="1"/>
      <sheetData sheetId="82" refreshError="1"/>
      <sheetData sheetId="83" refreshError="1"/>
      <sheetData sheetId="84" refreshError="1"/>
      <sheetData sheetId="85">
        <row r="2">
          <cell r="A2">
            <v>0</v>
          </cell>
        </row>
      </sheetData>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ow r="2">
          <cell r="A2">
            <v>0</v>
          </cell>
        </row>
      </sheetData>
      <sheetData sheetId="281">
        <row r="2">
          <cell r="A2">
            <v>0</v>
          </cell>
        </row>
      </sheetData>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efreshError="1"/>
      <sheetData sheetId="417" refreshError="1"/>
      <sheetData sheetId="418" refreshError="1"/>
      <sheetData sheetId="419" refreshError="1"/>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t="str">
            <v>FORMULARIO N° 4</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efreshError="1"/>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t="str">
            <v>FORMULARIO N° 4</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efreshError="1"/>
      <sheetData sheetId="1732" refreshError="1"/>
      <sheetData sheetId="1733" refreshError="1"/>
      <sheetData sheetId="1734" refreshError="1"/>
      <sheetData sheetId="1735" refreshError="1"/>
      <sheetData sheetId="1736" refreshError="1"/>
      <sheetData sheetId="1737" refreshError="1"/>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t="str">
            <v>Locación</v>
          </cell>
        </row>
      </sheetData>
      <sheetData sheetId="1744" refreshError="1"/>
      <sheetData sheetId="1745" refreshError="1"/>
      <sheetData sheetId="1746" refreshError="1"/>
      <sheetData sheetId="1747" refreshError="1"/>
      <sheetData sheetId="1748" refreshError="1"/>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efreshError="1"/>
      <sheetData sheetId="1984" refreshError="1"/>
      <sheetData sheetId="1985" refreshError="1"/>
      <sheetData sheetId="1986" refreshError="1"/>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efreshError="1"/>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sheetData sheetId="4131"/>
      <sheetData sheetId="4132"/>
      <sheetData sheetId="4133">
        <row r="2">
          <cell r="A2">
            <v>0</v>
          </cell>
        </row>
      </sheetData>
      <sheetData sheetId="4134">
        <row r="2">
          <cell r="A2">
            <v>0</v>
          </cell>
        </row>
      </sheetData>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row r="2">
          <cell r="A2">
            <v>0</v>
          </cell>
        </row>
      </sheetData>
      <sheetData sheetId="4170"/>
      <sheetData sheetId="4171"/>
      <sheetData sheetId="4172"/>
      <sheetData sheetId="4173"/>
      <sheetData sheetId="4174"/>
      <sheetData sheetId="4175"/>
      <sheetData sheetId="4176"/>
      <sheetData sheetId="4177"/>
      <sheetData sheetId="4178"/>
      <sheetData sheetId="4179">
        <row r="2">
          <cell r="A2">
            <v>0</v>
          </cell>
        </row>
      </sheetData>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row r="2">
          <cell r="A2">
            <v>0</v>
          </cell>
        </row>
      </sheetData>
      <sheetData sheetId="4246"/>
      <sheetData sheetId="4247"/>
      <sheetData sheetId="4248"/>
      <sheetData sheetId="4249"/>
      <sheetData sheetId="4250"/>
      <sheetData sheetId="4251"/>
      <sheetData sheetId="4252"/>
      <sheetData sheetId="4253"/>
      <sheetData sheetId="4254"/>
      <sheetData sheetId="4255">
        <row r="2">
          <cell r="A2">
            <v>0</v>
          </cell>
        </row>
      </sheetData>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row r="2">
          <cell r="A2">
            <v>0</v>
          </cell>
        </row>
      </sheetData>
      <sheetData sheetId="4292"/>
      <sheetData sheetId="4293"/>
      <sheetData sheetId="4294"/>
      <sheetData sheetId="4295"/>
      <sheetData sheetId="4296"/>
      <sheetData sheetId="4297"/>
      <sheetData sheetId="4298"/>
      <sheetData sheetId="4299">
        <row r="2">
          <cell r="A2">
            <v>0</v>
          </cell>
        </row>
      </sheetData>
      <sheetData sheetId="4300">
        <row r="2">
          <cell r="A2">
            <v>0</v>
          </cell>
        </row>
      </sheetData>
      <sheetData sheetId="4301">
        <row r="2">
          <cell r="A2">
            <v>0</v>
          </cell>
        </row>
      </sheetData>
      <sheetData sheetId="4302"/>
      <sheetData sheetId="4303"/>
      <sheetData sheetId="4304"/>
      <sheetData sheetId="4305"/>
      <sheetData sheetId="4306"/>
      <sheetData sheetId="4307"/>
      <sheetData sheetId="4308"/>
      <sheetData sheetId="4309">
        <row r="2">
          <cell r="A2">
            <v>0</v>
          </cell>
        </row>
      </sheetData>
      <sheetData sheetId="4310">
        <row r="2">
          <cell r="A2">
            <v>0</v>
          </cell>
        </row>
      </sheetData>
      <sheetData sheetId="4311">
        <row r="2">
          <cell r="A2">
            <v>0</v>
          </cell>
        </row>
      </sheetData>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row r="2">
          <cell r="A2">
            <v>0</v>
          </cell>
        </row>
      </sheetData>
      <sheetData sheetId="4338"/>
      <sheetData sheetId="4339"/>
      <sheetData sheetId="4340"/>
      <sheetData sheetId="4341"/>
      <sheetData sheetId="4342"/>
      <sheetData sheetId="4343"/>
      <sheetData sheetId="4344"/>
      <sheetData sheetId="4345">
        <row r="2">
          <cell r="A2">
            <v>0</v>
          </cell>
        </row>
      </sheetData>
      <sheetData sheetId="4346">
        <row r="2">
          <cell r="A2">
            <v>0</v>
          </cell>
        </row>
      </sheetData>
      <sheetData sheetId="4347">
        <row r="2">
          <cell r="A2">
            <v>0</v>
          </cell>
        </row>
      </sheetData>
      <sheetData sheetId="4348"/>
      <sheetData sheetId="4349"/>
      <sheetData sheetId="4350"/>
      <sheetData sheetId="4351"/>
      <sheetData sheetId="4352"/>
      <sheetData sheetId="4353"/>
      <sheetData sheetId="4354"/>
      <sheetData sheetId="4355">
        <row r="2">
          <cell r="A2">
            <v>0</v>
          </cell>
        </row>
      </sheetData>
      <sheetData sheetId="4356">
        <row r="2">
          <cell r="A2">
            <v>0</v>
          </cell>
        </row>
      </sheetData>
      <sheetData sheetId="4357">
        <row r="2">
          <cell r="A2">
            <v>0</v>
          </cell>
        </row>
      </sheetData>
      <sheetData sheetId="4358"/>
      <sheetData sheetId="4359"/>
      <sheetData sheetId="4360"/>
      <sheetData sheetId="4361"/>
      <sheetData sheetId="4362"/>
      <sheetData sheetId="4363"/>
      <sheetData sheetId="4364"/>
      <sheetData sheetId="4365">
        <row r="2">
          <cell r="A2">
            <v>0</v>
          </cell>
        </row>
      </sheetData>
      <sheetData sheetId="4366">
        <row r="2">
          <cell r="A2">
            <v>0</v>
          </cell>
        </row>
      </sheetData>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row r="2">
          <cell r="A2">
            <v>0</v>
          </cell>
        </row>
      </sheetData>
      <sheetData sheetId="4384"/>
      <sheetData sheetId="4385"/>
      <sheetData sheetId="4386"/>
      <sheetData sheetId="4387"/>
      <sheetData sheetId="4388"/>
      <sheetData sheetId="4389"/>
      <sheetData sheetId="4390"/>
      <sheetData sheetId="4391">
        <row r="2">
          <cell r="A2">
            <v>0</v>
          </cell>
        </row>
      </sheetData>
      <sheetData sheetId="4392">
        <row r="2">
          <cell r="A2">
            <v>0</v>
          </cell>
        </row>
      </sheetData>
      <sheetData sheetId="4393">
        <row r="2">
          <cell r="A2">
            <v>0</v>
          </cell>
        </row>
      </sheetData>
      <sheetData sheetId="4394"/>
      <sheetData sheetId="4395"/>
      <sheetData sheetId="4396"/>
      <sheetData sheetId="4397"/>
      <sheetData sheetId="4398"/>
      <sheetData sheetId="4399"/>
      <sheetData sheetId="4400"/>
      <sheetData sheetId="4401">
        <row r="2">
          <cell r="A2">
            <v>0</v>
          </cell>
        </row>
      </sheetData>
      <sheetData sheetId="4402">
        <row r="2">
          <cell r="A2">
            <v>0</v>
          </cell>
        </row>
      </sheetData>
      <sheetData sheetId="4403">
        <row r="2">
          <cell r="A2">
            <v>0</v>
          </cell>
        </row>
      </sheetData>
      <sheetData sheetId="4404"/>
      <sheetData sheetId="4405"/>
      <sheetData sheetId="4406"/>
      <sheetData sheetId="4407"/>
      <sheetData sheetId="4408"/>
      <sheetData sheetId="4409"/>
      <sheetData sheetId="4410"/>
      <sheetData sheetId="4411">
        <row r="2">
          <cell r="A2">
            <v>0</v>
          </cell>
        </row>
      </sheetData>
      <sheetData sheetId="4412">
        <row r="2">
          <cell r="A2">
            <v>0</v>
          </cell>
        </row>
      </sheetData>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row r="2">
          <cell r="A2">
            <v>0</v>
          </cell>
        </row>
      </sheetData>
      <sheetData sheetId="4431"/>
      <sheetData sheetId="4432"/>
      <sheetData sheetId="4433"/>
      <sheetData sheetId="4434"/>
      <sheetData sheetId="4435"/>
      <sheetData sheetId="4436"/>
      <sheetData sheetId="4437">
        <row r="2">
          <cell r="A2">
            <v>0</v>
          </cell>
        </row>
      </sheetData>
      <sheetData sheetId="4438">
        <row r="2">
          <cell r="A2">
            <v>0</v>
          </cell>
        </row>
      </sheetData>
      <sheetData sheetId="4439">
        <row r="2">
          <cell r="A2">
            <v>0</v>
          </cell>
        </row>
      </sheetData>
      <sheetData sheetId="4440">
        <row r="2">
          <cell r="A2">
            <v>0</v>
          </cell>
        </row>
      </sheetData>
      <sheetData sheetId="4441"/>
      <sheetData sheetId="4442"/>
      <sheetData sheetId="4443"/>
      <sheetData sheetId="4444"/>
      <sheetData sheetId="4445"/>
      <sheetData sheetId="4446"/>
      <sheetData sheetId="4447">
        <row r="2">
          <cell r="A2">
            <v>0</v>
          </cell>
        </row>
      </sheetData>
      <sheetData sheetId="4448">
        <row r="2">
          <cell r="A2">
            <v>0</v>
          </cell>
        </row>
      </sheetData>
      <sheetData sheetId="4449">
        <row r="2">
          <cell r="A2">
            <v>0</v>
          </cell>
        </row>
      </sheetData>
      <sheetData sheetId="4450"/>
      <sheetData sheetId="4451"/>
      <sheetData sheetId="4452"/>
      <sheetData sheetId="4453"/>
      <sheetData sheetId="4454"/>
      <sheetData sheetId="4455"/>
      <sheetData sheetId="4456"/>
      <sheetData sheetId="4457">
        <row r="2">
          <cell r="A2">
            <v>0</v>
          </cell>
        </row>
      </sheetData>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row r="2">
          <cell r="A2">
            <v>0</v>
          </cell>
        </row>
      </sheetData>
      <sheetData sheetId="4477"/>
      <sheetData sheetId="4478"/>
      <sheetData sheetId="4479"/>
      <sheetData sheetId="4480"/>
      <sheetData sheetId="4481"/>
      <sheetData sheetId="4482"/>
      <sheetData sheetId="4483">
        <row r="2">
          <cell r="A2">
            <v>0</v>
          </cell>
        </row>
      </sheetData>
      <sheetData sheetId="4484">
        <row r="2">
          <cell r="A2">
            <v>0</v>
          </cell>
        </row>
      </sheetData>
      <sheetData sheetId="4485">
        <row r="2">
          <cell r="A2">
            <v>0</v>
          </cell>
        </row>
      </sheetData>
      <sheetData sheetId="4486">
        <row r="2">
          <cell r="A2">
            <v>0</v>
          </cell>
        </row>
      </sheetData>
      <sheetData sheetId="4487"/>
      <sheetData sheetId="4488"/>
      <sheetData sheetId="4489"/>
      <sheetData sheetId="4490"/>
      <sheetData sheetId="4491"/>
      <sheetData sheetId="4492"/>
      <sheetData sheetId="4493">
        <row r="2">
          <cell r="A2">
            <v>0</v>
          </cell>
        </row>
      </sheetData>
      <sheetData sheetId="4494">
        <row r="2">
          <cell r="A2">
            <v>0</v>
          </cell>
        </row>
      </sheetData>
      <sheetData sheetId="4495">
        <row r="2">
          <cell r="A2">
            <v>0</v>
          </cell>
        </row>
      </sheetData>
      <sheetData sheetId="4496">
        <row r="2">
          <cell r="A2">
            <v>0</v>
          </cell>
        </row>
      </sheetData>
      <sheetData sheetId="4497"/>
      <sheetData sheetId="4498"/>
      <sheetData sheetId="4499"/>
      <sheetData sheetId="4500"/>
      <sheetData sheetId="4501"/>
      <sheetData sheetId="4502"/>
      <sheetData sheetId="4503">
        <row r="2">
          <cell r="A2">
            <v>0</v>
          </cell>
        </row>
      </sheetData>
      <sheetData sheetId="4504">
        <row r="2">
          <cell r="A2">
            <v>0</v>
          </cell>
        </row>
      </sheetData>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row r="2">
          <cell r="A2">
            <v>0</v>
          </cell>
        </row>
      </sheetData>
      <sheetData sheetId="4523"/>
      <sheetData sheetId="4524"/>
      <sheetData sheetId="4525"/>
      <sheetData sheetId="4526"/>
      <sheetData sheetId="4527"/>
      <sheetData sheetId="4528"/>
      <sheetData sheetId="4529"/>
      <sheetData sheetId="4530">
        <row r="2">
          <cell r="A2">
            <v>0</v>
          </cell>
        </row>
      </sheetData>
      <sheetData sheetId="4531">
        <row r="2">
          <cell r="A2">
            <v>0</v>
          </cell>
        </row>
      </sheetData>
      <sheetData sheetId="4532">
        <row r="2">
          <cell r="A2">
            <v>0</v>
          </cell>
        </row>
      </sheetData>
      <sheetData sheetId="4533"/>
      <sheetData sheetId="4534"/>
      <sheetData sheetId="4535"/>
      <sheetData sheetId="4536"/>
      <sheetData sheetId="4537"/>
      <sheetData sheetId="4538"/>
      <sheetData sheetId="4539">
        <row r="2">
          <cell r="A2">
            <v>0</v>
          </cell>
        </row>
      </sheetData>
      <sheetData sheetId="4540">
        <row r="2">
          <cell r="A2">
            <v>0</v>
          </cell>
        </row>
      </sheetData>
      <sheetData sheetId="4541">
        <row r="2">
          <cell r="A2">
            <v>0</v>
          </cell>
        </row>
      </sheetData>
      <sheetData sheetId="4542">
        <row r="2">
          <cell r="A2">
            <v>0</v>
          </cell>
        </row>
      </sheetData>
      <sheetData sheetId="4543"/>
      <sheetData sheetId="4544"/>
      <sheetData sheetId="4545"/>
      <sheetData sheetId="4546"/>
      <sheetData sheetId="4547"/>
      <sheetData sheetId="4548"/>
      <sheetData sheetId="4549">
        <row r="2">
          <cell r="A2">
            <v>0</v>
          </cell>
        </row>
      </sheetData>
      <sheetData sheetId="4550">
        <row r="2">
          <cell r="A2">
            <v>0</v>
          </cell>
        </row>
      </sheetData>
      <sheetData sheetId="4551">
        <row r="2">
          <cell r="A2">
            <v>0</v>
          </cell>
        </row>
      </sheetData>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row r="2">
          <cell r="A2">
            <v>0</v>
          </cell>
        </row>
      </sheetData>
      <sheetData sheetId="4569"/>
      <sheetData sheetId="4570"/>
      <sheetData sheetId="4571"/>
      <sheetData sheetId="4572"/>
      <sheetData sheetId="4573"/>
      <sheetData sheetId="4574"/>
      <sheetData sheetId="4575"/>
      <sheetData sheetId="4576">
        <row r="2">
          <cell r="A2">
            <v>0</v>
          </cell>
        </row>
      </sheetData>
      <sheetData sheetId="4577">
        <row r="2">
          <cell r="A2">
            <v>0</v>
          </cell>
        </row>
      </sheetData>
      <sheetData sheetId="4578">
        <row r="2">
          <cell r="A2">
            <v>0</v>
          </cell>
        </row>
      </sheetData>
      <sheetData sheetId="4579"/>
      <sheetData sheetId="4580"/>
      <sheetData sheetId="4581"/>
      <sheetData sheetId="4582"/>
      <sheetData sheetId="4583"/>
      <sheetData sheetId="4584"/>
      <sheetData sheetId="4585"/>
      <sheetData sheetId="4586">
        <row r="2">
          <cell r="A2">
            <v>0</v>
          </cell>
        </row>
      </sheetData>
      <sheetData sheetId="4587">
        <row r="2">
          <cell r="A2">
            <v>0</v>
          </cell>
        </row>
      </sheetData>
      <sheetData sheetId="4588">
        <row r="2">
          <cell r="A2">
            <v>0</v>
          </cell>
        </row>
      </sheetData>
      <sheetData sheetId="4589"/>
      <sheetData sheetId="4590"/>
      <sheetData sheetId="4591"/>
      <sheetData sheetId="4592"/>
      <sheetData sheetId="4593"/>
      <sheetData sheetId="4594"/>
      <sheetData sheetId="4595"/>
      <sheetData sheetId="4596">
        <row r="2">
          <cell r="A2">
            <v>0</v>
          </cell>
        </row>
      </sheetData>
      <sheetData sheetId="4597">
        <row r="2">
          <cell r="A2">
            <v>0</v>
          </cell>
        </row>
      </sheetData>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row r="2">
          <cell r="A2">
            <v>0</v>
          </cell>
        </row>
      </sheetData>
      <sheetData sheetId="4616"/>
      <sheetData sheetId="4617"/>
      <sheetData sheetId="4618"/>
      <sheetData sheetId="4619"/>
      <sheetData sheetId="4620"/>
      <sheetData sheetId="4621"/>
      <sheetData sheetId="4622">
        <row r="2">
          <cell r="A2">
            <v>0</v>
          </cell>
        </row>
      </sheetData>
      <sheetData sheetId="4623">
        <row r="2">
          <cell r="A2">
            <v>0</v>
          </cell>
        </row>
      </sheetData>
      <sheetData sheetId="4624">
        <row r="2">
          <cell r="A2">
            <v>0</v>
          </cell>
        </row>
      </sheetData>
      <sheetData sheetId="4625">
        <row r="2">
          <cell r="A2">
            <v>0</v>
          </cell>
        </row>
      </sheetData>
      <sheetData sheetId="4626"/>
      <sheetData sheetId="4627"/>
      <sheetData sheetId="4628"/>
      <sheetData sheetId="4629"/>
      <sheetData sheetId="4630"/>
      <sheetData sheetId="4631"/>
      <sheetData sheetId="4632">
        <row r="2">
          <cell r="A2">
            <v>0</v>
          </cell>
        </row>
      </sheetData>
      <sheetData sheetId="4633">
        <row r="2">
          <cell r="A2">
            <v>0</v>
          </cell>
        </row>
      </sheetData>
      <sheetData sheetId="4634">
        <row r="2">
          <cell r="A2">
            <v>0</v>
          </cell>
        </row>
      </sheetData>
      <sheetData sheetId="4635"/>
      <sheetData sheetId="4636"/>
      <sheetData sheetId="4637"/>
      <sheetData sheetId="4638"/>
      <sheetData sheetId="4639"/>
      <sheetData sheetId="4640"/>
      <sheetData sheetId="4641"/>
      <sheetData sheetId="4642">
        <row r="2">
          <cell r="A2">
            <v>0</v>
          </cell>
        </row>
      </sheetData>
      <sheetData sheetId="4643">
        <row r="2">
          <cell r="A2">
            <v>0</v>
          </cell>
        </row>
      </sheetData>
      <sheetData sheetId="4644"/>
      <sheetData sheetId="4645"/>
      <sheetData sheetId="4646"/>
      <sheetData sheetId="4647"/>
      <sheetData sheetId="4648"/>
      <sheetData sheetId="4649"/>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sheetData sheetId="4658"/>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sheetData sheetId="5056"/>
      <sheetData sheetId="5057"/>
      <sheetData sheetId="5058">
        <row r="2">
          <cell r="A2">
            <v>0</v>
          </cell>
        </row>
      </sheetData>
      <sheetData sheetId="5059">
        <row r="2">
          <cell r="A2">
            <v>0</v>
          </cell>
        </row>
      </sheetData>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row r="2">
          <cell r="A2">
            <v>0</v>
          </cell>
        </row>
      </sheetData>
      <sheetData sheetId="5078"/>
      <sheetData sheetId="5079"/>
      <sheetData sheetId="5080"/>
      <sheetData sheetId="5081"/>
      <sheetData sheetId="5082"/>
      <sheetData sheetId="5083"/>
      <sheetData sheetId="5084"/>
      <sheetData sheetId="5085">
        <row r="2">
          <cell r="A2">
            <v>0</v>
          </cell>
        </row>
      </sheetData>
      <sheetData sheetId="5086">
        <row r="2">
          <cell r="A2">
            <v>0</v>
          </cell>
        </row>
      </sheetData>
      <sheetData sheetId="5087">
        <row r="2">
          <cell r="A2">
            <v>0</v>
          </cell>
        </row>
      </sheetData>
      <sheetData sheetId="5088"/>
      <sheetData sheetId="5089"/>
      <sheetData sheetId="5090"/>
      <sheetData sheetId="5091"/>
      <sheetData sheetId="5092"/>
      <sheetData sheetId="5093"/>
      <sheetData sheetId="5094">
        <row r="2">
          <cell r="A2">
            <v>0</v>
          </cell>
        </row>
      </sheetData>
      <sheetData sheetId="5095">
        <row r="2">
          <cell r="A2">
            <v>0</v>
          </cell>
        </row>
      </sheetData>
      <sheetData sheetId="5096">
        <row r="2">
          <cell r="A2">
            <v>0</v>
          </cell>
        </row>
      </sheetData>
      <sheetData sheetId="5097">
        <row r="2">
          <cell r="A2">
            <v>0</v>
          </cell>
        </row>
      </sheetData>
      <sheetData sheetId="5098"/>
      <sheetData sheetId="5099"/>
      <sheetData sheetId="5100"/>
      <sheetData sheetId="5101"/>
      <sheetData sheetId="5102"/>
      <sheetData sheetId="5103"/>
      <sheetData sheetId="5104">
        <row r="2">
          <cell r="A2">
            <v>0</v>
          </cell>
        </row>
      </sheetData>
      <sheetData sheetId="5105">
        <row r="2">
          <cell r="A2">
            <v>0</v>
          </cell>
        </row>
      </sheetData>
      <sheetData sheetId="5106">
        <row r="2">
          <cell r="A2">
            <v>0</v>
          </cell>
        </row>
      </sheetData>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row r="2">
          <cell r="A2">
            <v>0</v>
          </cell>
        </row>
      </sheetData>
      <sheetData sheetId="5124"/>
      <sheetData sheetId="5125"/>
      <sheetData sheetId="5126"/>
      <sheetData sheetId="5127"/>
      <sheetData sheetId="5128"/>
      <sheetData sheetId="5129"/>
      <sheetData sheetId="5130"/>
      <sheetData sheetId="5131">
        <row r="2">
          <cell r="A2">
            <v>0</v>
          </cell>
        </row>
      </sheetData>
      <sheetData sheetId="5132">
        <row r="2">
          <cell r="A2">
            <v>0</v>
          </cell>
        </row>
      </sheetData>
      <sheetData sheetId="5133">
        <row r="2">
          <cell r="A2">
            <v>0</v>
          </cell>
        </row>
      </sheetData>
      <sheetData sheetId="5134"/>
      <sheetData sheetId="5135"/>
      <sheetData sheetId="5136"/>
      <sheetData sheetId="5137"/>
      <sheetData sheetId="5138"/>
      <sheetData sheetId="5139"/>
      <sheetData sheetId="5140"/>
      <sheetData sheetId="5141">
        <row r="2">
          <cell r="A2">
            <v>0</v>
          </cell>
        </row>
      </sheetData>
      <sheetData sheetId="5142">
        <row r="2">
          <cell r="A2">
            <v>0</v>
          </cell>
        </row>
      </sheetData>
      <sheetData sheetId="5143">
        <row r="2">
          <cell r="A2">
            <v>0</v>
          </cell>
        </row>
      </sheetData>
      <sheetData sheetId="5144"/>
      <sheetData sheetId="5145"/>
      <sheetData sheetId="5146"/>
      <sheetData sheetId="5147"/>
      <sheetData sheetId="5148"/>
      <sheetData sheetId="5149"/>
      <sheetData sheetId="5150"/>
      <sheetData sheetId="5151">
        <row r="2">
          <cell r="A2">
            <v>0</v>
          </cell>
        </row>
      </sheetData>
      <sheetData sheetId="5152">
        <row r="2">
          <cell r="A2">
            <v>0</v>
          </cell>
        </row>
      </sheetData>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row r="2">
          <cell r="A2">
            <v>0</v>
          </cell>
        </row>
      </sheetData>
      <sheetData sheetId="5171"/>
      <sheetData sheetId="5172"/>
      <sheetData sheetId="5173"/>
      <sheetData sheetId="5174"/>
      <sheetData sheetId="5175"/>
      <sheetData sheetId="5176"/>
      <sheetData sheetId="5177">
        <row r="2">
          <cell r="A2">
            <v>0</v>
          </cell>
        </row>
      </sheetData>
      <sheetData sheetId="5178">
        <row r="2">
          <cell r="A2">
            <v>0</v>
          </cell>
        </row>
      </sheetData>
      <sheetData sheetId="5179">
        <row r="2">
          <cell r="A2">
            <v>0</v>
          </cell>
        </row>
      </sheetData>
      <sheetData sheetId="5180">
        <row r="2">
          <cell r="A2">
            <v>0</v>
          </cell>
        </row>
      </sheetData>
      <sheetData sheetId="5181"/>
      <sheetData sheetId="5182"/>
      <sheetData sheetId="5183"/>
      <sheetData sheetId="5184"/>
      <sheetData sheetId="5185"/>
      <sheetData sheetId="5186"/>
      <sheetData sheetId="5187">
        <row r="2">
          <cell r="A2">
            <v>0</v>
          </cell>
        </row>
      </sheetData>
      <sheetData sheetId="5188">
        <row r="2">
          <cell r="A2">
            <v>0</v>
          </cell>
        </row>
      </sheetData>
      <sheetData sheetId="5189">
        <row r="2">
          <cell r="A2">
            <v>0</v>
          </cell>
        </row>
      </sheetData>
      <sheetData sheetId="5190"/>
      <sheetData sheetId="5191"/>
      <sheetData sheetId="5192"/>
      <sheetData sheetId="5193"/>
      <sheetData sheetId="5194"/>
      <sheetData sheetId="5195"/>
      <sheetData sheetId="5196"/>
      <sheetData sheetId="5197">
        <row r="2">
          <cell r="A2">
            <v>0</v>
          </cell>
        </row>
      </sheetData>
      <sheetData sheetId="5198">
        <row r="2">
          <cell r="A2">
            <v>0</v>
          </cell>
        </row>
      </sheetData>
      <sheetData sheetId="5199"/>
      <sheetData sheetId="5200"/>
      <sheetData sheetId="5201"/>
      <sheetData sheetId="5202"/>
      <sheetData sheetId="5203"/>
      <sheetData sheetId="5204"/>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sheetData sheetId="5213"/>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sheetData sheetId="5513"/>
      <sheetData sheetId="5514"/>
      <sheetData sheetId="5515"/>
      <sheetData sheetId="5516"/>
      <sheetData sheetId="5517"/>
      <sheetData sheetId="5518" refreshError="1"/>
      <sheetData sheetId="5519" refreshError="1"/>
      <sheetData sheetId="5520" refreshError="1"/>
      <sheetData sheetId="5521" refreshError="1"/>
      <sheetData sheetId="5522" refreshError="1"/>
      <sheetData sheetId="5523" refreshError="1"/>
      <sheetData sheetId="5524">
        <row r="2">
          <cell r="A2">
            <v>0</v>
          </cell>
        </row>
      </sheetData>
      <sheetData sheetId="5525">
        <row r="2">
          <cell r="A2">
            <v>0</v>
          </cell>
        </row>
      </sheetData>
      <sheetData sheetId="5526">
        <row r="2">
          <cell r="A2">
            <v>0</v>
          </cell>
        </row>
      </sheetData>
      <sheetData sheetId="5527">
        <row r="2">
          <cell r="A2">
            <v>0</v>
          </cell>
        </row>
      </sheetData>
      <sheetData sheetId="5528" refreshError="1"/>
      <sheetData sheetId="5529" refreshError="1"/>
      <sheetData sheetId="5530">
        <row r="2">
          <cell r="A2">
            <v>0</v>
          </cell>
        </row>
      </sheetData>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sheetData sheetId="5544"/>
      <sheetData sheetId="5545"/>
      <sheetData sheetId="5546"/>
      <sheetData sheetId="5547"/>
      <sheetData sheetId="5548">
        <row r="2">
          <cell r="A2">
            <v>0</v>
          </cell>
        </row>
      </sheetData>
      <sheetData sheetId="5549">
        <row r="2">
          <cell r="A2">
            <v>0</v>
          </cell>
        </row>
      </sheetData>
      <sheetData sheetId="5550">
        <row r="2">
          <cell r="A2">
            <v>0</v>
          </cell>
        </row>
      </sheetData>
      <sheetData sheetId="5551" refreshError="1"/>
      <sheetData sheetId="5552" refreshError="1"/>
      <sheetData sheetId="5553">
        <row r="2">
          <cell r="A2" t="str">
            <v>Locación</v>
          </cell>
        </row>
      </sheetData>
      <sheetData sheetId="5554"/>
      <sheetData sheetId="5555" refreshError="1"/>
      <sheetData sheetId="5556" refreshError="1"/>
      <sheetData sheetId="5557"/>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sheetData sheetId="5593"/>
      <sheetData sheetId="5594">
        <row r="2">
          <cell r="A2" t="str">
            <v>“CONSTRUCCIÓN DE OBRAS CIVILES, ELÉCTRICAS, MECÁNICAS E INSTRUMENTACIÓN REQUERIDAS POR ECOPETROL Y SU GRUPO EMPRESARIAL PARA LA VIGENCIA 2017-2020 CON OPCIÓN DE DOS AÑOS”</v>
          </cell>
        </row>
      </sheetData>
      <sheetData sheetId="5595">
        <row r="5">
          <cell r="A5">
            <v>0</v>
          </cell>
        </row>
      </sheetData>
      <sheetData sheetId="5596"/>
      <sheetData sheetId="5597"/>
      <sheetData sheetId="5598"/>
      <sheetData sheetId="5599"/>
      <sheetData sheetId="5600"/>
      <sheetData sheetId="5601"/>
      <sheetData sheetId="5602"/>
      <sheetData sheetId="5603"/>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PrecRec"/>
      <sheetName val="32"/>
      <sheetName val="APU"/>
      <sheetName val="LISTA CÓDIGOS"/>
      <sheetName val="BASE APU"/>
      <sheetName val="MANO DE OBRA"/>
      <sheetName val="INSUMOS"/>
      <sheetName val="EQUIPOS"/>
      <sheetName val="MATERIALES"/>
      <sheetName val="ESTRUCTURAS"/>
      <sheetName val="TRANSPORTE"/>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sheetData sheetId="46">
        <row r="1">
          <cell r="E1">
            <v>0</v>
          </cell>
        </row>
      </sheetData>
      <sheetData sheetId="47"/>
      <sheetData sheetId="48"/>
      <sheetData sheetId="49"/>
      <sheetData sheetId="50"/>
      <sheetData sheetId="51"/>
      <sheetData sheetId="5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FORMULARIO AIU"/>
      <sheetName val="8.2 PRESTACIONES"/>
      <sheetName val="8.2 BASE"/>
      <sheetName val="8.2 APACONCRETOS"/>
      <sheetName val="8.3 PRESUPUESTO"/>
      <sheetName val="8.4 APU´S"/>
      <sheetName val="TANQUE 120m3"/>
      <sheetName val="APU TANQUE 120 m3"/>
      <sheetName val="REDES DE DISTRUBICÓN"/>
      <sheetName val="APU REDES DISTRIBUCIÓN"/>
      <sheetName val="RESUMEN OBRAS "/>
      <sheetName val="8.5 RESUMEN"/>
      <sheetName val="Hoja1"/>
    </sheetNames>
    <sheetDataSet>
      <sheetData sheetId="0"/>
      <sheetData sheetId="1">
        <row r="14">
          <cell r="F14">
            <v>589500</v>
          </cell>
        </row>
      </sheetData>
      <sheetData sheetId="2">
        <row r="1731">
          <cell r="E1731">
            <v>300000</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APU CONCRETOS"/>
      <sheetName val="PRESUPUESTO"/>
      <sheetName val="APU´S"/>
      <sheetName val="TANQUE 120m3"/>
      <sheetName val="APU TANQUE 120 m3"/>
      <sheetName val="REDES DE DISTRUBICÓN"/>
      <sheetName val="APU REDES DISTRIBUCIÓN"/>
      <sheetName val="RESUMEN OBRAS "/>
      <sheetName val="RESUMEN"/>
    </sheetNames>
    <sheetDataSet>
      <sheetData sheetId="0" refreshError="1"/>
      <sheetData sheetId="1" refreshError="1"/>
      <sheetData sheetId="2" refreshError="1">
        <row r="72">
          <cell r="D72">
            <v>31000</v>
          </cell>
        </row>
        <row r="77">
          <cell r="D77">
            <v>875</v>
          </cell>
        </row>
        <row r="92">
          <cell r="D92">
            <v>2544</v>
          </cell>
        </row>
        <row r="93">
          <cell r="D93">
            <v>3156</v>
          </cell>
        </row>
        <row r="169">
          <cell r="D169">
            <v>25256</v>
          </cell>
        </row>
        <row r="1489">
          <cell r="D1489">
            <v>16659.455999999998</v>
          </cell>
        </row>
        <row r="1490">
          <cell r="D1490">
            <v>35279.474399999999</v>
          </cell>
        </row>
        <row r="1514">
          <cell r="D1514">
            <v>114547</v>
          </cell>
        </row>
        <row r="1569">
          <cell r="D1569">
            <v>160080</v>
          </cell>
        </row>
        <row r="1573">
          <cell r="D1573">
            <v>222441.59999999998</v>
          </cell>
        </row>
        <row r="1574">
          <cell r="D1574">
            <v>114770.4</v>
          </cell>
        </row>
        <row r="1575">
          <cell r="D1575">
            <v>101755.2</v>
          </cell>
        </row>
        <row r="1576">
          <cell r="D1576">
            <v>121800</v>
          </cell>
        </row>
        <row r="1577">
          <cell r="D1577">
            <v>82360</v>
          </cell>
        </row>
        <row r="1578">
          <cell r="D1578">
            <v>64960</v>
          </cell>
        </row>
        <row r="1635">
          <cell r="D1635">
            <v>717.01919999999996</v>
          </cell>
        </row>
        <row r="1636">
          <cell r="D1636">
            <v>3006.96</v>
          </cell>
        </row>
        <row r="1654">
          <cell r="D1654">
            <v>70000</v>
          </cell>
        </row>
        <row r="1662">
          <cell r="D1662">
            <v>12311.4</v>
          </cell>
        </row>
        <row r="1681">
          <cell r="D1681">
            <v>185640</v>
          </cell>
        </row>
        <row r="1687">
          <cell r="D1687">
            <v>2805</v>
          </cell>
        </row>
        <row r="1692">
          <cell r="D1692">
            <v>2550</v>
          </cell>
        </row>
        <row r="1720">
          <cell r="D1720">
            <v>584640</v>
          </cell>
        </row>
        <row r="1721">
          <cell r="D1721">
            <v>438479.99999999994</v>
          </cell>
        </row>
        <row r="1725">
          <cell r="D1725">
            <v>372360</v>
          </cell>
        </row>
        <row r="1765">
          <cell r="D1765">
            <v>260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ARILLADO"/>
      <sheetName val="CANTIDAD DE OBRA RESIDUAL"/>
      <sheetName val="APU ALCANT"/>
      <sheetName val="PRPTO ALCANTARILLADO"/>
      <sheetName val="PRESUPUESTO"/>
      <sheetName val="TANQUE 120m3"/>
      <sheetName val="APU TANQUE 120 m3"/>
      <sheetName val="REDES DE DISTRUBICÓN"/>
      <sheetName val="APU REDES DISTRIBUCIÓN"/>
      <sheetName val="RESUMEN OBRAS "/>
      <sheetName val="PRESUPUESTO ALDO RESIDUAL"/>
      <sheetName val="Hoja1"/>
      <sheetName val="Hoja2"/>
      <sheetName val="CANTIDAD DE OBRA LLUVIAS"/>
      <sheetName val="PRESUPUESTOS ALDO LLUVIAS"/>
      <sheetName val="RESUMEN DE OBRA"/>
    </sheetNames>
    <sheetDataSet>
      <sheetData sheetId="0"/>
      <sheetData sheetId="1"/>
      <sheetData sheetId="2">
        <row r="38">
          <cell r="D38">
            <v>420077.16649999999</v>
          </cell>
        </row>
        <row r="63">
          <cell r="D63">
            <v>48600</v>
          </cell>
        </row>
        <row r="99">
          <cell r="D99">
            <v>32234</v>
          </cell>
        </row>
        <row r="100">
          <cell r="D100">
            <v>28400</v>
          </cell>
        </row>
        <row r="107">
          <cell r="D107">
            <v>14000</v>
          </cell>
        </row>
        <row r="108">
          <cell r="D108">
            <v>3300</v>
          </cell>
        </row>
        <row r="124">
          <cell r="D124">
            <v>35000</v>
          </cell>
        </row>
        <row r="129">
          <cell r="D129">
            <v>30000</v>
          </cell>
        </row>
        <row r="130">
          <cell r="D130">
            <v>12000</v>
          </cell>
        </row>
        <row r="131">
          <cell r="D131">
            <v>1300000</v>
          </cell>
        </row>
        <row r="135">
          <cell r="D135">
            <v>18560</v>
          </cell>
        </row>
        <row r="1251">
          <cell r="D1251">
            <v>27031.209333333332</v>
          </cell>
        </row>
        <row r="1252">
          <cell r="D1252">
            <v>36916.168666666665</v>
          </cell>
        </row>
        <row r="1253">
          <cell r="D1253">
            <v>53918.018000000004</v>
          </cell>
        </row>
        <row r="1254">
          <cell r="D1254">
            <v>79719.801333333337</v>
          </cell>
        </row>
        <row r="1256">
          <cell r="D1256">
            <v>173028.36466666669</v>
          </cell>
        </row>
        <row r="1257">
          <cell r="D1257">
            <v>214773.12999999998</v>
          </cell>
        </row>
        <row r="1610">
          <cell r="D1610">
            <v>2958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BASE"/>
      <sheetName val="APU CONCRETOS"/>
      <sheetName val="APU´S"/>
      <sheetName val="PRESUPUESTO"/>
      <sheetName val="TANQUE 120m3"/>
      <sheetName val="APU TANQUE 120 m3"/>
      <sheetName val="REDES DE DISTRUBICÓN"/>
      <sheetName val="APU REDES DISTRIBUCIÓN"/>
      <sheetName val="RESUMEN OBRAS "/>
      <sheetName val="RESUMEN"/>
    </sheetNames>
    <sheetDataSet>
      <sheetData sheetId="0" refreshError="1"/>
      <sheetData sheetId="1" refreshError="1">
        <row r="136">
          <cell r="D136">
            <v>10000</v>
          </cell>
        </row>
        <row r="162">
          <cell r="D162">
            <v>42124.245042133341</v>
          </cell>
        </row>
        <row r="239">
          <cell r="D239">
            <v>58575.75070656</v>
          </cell>
        </row>
        <row r="644">
          <cell r="D644">
            <v>455879.99999999994</v>
          </cell>
        </row>
        <row r="645">
          <cell r="D645">
            <v>607840</v>
          </cell>
        </row>
        <row r="893">
          <cell r="D893">
            <v>17948.68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CANTIDADES"/>
      <sheetName val="APU ALCANTARILLADO"/>
      <sheetName val="PRESUPUESTO ALDO ORIENCOMBINADO"/>
      <sheetName val="Hoja1"/>
    </sheetNames>
    <sheetDataSet>
      <sheetData sheetId="0" refreshError="1"/>
      <sheetData sheetId="1" refreshError="1"/>
      <sheetData sheetId="2" refreshError="1">
        <row r="593">
          <cell r="D593">
            <v>425719.99999999994</v>
          </cell>
        </row>
        <row r="876">
          <cell r="D876">
            <v>116231.99999999999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finición del subproyecto"/>
      <sheetName val="1. Solicitud iniciativa ext"/>
      <sheetName val="1. Solicitud iniciativa int "/>
      <sheetName val="2. Identificación"/>
      <sheetName val="3. Preparación"/>
      <sheetName val="4. Est. Previos Contratación"/>
      <sheetName val="5. Est. Previos Prest. Servicio"/>
      <sheetName val="6. Producto (POI)"/>
      <sheetName val="7. Memoria de Calculo"/>
      <sheetName val="Anexo 1 Subp. Saneam-Consult"/>
      <sheetName val="Anexo 2 S. Saneamiento-Obra"/>
      <sheetName val="Anexo 3. Ppto Obra Saneamiento"/>
      <sheetName val="Anexo 4. A.P.U Obra."/>
      <sheetName val="Anexo 5. Ppto. Consultoria"/>
      <sheetName val="mapa POMCH"/>
      <sheetName val="listado proyectos POMCH"/>
      <sheetName val="mapa DMI_RFP"/>
      <sheetName val="Listado proyectos DMI-RFP"/>
      <sheetName val="Clas_Mano de Obra"/>
      <sheetName val="mapa ZON_AMB"/>
      <sheetName val="mapa ZSH"/>
      <sheetName val="base de datos"/>
      <sheetName val="Tramites_ambient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3">
          <cell r="G3" t="str">
            <v>D.T. Aburrá Norte</v>
          </cell>
          <cell r="I3" t="str">
            <v>Toda la Jurisdicción</v>
          </cell>
          <cell r="J3" t="str">
            <v>Línea 1. Democratización de la información para la generación del conocimiento, la participación y la gestión.</v>
          </cell>
          <cell r="L3" t="str">
            <v>Programa I. Gestión de información y conocimiento</v>
          </cell>
          <cell r="M3" t="str">
            <v>CD201200001</v>
          </cell>
          <cell r="N3" t="str">
            <v>Proyecto 1.  Gestión de la información</v>
          </cell>
          <cell r="O3" t="str">
            <v>CD20120000101</v>
          </cell>
          <cell r="P3" t="str">
            <v>1.1. Formulación del plan de sistema de gestión de la información.</v>
          </cell>
          <cell r="Q3" t="str">
            <v>Seguimiento Plan Formulado</v>
          </cell>
          <cell r="R3" t="str">
            <v>PLAN DE ORDENACION Y MANEJO DE LA CUENCA ALTAVISTA</v>
          </cell>
          <cell r="S3" t="str">
            <v>DISTRITO DE MANEJO INTEGRADO DE LOS RECURSOS NATURALES RENOVABLES DEL SISTEMA DE PÁRAMOS Y BOSQUES ALTOANDINOS DEL NOROCCIDENTE MEDIO ANTIOQUEÑO</v>
          </cell>
          <cell r="T3" t="str">
            <v>Concesión de aguas superficiales</v>
          </cell>
          <cell r="U3" t="str">
            <v>En trámite</v>
          </cell>
          <cell r="V3">
            <v>1</v>
          </cell>
          <cell r="W3">
            <v>1</v>
          </cell>
          <cell r="X3" t="str">
            <v>Enero</v>
          </cell>
          <cell r="Y3" t="str">
            <v>2020</v>
          </cell>
        </row>
        <row r="4">
          <cell r="G4" t="str">
            <v>D.T. Aburra Sur</v>
          </cell>
          <cell r="I4" t="str">
            <v>Varios Municipios</v>
          </cell>
          <cell r="J4" t="str">
            <v>Línea 2. Planificación ambiental para la adecuada ocupación del territorio.</v>
          </cell>
          <cell r="L4" t="str">
            <v>Programa II. Planificación Ambiental del Territorio</v>
          </cell>
          <cell r="M4" t="str">
            <v>CD201200002</v>
          </cell>
          <cell r="N4" t="str">
            <v>Proyecto 2.  Gestión del conocimiento</v>
          </cell>
          <cell r="O4" t="str">
            <v>CD20120000102</v>
          </cell>
          <cell r="P4" t="str">
            <v>1.2. Sostenibilidad de la plataforma del sistema de información</v>
          </cell>
          <cell r="Q4" t="str">
            <v>% plataforma operando</v>
          </cell>
          <cell r="R4" t="str">
            <v>PLAN DE ORDENACION Y MANEJO DE LA CUENCA DEL RIO ABURRA</v>
          </cell>
          <cell r="S4" t="str">
            <v>DISTRITO DE MANEJO INTEGRADO DE LOS RECURSOS NATURALES RENOVABLES DIVISORIA VALLE DE ABURRÁ – RIO CAUCA</v>
          </cell>
          <cell r="T4" t="str">
            <v>Concesión de aguas subterráneas</v>
          </cell>
          <cell r="U4" t="str">
            <v>Resuelto sin Resolución</v>
          </cell>
          <cell r="V4">
            <v>2</v>
          </cell>
          <cell r="W4">
            <v>2</v>
          </cell>
          <cell r="X4" t="str">
            <v>Febrero</v>
          </cell>
          <cell r="Y4" t="str">
            <v>2019</v>
          </cell>
        </row>
        <row r="5">
          <cell r="G5" t="str">
            <v>D.T. Cartama</v>
          </cell>
          <cell r="I5" t="str">
            <v>Amagá</v>
          </cell>
          <cell r="J5" t="str">
            <v>Línea 3. Gestión integral de las áreas protegidas estratégicas y de los recursos naturales para el desarrollo sostenible de las regiones.</v>
          </cell>
          <cell r="L5" t="str">
            <v>Programa III.  Fortalecimiento de la Regionalización</v>
          </cell>
          <cell r="M5" t="str">
            <v>CD201200003</v>
          </cell>
          <cell r="N5" t="str">
            <v>Proyecto 3. Planificación Ambiental Regional</v>
          </cell>
          <cell r="O5" t="str">
            <v>CD20120000203</v>
          </cell>
          <cell r="P5" t="str">
            <v>1.3. Gestión de nuevos componentes tecnológicos integrados al sistema de información priorizando agua y bosque.</v>
          </cell>
          <cell r="Q5" t="str">
            <v>% Módulos desarrollados del Sistema de Información</v>
          </cell>
          <cell r="R5" t="str">
            <v>PLAN DE ORDENACION Y MANEJO DE LA CUENCA DEL RIO AMACERI</v>
          </cell>
          <cell r="S5" t="str">
            <v>RESERVA FORESTAL PROTECTORA NARE</v>
          </cell>
          <cell r="T5" t="str">
            <v>Permiso de exploración de aguas subterráneas</v>
          </cell>
          <cell r="U5" t="str">
            <v>Resuelto con Resolución</v>
          </cell>
          <cell r="V5">
            <v>3</v>
          </cell>
          <cell r="W5">
            <v>3</v>
          </cell>
          <cell r="X5" t="str">
            <v>Marzo</v>
          </cell>
          <cell r="Y5" t="str">
            <v>2018</v>
          </cell>
        </row>
        <row r="6">
          <cell r="G6" t="str">
            <v>D.T. Citará</v>
          </cell>
          <cell r="I6" t="str">
            <v>Amalfi</v>
          </cell>
          <cell r="J6" t="str">
            <v>Línea 4. Corantioquia articuladora para la gestión ambiental en el territorio.</v>
          </cell>
          <cell r="L6" t="str">
            <v xml:space="preserve">Programa IV. Gestión integral en áreas estratégicas </v>
          </cell>
          <cell r="M6" t="str">
            <v>CD201200004</v>
          </cell>
          <cell r="N6" t="str">
            <v>Proyecto 4. Fortalecimiento de la planificación ambiental local</v>
          </cell>
          <cell r="O6" t="str">
            <v>CD20120000204</v>
          </cell>
          <cell r="P6" t="str">
            <v>1.4. Definición del proceso de gestión de la información  corporativa</v>
          </cell>
          <cell r="Q6" t="str">
            <v>% de revisión del proceso</v>
          </cell>
          <cell r="R6" t="str">
            <v>PLAN DE ORDENACION Y MANEJO DE LA CUENCA DEL RIO AMAGA</v>
          </cell>
          <cell r="S6" t="str">
            <v>DISTRITO DE MANEJO INTEGRADO DE LOS RECURSOS NATURALES RENOVABLES DEL CAÑÓN DEL RÍO ALICANTE</v>
          </cell>
          <cell r="T6" t="str">
            <v>Permisos de estudio con fines de investigación científica sobre diversidad biológica</v>
          </cell>
          <cell r="V6">
            <v>4</v>
          </cell>
          <cell r="W6">
            <v>4</v>
          </cell>
          <cell r="X6" t="str">
            <v>Abril</v>
          </cell>
          <cell r="Y6" t="str">
            <v>2017</v>
          </cell>
        </row>
        <row r="7">
          <cell r="G7" t="str">
            <v>D.T. Hevéxicos</v>
          </cell>
          <cell r="I7" t="str">
            <v>Andes</v>
          </cell>
          <cell r="J7" t="str">
            <v>Línea 5. Formación, participación y comunicación para el desarrollo de una cultura ambiental responsable y ética.</v>
          </cell>
          <cell r="L7" t="str">
            <v>Programa V. Sostenibilidad ambiental de los sectores productivos y asentamientos</v>
          </cell>
          <cell r="M7" t="str">
            <v>CD201200005</v>
          </cell>
          <cell r="N7" t="str">
            <v>Proyecto 5. Administración de los recursos naturales</v>
          </cell>
          <cell r="O7" t="str">
            <v>CD20120000305</v>
          </cell>
          <cell r="P7" t="str">
            <v>2.1. Definición del proceso de gestión del conocimiento corporativo</v>
          </cell>
          <cell r="Q7" t="str">
            <v>% de revisión del proceso</v>
          </cell>
          <cell r="R7" t="str">
            <v>PLAN DE ORDENACION Y MANEJO DE LAS ÁREAS DE REGULACIÓN HÍDRICA, CON INFLUENCIA SOBRE EL PROYECTO DE GENERACIÓN TERMOELÉCTRICA DE LA SIERRA (CUENCA RIO NARE Y PESCADO)</v>
          </cell>
          <cell r="S7" t="str">
            <v xml:space="preserve">DISTRITO DE MANEJO INTEGRADO DE LOS RECURSOS NATURALES RENOVABLES CERRO PLATEADO – ALTO SAN JOSÉ </v>
          </cell>
          <cell r="T7" t="str">
            <v>Permisos para el estudio de los recursos naturales para su futuro aprovechamiento.</v>
          </cell>
          <cell r="V7">
            <v>5</v>
          </cell>
          <cell r="W7">
            <v>5</v>
          </cell>
          <cell r="X7" t="str">
            <v>Mayo</v>
          </cell>
          <cell r="Y7" t="str">
            <v>2016</v>
          </cell>
        </row>
        <row r="8">
          <cell r="G8" t="str">
            <v>D.T. Panzenu</v>
          </cell>
          <cell r="I8" t="str">
            <v>Angelópolis</v>
          </cell>
          <cell r="L8" t="str">
            <v>Programa VI. Fortalecimiento institucional</v>
          </cell>
          <cell r="M8" t="str">
            <v>CD201200006</v>
          </cell>
          <cell r="N8" t="str">
            <v>Proyecto 6. Gestión Ambiental Integral articulada a lo local</v>
          </cell>
          <cell r="O8" t="str">
            <v>CD20120000306</v>
          </cell>
          <cell r="P8" t="str">
            <v>2.2. Implementación del proceso de gestión del conocimiento corporativo</v>
          </cell>
          <cell r="Q8" t="str">
            <v>% avance del proceso</v>
          </cell>
          <cell r="R8" t="str">
            <v>PLAN DE ORDENACION Y MANEJO DE LA CUENCA DEL RIO AURRA</v>
          </cell>
          <cell r="S8" t="str">
            <v>DISTRITO DE MANEJO INTEGRADO DE LOS RECURSOS NATURALES RENOVABLES CUCHILLA JARDÍN-TÁMESIS</v>
          </cell>
          <cell r="T8" t="str">
            <v>Permisos para el estudio de los bosques naturales y la flora silvestre para su futuro aprovechamiento.</v>
          </cell>
          <cell r="V8">
            <v>6</v>
          </cell>
          <cell r="W8">
            <v>6</v>
          </cell>
          <cell r="X8" t="str">
            <v>Junio</v>
          </cell>
          <cell r="Y8" t="str">
            <v>2015</v>
          </cell>
        </row>
        <row r="9">
          <cell r="G9" t="str">
            <v>D.T. Zenufaná</v>
          </cell>
          <cell r="I9" t="str">
            <v>Angostura</v>
          </cell>
          <cell r="L9" t="str">
            <v>Programa VII. Construcción de una cultura ambiental ética y responsable.</v>
          </cell>
          <cell r="M9" t="str">
            <v>CD201200007</v>
          </cell>
          <cell r="N9" t="str">
            <v>Proyecto 7. Gestión sostenible del recurso hídrico</v>
          </cell>
          <cell r="O9" t="str">
            <v>CD20120000407</v>
          </cell>
          <cell r="P9" t="str">
            <v>3.1. Fortalecimiento de la planificación ambiental regional</v>
          </cell>
          <cell r="Q9" t="str">
            <v xml:space="preserve">N° documento de amenazas (Fase 1) (incluye texto y mapa) </v>
          </cell>
          <cell r="R9" t="str">
            <v>PLAN DE ORDENACION Y MANEJO DE LA CUENCA DEL RIO BAGRE</v>
          </cell>
          <cell r="S9" t="str">
            <v>DISTRITO DE MANEJO INTEGRADO DE LOS RECURSOS NATURALES RENOVABLES DEL AREA DE RESERVA NUBES, TROCHA Y CAPOTA</v>
          </cell>
          <cell r="T9" t="str">
            <v>Licencia Ambiental</v>
          </cell>
          <cell r="V9">
            <v>7</v>
          </cell>
          <cell r="W9">
            <v>7</v>
          </cell>
          <cell r="X9" t="str">
            <v>Julio</v>
          </cell>
          <cell r="Y9" t="str">
            <v>2014</v>
          </cell>
        </row>
        <row r="10">
          <cell r="G10" t="str">
            <v>D.T. Tahamíes</v>
          </cell>
          <cell r="I10" t="str">
            <v>Anorí</v>
          </cell>
          <cell r="N10" t="str">
            <v>Proyecto 8. Consolidación del sistema regional de áreas protegidas y del espacio público con énfasis en lo natural</v>
          </cell>
          <cell r="O10" t="str">
            <v>CD20120000408</v>
          </cell>
          <cell r="P10" t="str">
            <v>3.2. Definición de criterios para la formulación y priorización de planes temáticos ambientales.</v>
          </cell>
          <cell r="Q10" t="str">
            <v>N° documento de definición de determinantes a partir del OAT y normatividad</v>
          </cell>
          <cell r="R10" t="str">
            <v>PLAN DE ORDENACION Y MANEJO DE LA CUENCA DE LA QUEBRADA LA BERMEJALA</v>
          </cell>
          <cell r="S10" t="str">
            <v>DISTRITO DE MANEJO INTEGRADO DE LOS RECURSOS NATURALES RENOVABLES DE LOS RÍOS BARROSO Y SAN JUAN</v>
          </cell>
          <cell r="T10" t="str">
            <v>Permiso de aprovechamiento de productos de la flora silvestre con fines comerciales</v>
          </cell>
          <cell r="V10">
            <v>8</v>
          </cell>
          <cell r="W10">
            <v>8</v>
          </cell>
          <cell r="X10" t="str">
            <v>Agosto</v>
          </cell>
          <cell r="Y10" t="str">
            <v>2013</v>
          </cell>
        </row>
        <row r="11">
          <cell r="G11" t="str">
            <v>Jurisdicción</v>
          </cell>
          <cell r="I11" t="str">
            <v>Anzá</v>
          </cell>
          <cell r="N11" t="str">
            <v>Proyecto 9. Conservación y manejo sostenible del bosque, la flora y la fauna.</v>
          </cell>
          <cell r="O11" t="str">
            <v>CD20120000409</v>
          </cell>
          <cell r="P11" t="str">
            <v xml:space="preserve">3.3. Implementación de mecanismos de seguimiento y evaluación a los instrumentos de planificación  regional (PGAR y PA) </v>
          </cell>
          <cell r="Q11" t="str">
            <v>Módulo con información de planes temáticos alimentada</v>
          </cell>
          <cell r="R11" t="str">
            <v>PLAN DE ORDENACION Y MANEJO DE LA CUENCA DEL RIO BUEY</v>
          </cell>
          <cell r="S11" t="str">
            <v>RESERVA FORESTAL PROTECTORA CERRO BRAVO</v>
          </cell>
          <cell r="T11" t="str">
            <v>Permisos y autorizaciones de aprovechamiento forestal persistente</v>
          </cell>
          <cell r="V11">
            <v>9</v>
          </cell>
          <cell r="W11">
            <v>9</v>
          </cell>
          <cell r="X11" t="str">
            <v>Septiembre</v>
          </cell>
          <cell r="Y11" t="str">
            <v>2012</v>
          </cell>
        </row>
        <row r="12">
          <cell r="I12" t="str">
            <v>Armenia</v>
          </cell>
          <cell r="N12" t="str">
            <v>Proyecto 10. Recuperación de áreas degradadas y prevención de desastres frente a fenómenos naturales</v>
          </cell>
          <cell r="O12" t="str">
            <v>CD20120000410</v>
          </cell>
          <cell r="P12" t="str">
            <v>3.4. Formulación bases PA 2012-2015</v>
          </cell>
          <cell r="Q12" t="str">
            <v xml:space="preserve"> Instrumento articulado al PGAR</v>
          </cell>
          <cell r="R12" t="str">
            <v>PLAN DE ORDENACION Y MANEJO DE LA CUENCA DEL RIO CACERÍ</v>
          </cell>
          <cell r="S12" t="str">
            <v>RESERVA FORESTAL FARALLONES DEL CITARÁ</v>
          </cell>
          <cell r="T12" t="str">
            <v>Permisos y autorizaciones de aprovechamiento forestal único</v>
          </cell>
          <cell r="V12">
            <v>10</v>
          </cell>
          <cell r="W12">
            <v>10</v>
          </cell>
          <cell r="X12" t="str">
            <v>Octubre</v>
          </cell>
        </row>
        <row r="13">
          <cell r="I13" t="str">
            <v>Barbosa</v>
          </cell>
          <cell r="N13" t="str">
            <v>Proyecto 11. Sostenibilidad ambiental de los sectores productivos</v>
          </cell>
          <cell r="O13" t="str">
            <v>CD20120000511</v>
          </cell>
          <cell r="P13" t="str">
            <v>4.1. Diseño e implementación de estrategias de articulación con las oficinas territoriales en el campo de la planeación ambiental para el fortalecimiento de la planificación ambiental local.</v>
          </cell>
          <cell r="Q13" t="str">
            <v xml:space="preserve"> Plan formulado</v>
          </cell>
          <cell r="R13" t="str">
            <v>PLAN DE ORDENACION Y MANEJO DE LA CUENCA DE LA QUEBRADA LA CLARA Y LA SUCIA</v>
          </cell>
          <cell r="T13" t="str">
            <v>Permisos y autorizaciones de aprovechamiento forestal doméstico</v>
          </cell>
          <cell r="V13">
            <v>11</v>
          </cell>
          <cell r="W13">
            <v>11</v>
          </cell>
          <cell r="X13" t="str">
            <v>Noviembre</v>
          </cell>
        </row>
        <row r="14">
          <cell r="G14" t="str">
            <v>1. Corredor de áreas protegidas de la Cordillera Occidental</v>
          </cell>
          <cell r="I14" t="str">
            <v>Bello</v>
          </cell>
          <cell r="N14" t="str">
            <v>Proyecto 12. Saneamiento ambiental de los asentamientos.</v>
          </cell>
          <cell r="O14" t="str">
            <v>CD20120000512</v>
          </cell>
          <cell r="P14" t="str">
            <v>4.2. Revisión y seguimiento de los planes de desarrollo (componente ambiental) y los planes de ordenamiento municipal, a través de las Direcciones Territoriales.</v>
          </cell>
          <cell r="Q14" t="str">
            <v>% avance en el seguimiento de la estrategia</v>
          </cell>
          <cell r="R14" t="str">
            <v>PLAN DE ORDENACION Y MANEJO DE LA CUENCA DEL RIO CUPINÁ</v>
          </cell>
          <cell r="T14" t="str">
            <v>Permiso de aprovechamiento de árboles aislados</v>
          </cell>
          <cell r="V14">
            <v>12</v>
          </cell>
          <cell r="W14">
            <v>12</v>
          </cell>
          <cell r="X14" t="str">
            <v>Diciembre</v>
          </cell>
        </row>
        <row r="15">
          <cell r="G15" t="str">
            <v>2. Cañón cafetero del San Juan</v>
          </cell>
          <cell r="I15" t="str">
            <v>Belmira</v>
          </cell>
          <cell r="N15" t="str">
            <v>Proyecto 13. Modernización Corporativa</v>
          </cell>
          <cell r="O15" t="str">
            <v>CD20120000613</v>
          </cell>
          <cell r="P15" t="str">
            <v>4.3. Administración del Banco de Proyectos Corporativo en las Direcciones Territoriales en coordinación con la Subdirección de Planeación y Estrategias Corporativas.</v>
          </cell>
          <cell r="Q15" t="str">
            <v>N° Direcciones Territoriales con proceso en seguimiento</v>
          </cell>
          <cell r="R15" t="str">
            <v>PLAN DE ORDENACION Y MANEJO DE LA CUENCA DE LOS RIO GRANDE Y CHICO</v>
          </cell>
          <cell r="T15" t="str">
            <v>Registro de plantaciones protectoras, protectoras-productoras y sistemas agroforestales.</v>
          </cell>
          <cell r="V15">
            <v>13</v>
          </cell>
        </row>
        <row r="16">
          <cell r="G16" t="str">
            <v>3. Cerros y Farallones del Cauca</v>
          </cell>
          <cell r="I16" t="str">
            <v>Betania</v>
          </cell>
          <cell r="N16" t="str">
            <v xml:space="preserve">Proyecto 14. Gestión para la sostenibilidad financiera. </v>
          </cell>
          <cell r="O16" t="str">
            <v>CD20120000614</v>
          </cell>
          <cell r="P16" t="str">
            <v>5.5. Regulación de los Recursos Naturales Renovables a través de permisos ambientales, procedimiento sancionatorio y control y seguimiento.</v>
          </cell>
          <cell r="Q16" t="str">
            <v>N° Direcciones Territoriales con proceso en seguimiento</v>
          </cell>
          <cell r="R16" t="str">
            <v>PLAN DE ORDENACION Y MANEJO DE LA CUENCA DEL RIO GUADALUPE</v>
          </cell>
          <cell r="T16" t="str">
            <v>Permiso de emisiones atmosféricas</v>
          </cell>
          <cell r="V16">
            <v>14</v>
          </cell>
        </row>
        <row r="17">
          <cell r="G17" t="str">
            <v>4. Bosque seco cañón del Cauca</v>
          </cell>
          <cell r="I17" t="str">
            <v>Betulia</v>
          </cell>
          <cell r="N17" t="str">
            <v>Proyecto 15. Educación ambiental</v>
          </cell>
          <cell r="O17" t="str">
            <v>CD20120000715</v>
          </cell>
          <cell r="P17" t="str">
            <v>5.6. Formulación y evaluación de criterios Corporativos para la regulación de los Recursos Naturales Renovables.</v>
          </cell>
          <cell r="Q17" t="str">
            <v>% Expedición y seguimiento de permisos ambientales</v>
          </cell>
          <cell r="R17" t="str">
            <v>PLAN DE ORDENACION Y MANEJO DE LA CUENCA DEL RIO LA CRUZ</v>
          </cell>
          <cell r="T17" t="str">
            <v>Autorización para ocupación de cauce</v>
          </cell>
          <cell r="V17">
            <v>15</v>
          </cell>
        </row>
        <row r="18">
          <cell r="G18" t="str">
            <v>5. Vertientes altas del Cañón del Río Cauca</v>
          </cell>
          <cell r="I18" t="str">
            <v>Briceño</v>
          </cell>
          <cell r="N18" t="str">
            <v>Proyecto 16. Desarrollo y fortalecimiento de las comunicaciones</v>
          </cell>
          <cell r="O18" t="str">
            <v>CD20120000716</v>
          </cell>
          <cell r="P18" t="str">
            <v>6.6. Asesoría, evaluación y seguimiento a los POT y otros instrumentos de planificación ambiental local.</v>
          </cell>
          <cell r="Q18" t="str">
            <v>% Trámite y Seguimiento a Procedimientos Sancionatorios</v>
          </cell>
          <cell r="R18" t="str">
            <v>PLAN DE ORDENACION Y MANEJO DE LA CUENCA DE LA QUEBRADA LA HONDA</v>
          </cell>
          <cell r="T18" t="str">
            <v>Permiso de vertimientos</v>
          </cell>
          <cell r="V18">
            <v>16</v>
          </cell>
        </row>
        <row r="19">
          <cell r="G19" t="str">
            <v>6. Cinturón de áreas protegidas para la sostenibilidad ambiental del Valle de Aburra</v>
          </cell>
          <cell r="I19" t="str">
            <v>Buriticá</v>
          </cell>
          <cell r="P19" t="str">
            <v>6,7. Acompañamiento e Informes a otras Autoridades o Entidades</v>
          </cell>
          <cell r="Q19" t="str">
            <v>No. de Controles y vigilancia ambiental al territorio</v>
          </cell>
          <cell r="R19" t="str">
            <v>PLAN DE ORDENACION Y MANEJO DE LA CUENCA DE LA QUEBRADA LA NOQUE</v>
          </cell>
          <cell r="V19">
            <v>17</v>
          </cell>
        </row>
        <row r="20">
          <cell r="G20" t="str">
            <v>7. Sistema de páramos y bosques altoandinos del noroccidente Medio Antioqueño</v>
          </cell>
          <cell r="I20" t="str">
            <v>Cáceres</v>
          </cell>
          <cell r="P20" t="str">
            <v>7.1. Administración integral y monitoreo de la oferta y demanda del recurso agua (superficial, subterráneo, atmosférico)</v>
          </cell>
          <cell r="Q20" t="str">
            <v>No. de Directrices Identificadas, formuladas y socializadas</v>
          </cell>
          <cell r="R20" t="str">
            <v>PLAN DE ORDENACION Y MANEJO DE LA CUENCA DEL RIO MULATOS</v>
          </cell>
          <cell r="V20">
            <v>18</v>
          </cell>
        </row>
        <row r="21">
          <cell r="G21" t="str">
            <v>8. Altiplano Norte Antioqueño</v>
          </cell>
          <cell r="I21" t="str">
            <v>Caicedo</v>
          </cell>
          <cell r="P21" t="str">
            <v>7.3. Administración y orientación para la aplicación de instrumentos económicos en tasas retributivas</v>
          </cell>
          <cell r="Q21" t="str">
            <v>No. de acciones de mejora en procesos</v>
          </cell>
          <cell r="R21" t="str">
            <v>PLAN DE ORDENACION Y MANEJO DE LA CUENCA DEL RIO PEDRAL</v>
          </cell>
          <cell r="V21">
            <v>19</v>
          </cell>
        </row>
        <row r="22">
          <cell r="G22" t="str">
            <v>9. Alto pluvial de Ventanas</v>
          </cell>
          <cell r="I22" t="str">
            <v>Caldas</v>
          </cell>
          <cell r="P22" t="str">
            <v>7.4. Administración y orientación para la aplicación de instrumentos económicos en tasas por uso</v>
          </cell>
          <cell r="Q22" t="str">
            <v>% de asesoría o acompañamiento en planificación ambiental municipal</v>
          </cell>
          <cell r="R22" t="str">
            <v>PLAN DE ORDENACION Y MANEJO DE LA CUENCA DEL RIO PIEDRAS</v>
          </cell>
          <cell r="V22">
            <v>20</v>
          </cell>
        </row>
        <row r="23">
          <cell r="G23" t="str">
            <v>10. Complejo estructural Pescadero – Ituango</v>
          </cell>
          <cell r="I23" t="str">
            <v>Campamento</v>
          </cell>
          <cell r="P23" t="str">
            <v>7.5 Ordenación de cuencas [3]</v>
          </cell>
          <cell r="Q23" t="str">
            <v>% municipios que incorporan el riesgo en los POT</v>
          </cell>
          <cell r="R23" t="str">
            <v>PLAN DE ORDENACION Y MANEJO DE LA CUENCA DEL RIO POBLANCO</v>
          </cell>
          <cell r="V23">
            <v>21</v>
          </cell>
        </row>
        <row r="24">
          <cell r="G24" t="str">
            <v>11. Piedemonte colinado de Taraza</v>
          </cell>
          <cell r="I24" t="str">
            <v>Caracolí</v>
          </cell>
          <cell r="P24" t="str">
            <v>7.6. Protección integral de cuencas abastecedoras</v>
          </cell>
          <cell r="Q24" t="str">
            <v>No. de acompañamientos e informes a otras autoridades</v>
          </cell>
          <cell r="R24" t="str">
            <v>PLAN DE ORDENACION Y MANEJO DE LAS AREA DE INFLUENCIA DEL PROYECTO HIDROELECTRICO PORCE II Y III</v>
          </cell>
          <cell r="V24">
            <v>22</v>
          </cell>
        </row>
        <row r="25">
          <cell r="G25" t="str">
            <v>12. Complejo hidrológico del Bajo Cauca</v>
          </cell>
          <cell r="I25" t="str">
            <v>Caramanta</v>
          </cell>
          <cell r="P25" t="str">
            <v>7.7. Planificación de unidades hidrológicas</v>
          </cell>
          <cell r="Q25" t="str">
            <v>No. de reportes clientes externos</v>
          </cell>
          <cell r="R25" t="str">
            <v>PLAN DE ORDENACION Y MANEJO DE LA CUENCA DEL RIO RIO ESPIRITU SANTO</v>
          </cell>
          <cell r="V25">
            <v>23</v>
          </cell>
        </row>
        <row r="26">
          <cell r="G26" t="str">
            <v>13. Sistema colinado del Bajo Cauca</v>
          </cell>
          <cell r="I26" t="str">
            <v>Carolina del Príncipe</v>
          </cell>
          <cell r="P26" t="str">
            <v>7.8. Valoración económica de unidades hidrológicas</v>
          </cell>
          <cell r="Q26" t="str">
            <v>No. de reportes clientes internos</v>
          </cell>
          <cell r="R26" t="str">
            <v>PLAN DE ORDENACION Y MANEJO DE LA CUENCA DEL RIO FRIO</v>
          </cell>
          <cell r="V26">
            <v>24</v>
          </cell>
        </row>
        <row r="27">
          <cell r="G27" t="str">
            <v xml:space="preserve">14. Bosques tropicales de la Cuenca media del río Nechí </v>
          </cell>
          <cell r="I27" t="str">
            <v>Caucasia</v>
          </cell>
          <cell r="P27" t="str">
            <v>8.1. Consolidación de las áreas protegidas locales y regionales e integración de procesos limítrofes.</v>
          </cell>
          <cell r="Q27" t="str">
            <v>Carga total (SST-DBO) con cobro de tasa (Ton/Año)</v>
          </cell>
          <cell r="R27" t="str">
            <v>PLAN DE ORDENACION Y MANEJO DE LA CUENCA DEL RIO MAN</v>
          </cell>
          <cell r="V27">
            <v>25</v>
          </cell>
        </row>
        <row r="28">
          <cell r="G28" t="str">
            <v>15.  Serranía de San Lucas</v>
          </cell>
          <cell r="I28" t="str">
            <v>Cisneros</v>
          </cell>
          <cell r="P28" t="str">
            <v>8.2. Consolidación de los sistemas de humedales</v>
          </cell>
          <cell r="Q28" t="str">
            <v>Volumen de agua con cobro de tasa por uso (M3 por año)</v>
          </cell>
          <cell r="R28" t="str">
            <v>PLAN DE ORDENACION Y MANEJO DE LA CUENCA DEL RIO NUS</v>
          </cell>
          <cell r="V28">
            <v>26</v>
          </cell>
        </row>
        <row r="29">
          <cell r="G29" t="str">
            <v xml:space="preserve">16. Sabanas y humedales del Magdalena Medio </v>
          </cell>
          <cell r="I29" t="str">
            <v>Ciudad Bolívar</v>
          </cell>
          <cell r="P29" t="str">
            <v xml:space="preserve">8.3. Consolidación del sistema de espacialidades públicas, con énfasis en naturales </v>
          </cell>
          <cell r="Q29" t="str">
            <v>N° cuencas ordenadas</v>
          </cell>
          <cell r="R29" t="str">
            <v>PLAN DE ORDENACION Y MANEJO DE LA CUENCA DE LOS RIOS SAN ALEJANDRO, TENCHE Y SAN PABLO</v>
          </cell>
          <cell r="V29">
            <v>27</v>
          </cell>
        </row>
        <row r="30">
          <cell r="G30" t="str">
            <v>17. Sistema cárstico de los ríos Nus y Alicante</v>
          </cell>
          <cell r="I30" t="str">
            <v>Concordia</v>
          </cell>
          <cell r="P30" t="str">
            <v>9.1. Formulación y ejecución de plan general de ordenación forestal</v>
          </cell>
          <cell r="Q30" t="str">
            <v>N° Has Reforestadas</v>
          </cell>
          <cell r="R30" t="str">
            <v>PLAN DE ORDENACION Y MANEJO DE LA CUENCA DEL RIO SAN BARTOLOME</v>
          </cell>
          <cell r="V30">
            <v>28</v>
          </cell>
        </row>
        <row r="31">
          <cell r="G31" t="str">
            <v>18. Altiplano disectado del nordeste</v>
          </cell>
          <cell r="I31" t="str">
            <v>Copacabana</v>
          </cell>
          <cell r="P31" t="str">
            <v>9.2. Establecimiento y manejo de plantaciones y producción de material vegetal</v>
          </cell>
          <cell r="Q31" t="str">
            <v>N° Has Mantenidas</v>
          </cell>
          <cell r="R31" t="str">
            <v>PLAN DE ORDENACION Y MANEJO DE LA CUENCA DE LA QUEBRADA SINIFANÁ</v>
          </cell>
          <cell r="V31">
            <v>29</v>
          </cell>
        </row>
        <row r="32">
          <cell r="G32" t="str">
            <v>19. Cañón de los Ríos Porce y Nechí</v>
          </cell>
          <cell r="I32" t="str">
            <v>Donmatías</v>
          </cell>
          <cell r="P32" t="str">
            <v>9.3. Fortalecimiento del conocimiento sobre la biodiversidad como base para su conservación y manejo</v>
          </cell>
          <cell r="Q32" t="str">
            <v>N° de municipios apoyados para la adquisición de predios</v>
          </cell>
          <cell r="R32" t="str">
            <v>PLAN DE ORDENACION Y MANEJO DE LA CUENCA DELOS RIO TAMAR E ITE</v>
          </cell>
          <cell r="V32">
            <v>30</v>
          </cell>
        </row>
        <row r="33">
          <cell r="G33" t="str">
            <v>Varias Unidades de Zonificación Ambiental</v>
          </cell>
          <cell r="I33" t="str">
            <v>Ebéjico</v>
          </cell>
          <cell r="P33" t="str">
            <v>9.4. Conservación y manejo in situ y ex sitú de especies amenazadas y/o de importancia ecológica y económica.</v>
          </cell>
          <cell r="Q33" t="str">
            <v>N° de predios intervenidos</v>
          </cell>
          <cell r="R33" t="str">
            <v>PLAN DE ORDENACION Y MANEJO DE LA CUENCA DEL RIO TARAZÁ</v>
          </cell>
          <cell r="V33">
            <v>31</v>
          </cell>
        </row>
        <row r="34">
          <cell r="I34" t="str">
            <v>El Bagre</v>
          </cell>
          <cell r="P34" t="str">
            <v xml:space="preserve">9.5. Seguimiento Control y Manejo de Especímenes y/o productos de la Biodiversidad procedentes del tráfico ilegal </v>
          </cell>
          <cell r="Q34" t="str">
            <v xml:space="preserve">No.  unidades hidrológicas con instrumentos de planificación formulados y/o actualizados </v>
          </cell>
          <cell r="R34" t="str">
            <v>PLAN DE ORDENACION Y MANEJO DE LA CUENCA DEL RIO TIGUI</v>
          </cell>
        </row>
        <row r="35">
          <cell r="I35" t="str">
            <v>Entrerríos</v>
          </cell>
          <cell r="P35" t="str">
            <v>10.1. Intervención en áreas degradadas</v>
          </cell>
          <cell r="Q35" t="str">
            <v>No de unidades hidrológicas valoradas</v>
          </cell>
          <cell r="R35" t="str">
            <v>PLAN DE ORDENACION Y MANEJO DE LA CUENCA DE LA QUEBRADA SANTA ROSA-DON MATIAS</v>
          </cell>
        </row>
        <row r="36">
          <cell r="I36" t="str">
            <v>Envigado</v>
          </cell>
          <cell r="P36" t="str">
            <v>10.2. Intervención en atención y prevención de desastres (incendios forestales)</v>
          </cell>
          <cell r="Q36" t="str">
            <v>N°. áreas protegidas</v>
          </cell>
          <cell r="R36" t="str">
            <v>PLAN DE ORDENACION Y MANEJO DE LA CUENCA DE LA QUEBRADA LA SOPETRANA</v>
          </cell>
        </row>
        <row r="37">
          <cell r="I37" t="str">
            <v>Fredonia</v>
          </cell>
          <cell r="P37" t="str">
            <v>10.3. Intervención en atención y prevención de desastres (movimientos en masa e inundaciones)</v>
          </cell>
          <cell r="Q37" t="str">
            <v>No.de complejo de humedales</v>
          </cell>
          <cell r="R37" t="str">
            <v>PLAN DE ORDENACION Y MANEJO DEL AREA DE INFLUENCIA DEL PROYECTO HIDROELECTRICO PESCADERO-ITUANGO</v>
          </cell>
        </row>
        <row r="38">
          <cell r="I38" t="str">
            <v>Girardota</v>
          </cell>
          <cell r="P38" t="str">
            <v>11.2. Formación, sensibilización y capacitación sectorial en producción más limpia</v>
          </cell>
          <cell r="Q38" t="str">
            <v>Espacios públicos naturales</v>
          </cell>
          <cell r="R38" t="str">
            <v>PLAN DE ORDENACION Y MANEJO DE LA CUENCA DE LA QUEBRADA EL ORO</v>
          </cell>
        </row>
        <row r="39">
          <cell r="I39" t="str">
            <v>Gómez Plata</v>
          </cell>
          <cell r="P39" t="str">
            <v>11.3. Estudios de alternativas tecnológicas</v>
          </cell>
          <cell r="Q39" t="str">
            <v>Has en ordenación</v>
          </cell>
        </row>
        <row r="40">
          <cell r="I40" t="str">
            <v>Guadalupe</v>
          </cell>
          <cell r="P40" t="str">
            <v>11.4. Promoción de especies promisorias de la agrobiodiversidad (biocomercio sostenible)</v>
          </cell>
          <cell r="Q40" t="str">
            <v>Producción de material vegetal (plántulas)</v>
          </cell>
        </row>
        <row r="41">
          <cell r="I41" t="str">
            <v>Heliconia</v>
          </cell>
          <cell r="P41" t="str">
            <v>12.1. Administración de la calidad del Aire</v>
          </cell>
          <cell r="Q41" t="str">
            <v>N° de estudios</v>
          </cell>
        </row>
        <row r="42">
          <cell r="I42" t="str">
            <v>Hispania</v>
          </cell>
          <cell r="P42" t="str">
            <v>12.2. Gestión Integral de Residuos sólidos</v>
          </cell>
          <cell r="Q42" t="str">
            <v>N° especies amenazadas</v>
          </cell>
        </row>
        <row r="43">
          <cell r="I43" t="str">
            <v>Itagüí</v>
          </cell>
          <cell r="P43" t="str">
            <v>12.3. Saneamiento ambiental hídrico</v>
          </cell>
          <cell r="Q43" t="str">
            <v>N° especies de importancia económica y/o ecológica</v>
          </cell>
        </row>
        <row r="44">
          <cell r="I44" t="str">
            <v>Ituango</v>
          </cell>
          <cell r="P44" t="str">
            <v>13.1. Desarrollo del talento humano y cualificación de consejeros corporativos.</v>
          </cell>
          <cell r="Q44" t="str">
            <v>Estrategias implementadas</v>
          </cell>
        </row>
        <row r="45">
          <cell r="I45" t="str">
            <v>Jardín</v>
          </cell>
          <cell r="P45" t="str">
            <v>13.2. Desarrollo e implementación del Sistema de Gestión de la Calidad</v>
          </cell>
          <cell r="Q45" t="str">
            <v>Ha</v>
          </cell>
        </row>
        <row r="46">
          <cell r="I46" t="str">
            <v>Jericó</v>
          </cell>
          <cell r="P46" t="str">
            <v>13.3. Intervención de las dimensiones del Clima y Cultura Organizacional</v>
          </cell>
          <cell r="Q46" t="str">
            <v>N° municipios</v>
          </cell>
        </row>
        <row r="47">
          <cell r="I47" t="str">
            <v>La Estrella</v>
          </cell>
          <cell r="P47" t="str">
            <v>13.4. Asesoría y acompañamiento jurídico corporativo</v>
          </cell>
          <cell r="Q47" t="str">
            <v>Ejecutar acciones prioritarias para la restauración de las condiciones ambientales en las  áreas afectadas por fenómenos naturales</v>
          </cell>
        </row>
        <row r="48">
          <cell r="I48" t="str">
            <v>La Pintada</v>
          </cell>
          <cell r="P48" t="str">
            <v>13.5. Fortalecimiento del Sistema de Control Interno Institucional</v>
          </cell>
          <cell r="Q48" t="str">
            <v>Talleres especializados y/o seminarios</v>
          </cell>
        </row>
        <row r="49">
          <cell r="I49" t="str">
            <v>Liborina</v>
          </cell>
          <cell r="P49" t="str">
            <v>13.6. Dotación y apoyo logístico</v>
          </cell>
          <cell r="Q49" t="str">
            <v>Investigación y/o transferencia tecnológica</v>
          </cell>
        </row>
        <row r="50">
          <cell r="I50" t="str">
            <v>Maceo</v>
          </cell>
          <cell r="P50" t="str">
            <v xml:space="preserve">14.2. Fortalecimiento de las rentas actuales corporativas y su aplicación </v>
          </cell>
          <cell r="Q50" t="str">
            <v>N°. Parcela, especie y/o servicio o producto ambiental apoyado</v>
          </cell>
        </row>
        <row r="51">
          <cell r="I51" t="str">
            <v>Medellín</v>
          </cell>
          <cell r="P51" t="str">
            <v>14,5. Diseño de la estrategia de cooperación</v>
          </cell>
          <cell r="Q51" t="str">
            <v>N° municipios monitoreados</v>
          </cell>
        </row>
        <row r="52">
          <cell r="I52" t="str">
            <v>Montebello</v>
          </cell>
          <cell r="P52" t="str">
            <v>14,6. Jornadas de capacitación hacia la Formación de cultura para la cooperación nacional e internacional</v>
          </cell>
          <cell r="Q52" t="str">
            <v>N° municipios con gestión integral de residuos sólidos</v>
          </cell>
        </row>
        <row r="53">
          <cell r="I53" t="str">
            <v>Nechí</v>
          </cell>
          <cell r="P53" t="str">
            <v>14,7. Gestión para la identificación de contactos para la cooperación nacional e internacional como aporte a la ejecución del Plan de Acción.</v>
          </cell>
          <cell r="Q53" t="str">
            <v>Municipios con sostenimiento</v>
          </cell>
        </row>
        <row r="54">
          <cell r="I54" t="str">
            <v>Olaya</v>
          </cell>
          <cell r="P54" t="str">
            <v>14,8. Acuerdos de cooperación técnica y/o financiera local, regional, nacional e internacional- que aporten al cumplimiento de las metas del PA (incluye convenios – contratos con municipios).</v>
          </cell>
          <cell r="Q54" t="str">
            <v>N° municipios con sistemas de saneamiento ambiental</v>
          </cell>
        </row>
        <row r="55">
          <cell r="I55" t="str">
            <v>Pueblorrico</v>
          </cell>
          <cell r="P55" t="str">
            <v>15.1. Diseño e implementación de una red interna de dinamizadores ambientales</v>
          </cell>
          <cell r="Q55" t="str">
            <v>% de cobertura de capacitación, bienestar y salud ocupacional.</v>
          </cell>
        </row>
        <row r="56">
          <cell r="I56" t="str">
            <v>Puerto Berrío</v>
          </cell>
          <cell r="P56" t="str">
            <v>15.2. Fortalecimiento de las mesas municipales de la Red PGATE</v>
          </cell>
          <cell r="Q56" t="str">
            <v>Cumplimiento Plan de Capacitación Institucional</v>
          </cell>
        </row>
        <row r="57">
          <cell r="I57" t="str">
            <v>Puerto Nare</v>
          </cell>
          <cell r="P57" t="str">
            <v>15.4. Desarrollo de Procesos Educativos Ambientales Escolares –PRAE-</v>
          </cell>
          <cell r="Q57" t="str">
            <v>Procesos implementados revisados y mejorados</v>
          </cell>
        </row>
        <row r="58">
          <cell r="I58" t="str">
            <v>Remedios</v>
          </cell>
          <cell r="P58" t="str">
            <v>15.5. Desarrollo de Procesos Ciudadanos de Educación Ambiental -PROCEDA</v>
          </cell>
          <cell r="Q58" t="str">
            <v>N° de dimensiones intervenidas</v>
          </cell>
        </row>
        <row r="59">
          <cell r="I59" t="str">
            <v>Sabanalarga</v>
          </cell>
          <cell r="P59" t="str">
            <v>15.6. Realización de proyectos de etnoeducación</v>
          </cell>
          <cell r="Q59" t="str">
            <v>Gestión en demandas</v>
          </cell>
        </row>
        <row r="60">
          <cell r="I60" t="str">
            <v>Sabaneta</v>
          </cell>
          <cell r="P60" t="str">
            <v>16.2. Realización de investigaciones de opinión pública</v>
          </cell>
          <cell r="Q60" t="str">
            <v>Evaluaciones al Sistema de Control Interno (CAMBIO DE LA NORMA- Evaluación cada 4 meses)</v>
          </cell>
        </row>
        <row r="61">
          <cell r="I61" t="str">
            <v>Salgar</v>
          </cell>
          <cell r="P61" t="str">
            <v>16.3. Elaboración de documentos temáticos para difundir en los públicos estratégicos</v>
          </cell>
          <cell r="Q61" t="str">
            <v>Plan logístico  diseñado y ejecutado</v>
          </cell>
        </row>
        <row r="62">
          <cell r="I62" t="str">
            <v>San Andrés de Cuerquia</v>
          </cell>
          <cell r="P62" t="str">
            <v>16.4. Construcción e implementación de estrategias comunicativas</v>
          </cell>
          <cell r="Q62" t="str">
            <v xml:space="preserve">No. De rentas </v>
          </cell>
        </row>
        <row r="63">
          <cell r="I63" t="str">
            <v>San Jerónimo</v>
          </cell>
          <cell r="Q63" t="str">
            <v>No. de estrategias diseñada y actualizada</v>
          </cell>
        </row>
        <row r="64">
          <cell r="I64" t="str">
            <v>San José de la Montaña</v>
          </cell>
          <cell r="Q64" t="str">
            <v>Jornada de capacitación en cooperación</v>
          </cell>
        </row>
        <row r="65">
          <cell r="I65" t="str">
            <v>San Pedro de los Milagros</v>
          </cell>
          <cell r="Q65" t="str">
            <v>No. de actas de contactos de cooperación</v>
          </cell>
        </row>
        <row r="66">
          <cell r="I66" t="str">
            <v>Santa Bárbara</v>
          </cell>
          <cell r="Q66" t="str">
            <v>No. de proyectos, subproyectos o iniciativas con apoyo de la cooperación</v>
          </cell>
        </row>
        <row r="67">
          <cell r="I67" t="str">
            <v>Santa Fe de Antioquia</v>
          </cell>
          <cell r="Q67" t="str">
            <v>% avance de red interna</v>
          </cell>
        </row>
        <row r="68">
          <cell r="I68" t="str">
            <v>Santa Rosa de Osos</v>
          </cell>
          <cell r="Q68" t="str">
            <v>% mesas articuladas</v>
          </cell>
        </row>
        <row r="69">
          <cell r="I69" t="str">
            <v>Segovia</v>
          </cell>
          <cell r="Q69" t="str">
            <v>N° PRAE Desarrollados</v>
          </cell>
        </row>
        <row r="70">
          <cell r="I70" t="str">
            <v>Sopetrán</v>
          </cell>
          <cell r="Q70" t="str">
            <v>N° PROCEDA Desarrollados</v>
          </cell>
        </row>
        <row r="71">
          <cell r="I71" t="str">
            <v>Támesis</v>
          </cell>
          <cell r="Q71" t="str">
            <v>% Comunidades indígenas apoyadas</v>
          </cell>
        </row>
        <row r="72">
          <cell r="I72" t="str">
            <v>Tarazá</v>
          </cell>
          <cell r="Q72" t="str">
            <v>% Comunidades afrodescendientes apoyadas</v>
          </cell>
        </row>
        <row r="73">
          <cell r="I73" t="str">
            <v>Tarso</v>
          </cell>
          <cell r="Q73" t="str">
            <v>Documento</v>
          </cell>
        </row>
        <row r="74">
          <cell r="I74" t="str">
            <v>Titiribí</v>
          </cell>
          <cell r="Q74" t="str">
            <v>Documento</v>
          </cell>
        </row>
        <row r="75">
          <cell r="I75" t="str">
            <v>Toledo</v>
          </cell>
          <cell r="Q75" t="str">
            <v>No de estrategias implementadas</v>
          </cell>
        </row>
        <row r="76">
          <cell r="I76" t="str">
            <v>Valdivia</v>
          </cell>
        </row>
        <row r="77">
          <cell r="I77" t="str">
            <v>Vaparaíso</v>
          </cell>
        </row>
        <row r="78">
          <cell r="I78" t="str">
            <v>Vegachí</v>
          </cell>
        </row>
        <row r="79">
          <cell r="I79" t="str">
            <v>Venecia</v>
          </cell>
        </row>
        <row r="80">
          <cell r="I80" t="str">
            <v>Yalí</v>
          </cell>
        </row>
        <row r="81">
          <cell r="I81" t="str">
            <v>Yarumal</v>
          </cell>
        </row>
        <row r="82">
          <cell r="I82" t="str">
            <v>Yolombó</v>
          </cell>
        </row>
        <row r="83">
          <cell r="I83" t="str">
            <v>Yondó</v>
          </cell>
        </row>
        <row r="84">
          <cell r="I84" t="str">
            <v>Zaragoza</v>
          </cell>
        </row>
        <row r="85">
          <cell r="I85" t="str">
            <v>Jurisdicción</v>
          </cell>
        </row>
        <row r="86">
          <cell r="I86" t="str">
            <v>Varios Municipios</v>
          </cell>
        </row>
      </sheetData>
      <sheetData sheetId="2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 val="CONSOLIDADO"/>
    </sheetNames>
    <sheetDataSet>
      <sheetData sheetId="0" refreshError="1">
        <row r="38">
          <cell r="C38">
            <v>0.15000000000000002</v>
          </cell>
        </row>
      </sheetData>
      <sheetData sheetId="1" refreshError="1"/>
      <sheetData sheetId="2" refreshError="1"/>
      <sheetData sheetId="3" refreshError="1">
        <row r="42">
          <cell r="D42">
            <v>491290.48387250002</v>
          </cell>
        </row>
        <row r="504">
          <cell r="D504">
            <v>31900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sheetData sheetId="1"/>
      <sheetData sheetId="2"/>
      <sheetData sheetId="3"/>
      <sheetData sheetId="4"/>
      <sheetData sheetId="5"/>
      <sheetData sheetId="6"/>
      <sheetData sheetId="7"/>
      <sheetData sheetId="8"/>
      <sheetData sheetId="9"/>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sheetData sheetId="12"/>
      <sheetData sheetId="13"/>
      <sheetData sheetId="14"/>
      <sheetData sheetId="15"/>
      <sheetData sheetId="16"/>
      <sheetData sheetId="17"/>
      <sheetData sheetId="18"/>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CTOS"/>
      <sheetName val="BASE"/>
      <sheetName val="PRESUP. COLECTOR PPAL"/>
      <sheetName val="APU COLECTOR PPAL"/>
      <sheetName val="PRESUP. INTERCEPTOR"/>
      <sheetName val="APU INTERCEPTOR"/>
      <sheetName val="PRESUP. TRAMOS OPTIMIZADOS"/>
      <sheetName val="APU TRAMOS OPTIMIZADOS"/>
      <sheetName val="PRESUP. TRAMOS PROYECTADOS"/>
      <sheetName val="APU TRAMOS PROYECTADOS"/>
      <sheetName val="PRESUP. TRAMOS PROY ZONA INUNDA"/>
      <sheetName val="APU TRAMOS PROY ZONA INUNDA"/>
      <sheetName val="PRESUP. IMPULSIÓN"/>
      <sheetName val="APU IMPULSIÓN"/>
      <sheetName val="PRESUP. OBRAS EBAR"/>
      <sheetName val="APU OBRAS EBAR"/>
      <sheetName val="ESTACION ELEVADORA"/>
      <sheetName val="APU ESTACION ELEVADORA"/>
      <sheetName val="ESTACION ELEVADORA ZONA INUNDA."/>
      <sheetName val="APU ESTACION ELEVADORA INUNDA"/>
      <sheetName val="LAGUNA DE OXIDACIÓN"/>
      <sheetName val="APU LAGUNA DE OXIDACIÓN"/>
      <sheetName val="RESUMEN DE OBRAS"/>
    </sheetNames>
    <sheetDataSet>
      <sheetData sheetId="0" refreshError="1">
        <row r="44">
          <cell r="C44">
            <v>0.30000000000000004</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COLECTOR FINAL"/>
      <sheetName val="APU COLECTOR FINAL"/>
      <sheetName val=" PTAR DONMATIAS"/>
      <sheetName val="APU PTAR"/>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AIU"/>
      <sheetName val="PRESTACIONES"/>
      <sheetName val="BASE SALARIOS"/>
      <sheetName val="BASE CONCRETOS"/>
      <sheetName val="CUADRO RESUMEN"/>
      <sheetName val="PRESUPUESTO"/>
      <sheetName val="APU"/>
    </sheetNames>
    <sheetDataSet>
      <sheetData sheetId="0" refreshError="1">
        <row r="64">
          <cell r="D64">
            <v>225000</v>
          </cell>
        </row>
        <row r="68">
          <cell r="D68">
            <v>35000</v>
          </cell>
        </row>
        <row r="328">
          <cell r="D328">
            <v>680572</v>
          </cell>
        </row>
        <row r="329">
          <cell r="D329">
            <v>701800</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CTOS"/>
      <sheetName val="BASE"/>
      <sheetName val="ALCANTARILLADO"/>
      <sheetName val="APU REDES ALDO "/>
    </sheetNames>
    <sheetDataSet>
      <sheetData sheetId="0" refreshError="1"/>
      <sheetData sheetId="1" refreshError="1"/>
      <sheetData sheetId="2"/>
      <sheetData sheetId="3">
        <row r="11">
          <cell r="D11">
            <v>71882.844000000026</v>
          </cell>
        </row>
        <row r="12">
          <cell r="D12">
            <v>53912.133000000016</v>
          </cell>
        </row>
        <row r="457">
          <cell r="D457">
            <v>3366</v>
          </cell>
        </row>
      </sheetData>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BASE_CTOS"/>
      <sheetName val="BASE_CTOS2"/>
      <sheetName val="BASE_CTOS1"/>
      <sheetName val="Tabla 1.1"/>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CANALETA9"/>
      <sheetName val="1.2.1 DESCAPOTE"/>
      <sheetName val="2.1.1 EXCAVACIÓN 0-2"/>
      <sheetName val="2.1.2 CARGUE Y BOTADA"/>
      <sheetName val="2.2.1 LLENOS MATERIAL EXCAV."/>
      <sheetName val="2.2.2 LLENOS LIMO"/>
      <sheetName val="2.2.3 LLENOS TRITURADO "/>
      <sheetName val="4.1.1 BASE GRANULAR"/>
      <sheetName val="4.1.2 PEDRAPLEN"/>
      <sheetName val="4.1.3 AFIRMADO"/>
      <sheetName val="4.2.1 PAVIMENTO"/>
      <sheetName val="6.1.2 SOLADO"/>
      <sheetName val="6.1.3 CICLOPEO"/>
      <sheetName val="6.1.12 LOSA APROX"/>
      <sheetName val="7.1.2 ADOQUIN DEMARCADOR"/>
      <sheetName val="7.1.4 LOSETA GUIA"/>
      <sheetName val="7.2 BORDILLOS PREFABRICADOS"/>
      <sheetName val="11.1.1 GEOTEXTIL NT 2000"/>
      <sheetName val="11.1.2 TUBERIA FILTRO 4"/>
      <sheetName val="11.2.2 TUBERIA 315"/>
      <sheetName val="11.2.4 TUBERIA 400"/>
      <sheetName val="11.5.1 CONO 1.2m"/>
      <sheetName val="11.5.2 CUELLO Y TAPA"/>
      <sheetName val="11.5.3 CILINDRO"/>
      <sheetName val="O.E.2 EXCAVACION 2-4"/>
      <sheetName val="O.E.3 ENTIBA TEMPORAL"/>
      <sheetName val="O.E.4 LLENOS ARENILLA"/>
      <sheetName val="O.E.5 BASE Y CAÑUELA"/>
      <sheetName val="O.E.6 GEOTEXTIL TR 4000"/>
      <sheetName val="O.E-01 Demolicion estructura"/>
      <sheetName val="ACTA 1"/>
      <sheetName val="ACTA 2 "/>
      <sheetName val="1,01 Topografia"/>
      <sheetName val="1,02 Roceria y limpieza"/>
      <sheetName val="2,02 Cargue y botada"/>
      <sheetName val="2,03 demolicion estructuras"/>
      <sheetName val="2,05 Cargue y botada "/>
      <sheetName val="3,01 Excavacion"/>
      <sheetName val="3,04 llenos"/>
      <sheetName val="3,07 enrocado"/>
      <sheetName val="3,08 Excav. mecanica"/>
      <sheetName val="4,02 cuneta"/>
      <sheetName val="4,03 mpa 210"/>
      <sheetName val="4,04 ciclopeo"/>
      <sheetName val="4,10 Concreto anden"/>
      <sheetName val="5,04 Geotextil 1800"/>
      <sheetName val="7.01Trincho"/>
      <sheetName val="7,03 Concreto llave"/>
      <sheetName val="9,01 Pavimentos mdc19 "/>
      <sheetName val="9,02. emulsion "/>
      <sheetName val="8,01 Fresado"/>
      <sheetName val="8,02 mezcla mdc-2"/>
      <sheetName val="8,03 Base granular"/>
      <sheetName val="8,04 Riego"/>
      <sheetName val="9,01 Bordillo"/>
      <sheetName val="11,01 mezcla msc -25"/>
      <sheetName val="6,01 ACERO"/>
      <sheetName val="iniciativas comunitarias"/>
      <sheetName val="1,01 Topografia."/>
      <sheetName val="1,02 cerramiento prov."/>
      <sheetName val="3,01 Desmonte  piso ceramico"/>
      <sheetName val="3,04 Retiro de puertas"/>
      <sheetName val="3,07 Demolicion de piso"/>
      <sheetName val="3,13 Retiro de aparatos sanit."/>
      <sheetName val="3,14 Desm. y dem. de cubierta"/>
      <sheetName val="5.09 Base granular "/>
      <sheetName val="8,01 Rep. y Mto de cubierta"/>
      <sheetName val="8,10 Construccion de cubierta"/>
      <sheetName val="9,01 Picado de revoque"/>
      <sheetName val="9,03 Colocacion de revoque"/>
      <sheetName val="9,07 Revoque"/>
      <sheetName val="10,01 Entresuelo"/>
      <sheetName val="10,03 Piso en concretio"/>
      <sheetName val="10,04 Construccion mortero"/>
      <sheetName val="10,06 Colocacion de piso gres"/>
      <sheetName val="O.E-01"/>
      <sheetName val="O.E-02"/>
      <sheetName val="O.E-03"/>
      <sheetName val="O.E-4"/>
      <sheetName val="O.E-05"/>
      <sheetName val="O.E-06"/>
      <sheetName val="O.E-07"/>
      <sheetName val="O.E-08"/>
      <sheetName val="O.E-09 pilas 0-2"/>
      <sheetName val="O.E-10 pilas 2-4"/>
      <sheetName val="O.E-11 pilas 4-6"/>
      <sheetName val="O.E-12 pilas 6-8"/>
      <sheetName val="O.E-13 pilas 8-10"/>
      <sheetName val="O.E-14 pilas 10-12"/>
      <sheetName val="O.E-15 pilas 12-14"/>
      <sheetName val="O.E-16 pilas 14-16"/>
      <sheetName val="O.E-17 DV-1"/>
      <sheetName val="O.E-18 DV-2"/>
      <sheetName val="O.E-19 DV-3"/>
      <sheetName val="O.E-23 Pintura koraza"/>
      <sheetName val="O.E-24 Lavada de fachada "/>
      <sheetName val="O.E 26 COLUMNA CIRCULAR 35 MP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Cab"/>
      <sheetName val="AMPACITY"/>
      <sheetName val="Base_de_Diseño1"/>
      <sheetName val="Ppto_total"/>
      <sheetName val="Resumen_tubería"/>
      <sheetName val="Tabla_4_1_Distrito_Nº1"/>
      <sheetName val="Tabla_4_2_Distrito_Nº2"/>
      <sheetName val="Tabal_4_3_Resumén_distritos"/>
      <sheetName val="Tabla_4_4_Sistemas"/>
      <sheetName val="Ppto_alcantarillado"/>
      <sheetName val="Base_de_Diseño"/>
      <sheetName val="CONSUMOS"/>
      <sheetName val="Base_de_Diseño3"/>
      <sheetName val="Ppto_total3"/>
      <sheetName val="Resumen_tubería3"/>
      <sheetName val="Tabla_4_1_Distrito_Nº13"/>
      <sheetName val="Tabla_4_2_Distrito_Nº23"/>
      <sheetName val="Tabal_4_3_Resumén_distritos3"/>
      <sheetName val="Tabla_4_4_Sistemas3"/>
      <sheetName val="Ppto_alcantarillado3"/>
      <sheetName val="Base_de_Diseño2"/>
      <sheetName val="Ppto_total2"/>
      <sheetName val="Resumen_tubería2"/>
      <sheetName val="Tabla_4_1_Distrito_Nº12"/>
      <sheetName val="Tabla_4_2_Distrito_Nº22"/>
      <sheetName val="Tabal_4_3_Resumén_distritos2"/>
      <sheetName val="Tabla_4_4_Sistemas2"/>
      <sheetName val="Ppto_alcantarillado2"/>
      <sheetName val="Ppto_total1"/>
      <sheetName val="Resumen_tubería1"/>
      <sheetName val="Tabla_4_1_Distrito_Nº11"/>
      <sheetName val="Tabla_4_2_Distrito_Nº21"/>
      <sheetName val="Tabal_4_3_Resumén_distritos1"/>
      <sheetName val="Tabla_4_4_Sistemas1"/>
      <sheetName val="Ppto_alcantarillado1"/>
      <sheetName val="Base_de_Diseño4"/>
      <sheetName val="Ppto_total4"/>
      <sheetName val="Resumen_tubería4"/>
      <sheetName val="Tabla_4_1_Distrito_Nº14"/>
      <sheetName val="Tabla_4_2_Distrito_Nº24"/>
      <sheetName val="Tabal_4_3_Resumén_distritos4"/>
      <sheetName val="Tabla_4_4_Sistemas4"/>
      <sheetName val="Ppto_alcantarillado4"/>
      <sheetName val="Base_de_Diseño5"/>
      <sheetName val="Ppto_total5"/>
      <sheetName val="Resumen_tubería5"/>
      <sheetName val="Tabla_4_1_Distrito_Nº15"/>
      <sheetName val="Tabla_4_2_Distrito_Nº25"/>
      <sheetName val="Tabal_4_3_Resumén_distritos5"/>
      <sheetName val="Tabla_4_4_Sistemas5"/>
      <sheetName val="Ppto_alcantarillado5"/>
      <sheetName val="Base_de_Diseño6"/>
      <sheetName val="Ppto_total6"/>
      <sheetName val="Resumen_tubería6"/>
      <sheetName val="Tabla_4_1_Distrito_Nº16"/>
      <sheetName val="Tabla_4_2_Distrito_Nº26"/>
      <sheetName val="Tabal_4_3_Resumén_distritos6"/>
      <sheetName val="Tabla_4_4_Sistemas6"/>
      <sheetName val="Ppto_alcantarillado6"/>
      <sheetName val="Base_de_Diseño7"/>
      <sheetName val="Ppto_total7"/>
      <sheetName val="Resumen_tubería7"/>
      <sheetName val="Tabla_4_1_Distrito_Nº17"/>
      <sheetName val="Tabla_4_2_Distrito_Nº27"/>
      <sheetName val="Tabal_4_3_Resumén_distritos7"/>
      <sheetName val="Tabla_4_4_Sistemas7"/>
      <sheetName val="Ppto_alcantarillado7"/>
      <sheetName val="Base_de_Diseño8"/>
      <sheetName val="Ppto_total8"/>
      <sheetName val="Resumen_tubería8"/>
      <sheetName val="Tabla_4_1_Distrito_Nº18"/>
      <sheetName val="Tabla_4_2_Distrito_Nº28"/>
      <sheetName val="Tabal_4_3_Resumén_distritos8"/>
      <sheetName val="Tabla_4_4_Sistemas8"/>
      <sheetName val="Ppto_alcantarillado8"/>
      <sheetName val="Base_de_Diseño10"/>
      <sheetName val="Ppto_total10"/>
      <sheetName val="Resumen_tubería10"/>
      <sheetName val="Tabla_4_1_Distrito_Nº110"/>
      <sheetName val="Tabla_4_2_Distrito_Nº210"/>
      <sheetName val="Tabal_4_3_Resumén_distritos10"/>
      <sheetName val="Tabla_4_4_Sistemas10"/>
      <sheetName val="Ppto_alcantarillado10"/>
      <sheetName val="Base_de_Diseño9"/>
      <sheetName val="Ppto_total9"/>
      <sheetName val="Resumen_tubería9"/>
      <sheetName val="Tabla_4_1_Distrito_Nº19"/>
      <sheetName val="Tabla_4_2_Distrito_Nº29"/>
      <sheetName val="Tabal_4_3_Resumén_distritos9"/>
      <sheetName val="Tabla_4_4_Sistemas9"/>
      <sheetName val="Ppto_alcantarillado9"/>
      <sheetName val="Base_de_Diseño15"/>
      <sheetName val="Ppto_total15"/>
      <sheetName val="Resumen_tubería15"/>
      <sheetName val="Tabla_4_1_Distrito_Nº115"/>
      <sheetName val="Tabla_4_2_Distrito_Nº215"/>
      <sheetName val="Tabal_4_3_Resumén_distritos15"/>
      <sheetName val="Tabla_4_4_Sistemas15"/>
      <sheetName val="Ppto_alcantarillado15"/>
      <sheetName val="Base_de_Diseño11"/>
      <sheetName val="Ppto_total11"/>
      <sheetName val="Resumen_tubería11"/>
      <sheetName val="Tabla_4_1_Distrito_Nº111"/>
      <sheetName val="Tabla_4_2_Distrito_Nº211"/>
      <sheetName val="Tabal_4_3_Resumén_distritos11"/>
      <sheetName val="Tabla_4_4_Sistemas11"/>
      <sheetName val="Ppto_alcantarillado11"/>
      <sheetName val="Base_de_Diseño12"/>
      <sheetName val="Ppto_total12"/>
      <sheetName val="Resumen_tubería12"/>
      <sheetName val="Tabla_4_1_Distrito_Nº112"/>
      <sheetName val="Tabla_4_2_Distrito_Nº212"/>
      <sheetName val="Tabal_4_3_Resumén_distritos12"/>
      <sheetName val="Tabla_4_4_Sistemas12"/>
      <sheetName val="Ppto_alcantarillado12"/>
      <sheetName val="Base_de_Diseño13"/>
      <sheetName val="Ppto_total13"/>
      <sheetName val="Resumen_tubería13"/>
      <sheetName val="Tabla_4_1_Distrito_Nº113"/>
      <sheetName val="Tabla_4_2_Distrito_Nº213"/>
      <sheetName val="Tabal_4_3_Resumén_distritos13"/>
      <sheetName val="Tabla_4_4_Sistemas13"/>
      <sheetName val="Ppto_alcantarillado13"/>
      <sheetName val="Base_de_Diseño14"/>
      <sheetName val="Ppto_total14"/>
      <sheetName val="Resumen_tubería14"/>
      <sheetName val="Tabla_4_1_Distrito_Nº114"/>
      <sheetName val="Tabla_4_2_Distrito_Nº214"/>
      <sheetName val="Tabal_4_3_Resumén_distritos14"/>
      <sheetName val="Tabla_4_4_Sistemas14"/>
      <sheetName val="Ppto_alcantarillado14"/>
      <sheetName val="Base_de_Diseño16"/>
      <sheetName val="Ppto_total16"/>
      <sheetName val="Resumen_tubería16"/>
      <sheetName val="Tabla_4_1_Distrito_Nº116"/>
      <sheetName val="Tabla_4_2_Distrito_Nº216"/>
      <sheetName val="Tabal_4_3_Resumén_distritos16"/>
      <sheetName val="Tabla_4_4_Sistemas16"/>
      <sheetName val="Ppto_alcantarillado16"/>
      <sheetName val="Base_de_Diseño17"/>
      <sheetName val="Ppto_total17"/>
      <sheetName val="Resumen_tubería17"/>
      <sheetName val="Tabla_4_1_Distrito_Nº117"/>
      <sheetName val="Tabla_4_2_Distrito_Nº217"/>
      <sheetName val="Tabal_4_3_Resumén_distritos17"/>
      <sheetName val="Tabla_4_4_Sistemas17"/>
      <sheetName val="Ppto_alcantarillado17"/>
      <sheetName val="Base_de_Diseño18"/>
      <sheetName val="Ppto_total18"/>
      <sheetName val="Resumen_tubería18"/>
      <sheetName val="Tabla_4_1_Distrito_Nº118"/>
      <sheetName val="Tabla_4_2_Distrito_Nº218"/>
      <sheetName val="Tabal_4_3_Resumén_distritos18"/>
      <sheetName val="Tabla_4_4_Sistemas18"/>
      <sheetName val="Ppto_alcantarillado18"/>
      <sheetName val="Base_de_Diseño19"/>
      <sheetName val="Ppto_total19"/>
      <sheetName val="Resumen_tubería19"/>
      <sheetName val="Tabla_4_1_Distrito_Nº119"/>
      <sheetName val="Tabla_4_2_Distrito_Nº219"/>
      <sheetName val="Tabal_4_3_Resumén_distritos19"/>
      <sheetName val="Tabla_4_4_Sistemas19"/>
      <sheetName val="Ppto_alcantarillado19"/>
      <sheetName val="Base_de_Diseño20"/>
      <sheetName val="Ppto_total20"/>
      <sheetName val="Resumen_tubería20"/>
      <sheetName val="Tabla_4_1_Distrito_Nº120"/>
      <sheetName val="Tabla_4_2_Distrito_Nº220"/>
      <sheetName val="Tabal_4_3_Resumén_distritos20"/>
      <sheetName val="Tabla_4_4_Sistemas20"/>
      <sheetName val="Ppto_alcantarillado20"/>
      <sheetName val="Base_de_Diseño21"/>
      <sheetName val="Ppto_total21"/>
      <sheetName val="Resumen_tubería21"/>
      <sheetName val="Tabla_4_1_Distrito_Nº121"/>
      <sheetName val="Tabla_4_2_Distrito_Nº221"/>
      <sheetName val="Tabal_4_3_Resumén_distritos21"/>
      <sheetName val="Tabla_4_4_Sistemas21"/>
      <sheetName val="Ppto_alcantarillado21"/>
      <sheetName val="Base_de_Diseño22"/>
      <sheetName val="Ppto_total22"/>
      <sheetName val="Resumen_tubería22"/>
      <sheetName val="Tabla_4_1_Distrito_Nº122"/>
      <sheetName val="Tabla_4_2_Distrito_Nº222"/>
      <sheetName val="Tabal_4_3_Resumén_distritos22"/>
      <sheetName val="Tabla_4_4_Sistemas22"/>
      <sheetName val="Ppto_alcantarillado22"/>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Base de Diseño"/>
      <sheetName val="PPTO_AREA_URBANA"/>
      <sheetName val="Base_de_Diseño"/>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 sheetId="5" refreshError="1"/>
      <sheetData sheetId="6"/>
      <sheetData sheetId="7"/>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APU BOMBEO Y L. IMPUL."/>
      <sheetName val="PRELIM"/>
      <sheetName val="TUBERIA"/>
    </sheetNames>
    <sheetDataSet>
      <sheetData sheetId="0" refreshError="1"/>
      <sheetData sheetId="1" refreshError="1"/>
      <sheetData sheetId="2" refreshError="1"/>
      <sheetData sheetId="3" refreshError="1">
        <row r="346">
          <cell r="B346" t="str">
            <v>HERRAMIENTA MENOR (5% M. DE O.)</v>
          </cell>
        </row>
        <row r="363">
          <cell r="B363" t="str">
            <v>HERRAMIENTA MENOR (5% M. DE O.)</v>
          </cell>
        </row>
        <row r="380">
          <cell r="B380" t="str">
            <v>HERRAMIENTA MENOR (5% M. DE O.)</v>
          </cell>
        </row>
        <row r="397">
          <cell r="B397" t="str">
            <v>OFICIAL (INC. 70% PRESTACIONES)</v>
          </cell>
        </row>
        <row r="412">
          <cell r="B412" t="str">
            <v>M. DE O. PREPARACIÓN MEZCLAS</v>
          </cell>
        </row>
        <row r="427">
          <cell r="B427">
            <v>311197.66134374996</v>
          </cell>
        </row>
      </sheetData>
      <sheetData sheetId="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Seguim. SSF"/>
      <sheetName val="Seguimiento SSF"/>
      <sheetName val="Formato Largo"/>
      <sheetName val="Resumen OPEF"/>
      <sheetName val="Reporte OPEF"/>
      <sheetName val="Resumen MES OPEF"/>
      <sheetName val="Confis Marzo 7-97"/>
      <sheetName val="Reclasificación"/>
      <sheetName val="Historia desembolsos"/>
      <sheetName val="Contingencias 1997"/>
      <sheetName val="Formato FMI"/>
      <sheetName val="Elasticidad"/>
      <sheetName val="Que pasaría si...."/>
      <sheetName val="RESUMEN"/>
      <sheetName val="Hoja1"/>
      <sheetName val="Hoja2"/>
      <sheetName val="94-03 Mil Corr "/>
      <sheetName val="dici05"/>
      <sheetName val="EMBI"/>
    </sheetNames>
    <sheetDataSet>
      <sheetData sheetId="0" refreshError="1">
        <row r="1">
          <cell r="AE1">
            <v>1183.4304445100188</v>
          </cell>
          <cell r="AF1">
            <v>2737.1786575030073</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14557.600269024355</v>
          </cell>
          <cell r="M8">
            <v>8.8000000000000007</v>
          </cell>
          <cell r="N8">
            <v>14566.400269024356</v>
          </cell>
          <cell r="Q8">
            <v>1117.3881319197103</v>
          </cell>
          <cell r="R8">
            <v>1138.0803272712687</v>
          </cell>
          <cell r="S8">
            <v>1179.738892452445</v>
          </cell>
          <cell r="T8">
            <v>1375.639549804662</v>
          </cell>
          <cell r="U8">
            <v>1498.7542982262826</v>
          </cell>
          <cell r="V8">
            <v>1516.3641834780656</v>
          </cell>
          <cell r="W8">
            <v>1291.9710539185546</v>
          </cell>
          <cell r="X8">
            <v>1380.3897833779629</v>
          </cell>
          <cell r="Y8">
            <v>1091.7683148956307</v>
          </cell>
          <cell r="Z8">
            <v>1511.5768379882973</v>
          </cell>
          <cell r="AA8">
            <v>15168.700840557482</v>
          </cell>
          <cell r="AB8">
            <v>13.527372489443918</v>
          </cell>
          <cell r="AC8">
            <v>8.1772322159718545E-3</v>
          </cell>
          <cell r="AD8">
            <v>13.535549721659891</v>
          </cell>
          <cell r="AE8">
            <v>726.33585039237164</v>
          </cell>
          <cell r="AF8">
            <v>1438.1227019431008</v>
          </cell>
          <cell r="AG8">
            <v>1024.6103000000001</v>
          </cell>
          <cell r="AH8">
            <v>1219.2702560502198</v>
          </cell>
          <cell r="AI8">
            <v>1025.0579905407249</v>
          </cell>
          <cell r="AJ8">
            <v>1318.5125198987557</v>
          </cell>
          <cell r="AK8">
            <v>1386.8531636086091</v>
          </cell>
          <cell r="AL8">
            <v>1364.2976459563383</v>
          </cell>
          <cell r="AM8">
            <v>1147.7798913150875</v>
          </cell>
          <cell r="AN8">
            <v>1361.7922812436839</v>
          </cell>
          <cell r="AO8">
            <v>972.18127346093422</v>
          </cell>
          <cell r="AP8">
            <v>16.457900064195314</v>
          </cell>
          <cell r="AQ8">
            <v>-113.88698517506805</v>
          </cell>
          <cell r="AR8">
            <v>92.777831919710252</v>
          </cell>
          <cell r="AS8">
            <v>-81.189928778951071</v>
          </cell>
          <cell r="AT8">
            <v>154.68090191172018</v>
          </cell>
          <cell r="AU8">
            <v>57.127029905906284</v>
          </cell>
          <cell r="AV8">
            <v>111.90113461767351</v>
          </cell>
          <cell r="AW8">
            <v>152.06653752172724</v>
          </cell>
          <cell r="AX8">
            <v>144.19116260346709</v>
          </cell>
          <cell r="AY8">
            <v>2057.1933626519794</v>
          </cell>
          <cell r="AZ8">
            <v>3166.6159067143199</v>
          </cell>
          <cell r="BA8">
            <v>4301.1716418341994</v>
          </cell>
          <cell r="BB8">
            <v>5477.3676340074853</v>
          </cell>
          <cell r="BC8">
            <v>6848.2653596374657</v>
          </cell>
          <cell r="BD8">
            <v>8344.2977585040571</v>
          </cell>
          <cell r="BE8">
            <v>9857.549639359484</v>
          </cell>
          <cell r="BF8">
            <v>11141.102098057449</v>
          </cell>
          <cell r="BG8">
            <v>12521.491881435413</v>
          </cell>
          <cell r="BH8">
            <v>2106.4596832266393</v>
          </cell>
          <cell r="BI8">
            <v>3189.068852335472</v>
          </cell>
          <cell r="BJ8">
            <v>4408.3391083856923</v>
          </cell>
          <cell r="BK8">
            <v>5433.3970989264171</v>
          </cell>
          <cell r="BL8">
            <v>6751.9096188251733</v>
          </cell>
          <cell r="BM8">
            <v>8138.7627824337815</v>
          </cell>
          <cell r="BN8">
            <v>9503.060428390123</v>
          </cell>
          <cell r="BO8">
            <v>10650.840319705208</v>
          </cell>
          <cell r="BP8">
            <v>12012.632600948893</v>
          </cell>
          <cell r="BQ8">
            <v>-49.266320574659574</v>
          </cell>
          <cell r="BR8">
            <v>-22.452945621152274</v>
          </cell>
          <cell r="BS8">
            <v>-107.16746655149332</v>
          </cell>
          <cell r="BT8">
            <v>43.970535081066949</v>
          </cell>
          <cell r="BU8">
            <v>96.355740812292964</v>
          </cell>
          <cell r="BV8">
            <v>205.5349760702762</v>
          </cell>
          <cell r="BW8">
            <v>354.48921096936294</v>
          </cell>
          <cell r="BX8">
            <v>490.26177835223962</v>
          </cell>
          <cell r="BY8">
            <v>508.85928048651846</v>
          </cell>
          <cell r="BZ8">
            <v>618.83898199999999</v>
          </cell>
          <cell r="CA8">
            <v>1132.2671618140002</v>
          </cell>
          <cell r="CB8">
            <v>923.91891799999996</v>
          </cell>
          <cell r="CC8">
            <v>3166.6159067143199</v>
          </cell>
          <cell r="CD8">
            <v>2675.0250618139994</v>
          </cell>
          <cell r="CE8">
            <v>491.59084490032046</v>
          </cell>
          <cell r="CF8">
            <v>18.377055673899399</v>
          </cell>
        </row>
        <row r="9">
          <cell r="L9">
            <v>12496.099613354061</v>
          </cell>
          <cell r="M9">
            <v>0</v>
          </cell>
          <cell r="N9">
            <v>12496.099613354061</v>
          </cell>
          <cell r="Q9">
            <v>918.67541202805012</v>
          </cell>
          <cell r="R9">
            <v>1041.3214851985501</v>
          </cell>
          <cell r="S9">
            <v>1060.4619888837797</v>
          </cell>
          <cell r="T9">
            <v>1183.4589118603099</v>
          </cell>
          <cell r="U9">
            <v>1175.3498713699</v>
          </cell>
          <cell r="V9">
            <v>1300.8273561133799</v>
          </cell>
          <cell r="W9">
            <v>1030.2689678214899</v>
          </cell>
          <cell r="X9">
            <v>1285.1797225266603</v>
          </cell>
          <cell r="Y9">
            <v>916.57072490871997</v>
          </cell>
          <cell r="Z9">
            <v>1367.4223958232521</v>
          </cell>
          <cell r="AA9">
            <v>13075.612779912501</v>
          </cell>
          <cell r="AB9">
            <v>11.611762310490029</v>
          </cell>
          <cell r="AC9" t="str">
            <v xml:space="preserve"> </v>
          </cell>
          <cell r="AD9">
            <v>11.611762310490029</v>
          </cell>
          <cell r="AE9">
            <v>653.77829999999994</v>
          </cell>
          <cell r="AF9">
            <v>1354.6194</v>
          </cell>
          <cell r="AG9">
            <v>786.88030000000003</v>
          </cell>
          <cell r="AH9">
            <v>1121.4405222222222</v>
          </cell>
          <cell r="AI9">
            <v>935.23733791019799</v>
          </cell>
          <cell r="AJ9">
            <v>1193.5068379101976</v>
          </cell>
          <cell r="AK9">
            <v>1019.9875954975064</v>
          </cell>
          <cell r="AL9">
            <v>1247.3770828528786</v>
          </cell>
          <cell r="AM9">
            <v>891.50348140793017</v>
          </cell>
          <cell r="AN9">
            <v>1227.5820335033711</v>
          </cell>
          <cell r="AO9">
            <v>803.26734573661599</v>
          </cell>
          <cell r="AP9">
            <v>-76.766353117949734</v>
          </cell>
          <cell r="AQ9">
            <v>-135.55540350364004</v>
          </cell>
          <cell r="AR9">
            <v>131.79511202805008</v>
          </cell>
          <cell r="AS9">
            <v>-80.119037023672036</v>
          </cell>
          <cell r="AT9">
            <v>125.22465097358167</v>
          </cell>
          <cell r="AU9">
            <v>-10.047926049887792</v>
          </cell>
          <cell r="AV9">
            <v>155.36227587239364</v>
          </cell>
          <cell r="AW9">
            <v>53.450273260501262</v>
          </cell>
          <cell r="AX9">
            <v>138.76548641355976</v>
          </cell>
          <cell r="AY9">
            <v>1796.0759433784101</v>
          </cell>
          <cell r="AZ9">
            <v>2714.7513554064599</v>
          </cell>
          <cell r="BA9">
            <v>3756.0728406050107</v>
          </cell>
          <cell r="BB9">
            <v>4816.5348294887908</v>
          </cell>
          <cell r="BC9">
            <v>5999.9937413490998</v>
          </cell>
          <cell r="BD9">
            <v>7175.343612718998</v>
          </cell>
          <cell r="BE9">
            <v>8476.1709688323808</v>
          </cell>
          <cell r="BF9">
            <v>9506.4399366538692</v>
          </cell>
          <cell r="BG9">
            <v>10791.619659180531</v>
          </cell>
          <cell r="BH9">
            <v>2008.3977000000002</v>
          </cell>
          <cell r="BI9">
            <v>2795.2779999999998</v>
          </cell>
          <cell r="BJ9">
            <v>3916.7185222222224</v>
          </cell>
          <cell r="BK9">
            <v>4851.9558601324197</v>
          </cell>
          <cell r="BL9">
            <v>6045.4626980426183</v>
          </cell>
          <cell r="BM9">
            <v>7065.4502935401242</v>
          </cell>
          <cell r="BN9">
            <v>8312.8273763930047</v>
          </cell>
          <cell r="BO9">
            <v>9204.3308578009328</v>
          </cell>
          <cell r="BP9">
            <v>10431.912891304304</v>
          </cell>
          <cell r="BQ9">
            <v>-212.32175662158994</v>
          </cell>
          <cell r="BR9">
            <v>-80.526644593539771</v>
          </cell>
          <cell r="BS9">
            <v>-160.64568161721201</v>
          </cell>
          <cell r="BT9">
            <v>-35.421030643630175</v>
          </cell>
          <cell r="BU9">
            <v>-45.468956693518294</v>
          </cell>
          <cell r="BV9">
            <v>109.89331917887534</v>
          </cell>
          <cell r="BW9">
            <v>163.34359243937618</v>
          </cell>
          <cell r="BX9">
            <v>302.10907885293568</v>
          </cell>
          <cell r="BY9">
            <v>359.70676787622489</v>
          </cell>
          <cell r="BZ9">
            <v>506.79</v>
          </cell>
          <cell r="CA9">
            <v>1047.8119000000002</v>
          </cell>
          <cell r="CB9">
            <v>643.25349999999992</v>
          </cell>
          <cell r="CC9">
            <v>2714.7513554064599</v>
          </cell>
          <cell r="CD9">
            <v>2197.8553999999995</v>
          </cell>
          <cell r="CE9">
            <v>516.89595540646042</v>
          </cell>
          <cell r="CF9">
            <v>23.518196666007253</v>
          </cell>
        </row>
        <row r="10">
          <cell r="Q10">
            <v>612.18613506100019</v>
          </cell>
          <cell r="R10">
            <v>752.90155518899996</v>
          </cell>
          <cell r="S10">
            <v>709.49727737799981</v>
          </cell>
          <cell r="T10">
            <v>851.27870428699998</v>
          </cell>
          <cell r="U10">
            <v>803.17442898100001</v>
          </cell>
          <cell r="V10">
            <v>972.70713087999991</v>
          </cell>
          <cell r="W10">
            <v>690.39096822800002</v>
          </cell>
          <cell r="X10">
            <v>919.5669539930002</v>
          </cell>
          <cell r="Y10">
            <v>560.75002455699996</v>
          </cell>
          <cell r="Z10">
            <v>976.01564914280027</v>
          </cell>
          <cell r="AA10">
            <v>9152.5181370445007</v>
          </cell>
          <cell r="AB10">
            <v>8.0643945886236565</v>
          </cell>
          <cell r="AC10" t="e">
            <v>#VALUE!</v>
          </cell>
          <cell r="AD10">
            <v>8.0643945886236565</v>
          </cell>
          <cell r="AE10">
            <v>372.33579999999995</v>
          </cell>
          <cell r="AF10">
            <v>1072.5493999999999</v>
          </cell>
          <cell r="AG10">
            <v>494.41030000000001</v>
          </cell>
          <cell r="AH10">
            <v>798.19579999999996</v>
          </cell>
          <cell r="AI10">
            <v>600.26139999999998</v>
          </cell>
          <cell r="AJ10">
            <v>857.12189999999987</v>
          </cell>
          <cell r="AK10">
            <v>668.19430000000011</v>
          </cell>
          <cell r="AL10">
            <v>897.23910000000001</v>
          </cell>
          <cell r="AM10">
            <v>538.25220000000002</v>
          </cell>
          <cell r="AN10">
            <v>873.67699999999991</v>
          </cell>
          <cell r="AO10">
            <v>452.3449</v>
          </cell>
          <cell r="AP10">
            <v>-28.368856882299951</v>
          </cell>
          <cell r="AQ10">
            <v>-112.46703376999994</v>
          </cell>
          <cell r="AR10">
            <v>117.77583506100018</v>
          </cell>
          <cell r="AS10">
            <v>-45.294244810999999</v>
          </cell>
          <cell r="AT10">
            <v>109.23587737799983</v>
          </cell>
          <cell r="AU10">
            <v>-5.8431957129998864</v>
          </cell>
          <cell r="AV10">
            <v>134.98012898099989</v>
          </cell>
          <cell r="AW10">
            <v>75.468030879999901</v>
          </cell>
          <cell r="AX10">
            <v>152.138768228</v>
          </cell>
          <cell r="AY10">
            <v>1304.0493093476998</v>
          </cell>
          <cell r="AZ10">
            <v>1916.2354444087</v>
          </cell>
          <cell r="BA10">
            <v>2669.1369995977002</v>
          </cell>
          <cell r="BB10">
            <v>3378.6342769757002</v>
          </cell>
          <cell r="BC10">
            <v>4229.9129812626998</v>
          </cell>
          <cell r="BD10">
            <v>5033.0874102436992</v>
          </cell>
          <cell r="BE10">
            <v>6005.7945411236997</v>
          </cell>
          <cell r="BF10">
            <v>6696.1855093516988</v>
          </cell>
          <cell r="BG10">
            <v>7615.7524633446992</v>
          </cell>
          <cell r="BH10">
            <v>1444.8851999999999</v>
          </cell>
          <cell r="BI10">
            <v>1939.2954999999999</v>
          </cell>
          <cell r="BJ10">
            <v>2737.4913000000001</v>
          </cell>
          <cell r="BK10">
            <v>3337.7527</v>
          </cell>
          <cell r="BL10">
            <v>4194.8746000000001</v>
          </cell>
          <cell r="BM10">
            <v>4863.0689000000002</v>
          </cell>
          <cell r="BN10">
            <v>5760.3080000000009</v>
          </cell>
          <cell r="BO10">
            <v>6298.5601999999999</v>
          </cell>
          <cell r="BP10">
            <v>7172.2372000000005</v>
          </cell>
          <cell r="BQ10">
            <v>-140.83589065230001</v>
          </cell>
          <cell r="BR10">
            <v>-23.060055591299829</v>
          </cell>
          <cell r="BS10">
            <v>-68.354300402299941</v>
          </cell>
          <cell r="BT10">
            <v>40.881576975699772</v>
          </cell>
          <cell r="BU10">
            <v>35.038381262699659</v>
          </cell>
          <cell r="BV10">
            <v>170.01851024369944</v>
          </cell>
          <cell r="BW10">
            <v>245.48654112369877</v>
          </cell>
          <cell r="BX10">
            <v>397.62530935169843</v>
          </cell>
          <cell r="BY10">
            <v>443.51526334469872</v>
          </cell>
        </row>
        <row r="11">
          <cell r="F11" t="str">
            <v xml:space="preserve">  Renta </v>
          </cell>
          <cell r="L11">
            <v>4723.1066000000001</v>
          </cell>
          <cell r="N11">
            <v>4723.1066000000001</v>
          </cell>
          <cell r="O11">
            <v>243.55664311769996</v>
          </cell>
          <cell r="P11">
            <v>368.38189932499995</v>
          </cell>
          <cell r="Q11">
            <v>547.25089320100017</v>
          </cell>
          <cell r="R11">
            <v>273.53488764100001</v>
          </cell>
          <cell r="S11">
            <v>633.26266243399982</v>
          </cell>
          <cell r="T11">
            <v>407.06395279499992</v>
          </cell>
          <cell r="U11">
            <v>716.37736025599997</v>
          </cell>
          <cell r="V11">
            <v>457.37705655100001</v>
          </cell>
          <cell r="W11">
            <v>587.30996725600005</v>
          </cell>
          <cell r="X11">
            <v>336.76889635800006</v>
          </cell>
          <cell r="Y11">
            <v>371.95657846081235</v>
          </cell>
          <cell r="Z11">
            <v>121.77492272243373</v>
          </cell>
          <cell r="AA11">
            <v>5064.6157201179458</v>
          </cell>
          <cell r="AB11">
            <v>4.3888567555669642</v>
          </cell>
          <cell r="AC11" t="str">
            <v xml:space="preserve"> </v>
          </cell>
          <cell r="AD11">
            <v>4.3888567555669642</v>
          </cell>
          <cell r="AE11">
            <v>300.03099999999995</v>
          </cell>
          <cell r="AF11">
            <v>412.96669999999995</v>
          </cell>
          <cell r="AG11">
            <v>411.47919999999999</v>
          </cell>
          <cell r="AH11">
            <v>256.96799999999996</v>
          </cell>
          <cell r="AI11">
            <v>517.72820000000002</v>
          </cell>
          <cell r="AJ11">
            <v>367.72089999999997</v>
          </cell>
          <cell r="AK11">
            <v>564.85660000000007</v>
          </cell>
          <cell r="AL11">
            <v>375.6336</v>
          </cell>
          <cell r="AM11">
            <v>444.8304</v>
          </cell>
          <cell r="AN11">
            <v>283.6225</v>
          </cell>
          <cell r="AO11">
            <v>353.4796</v>
          </cell>
          <cell r="AP11">
            <v>-56.474356882299986</v>
          </cell>
          <cell r="AQ11">
            <v>-44.584800674999997</v>
          </cell>
          <cell r="AR11">
            <v>135.77169320100018</v>
          </cell>
          <cell r="AS11">
            <v>16.566887641000051</v>
          </cell>
          <cell r="AT11">
            <v>115.53446243399981</v>
          </cell>
          <cell r="AU11">
            <v>39.343052794999949</v>
          </cell>
          <cell r="AV11">
            <v>151.5207602559999</v>
          </cell>
          <cell r="AW11">
            <v>81.743456551000008</v>
          </cell>
          <cell r="AX11">
            <v>142.47956725600005</v>
          </cell>
          <cell r="AY11">
            <v>611.93854244269994</v>
          </cell>
          <cell r="AZ11">
            <v>1159.1894356437001</v>
          </cell>
          <cell r="BA11">
            <v>1432.7243232847002</v>
          </cell>
          <cell r="BB11">
            <v>2065.9869857187</v>
          </cell>
          <cell r="BC11">
            <v>2473.0509385136997</v>
          </cell>
          <cell r="BD11">
            <v>3189.4282987696997</v>
          </cell>
          <cell r="BE11">
            <v>3646.8053553206996</v>
          </cell>
          <cell r="BF11">
            <v>4234.1153225766993</v>
          </cell>
          <cell r="BG11">
            <v>4570.8842189346997</v>
          </cell>
          <cell r="BH11">
            <v>712.9976999999999</v>
          </cell>
          <cell r="BI11">
            <v>1124.4768999999999</v>
          </cell>
          <cell r="BJ11">
            <v>1381.4449</v>
          </cell>
          <cell r="BK11">
            <v>1899.1731</v>
          </cell>
          <cell r="BL11">
            <v>2266.8939999999998</v>
          </cell>
          <cell r="BM11">
            <v>2831.7505999999998</v>
          </cell>
          <cell r="BN11">
            <v>3207.3842</v>
          </cell>
          <cell r="BO11">
            <v>3652.2145999999998</v>
          </cell>
          <cell r="BP11">
            <v>3935.8370999999997</v>
          </cell>
          <cell r="BQ11">
            <v>-101.05915755729995</v>
          </cell>
          <cell r="BR11">
            <v>34.712535643700221</v>
          </cell>
          <cell r="BS11">
            <v>51.279423284700215</v>
          </cell>
          <cell r="BT11">
            <v>166.81388571870002</v>
          </cell>
          <cell r="BU11">
            <v>206.15693851369997</v>
          </cell>
          <cell r="BV11">
            <v>357.67769876969987</v>
          </cell>
          <cell r="BW11">
            <v>439.42115532069965</v>
          </cell>
          <cell r="BX11">
            <v>581.90072257669954</v>
          </cell>
          <cell r="BY11">
            <v>635.04711893469994</v>
          </cell>
          <cell r="BZ11">
            <v>234.09999999999997</v>
          </cell>
          <cell r="CA11">
            <v>321.39999999999998</v>
          </cell>
          <cell r="CB11">
            <v>335.89999999999992</v>
          </cell>
          <cell r="CC11">
            <v>1159.1894356437001</v>
          </cell>
          <cell r="CD11">
            <v>891.39999999999986</v>
          </cell>
          <cell r="CE11">
            <v>267.78943564370024</v>
          </cell>
          <cell r="CF11">
            <v>30.041444429403221</v>
          </cell>
        </row>
        <row r="12">
          <cell r="F12" t="str">
            <v xml:space="preserve">  Ventas Internas</v>
          </cell>
          <cell r="L12">
            <v>3955.4621999999999</v>
          </cell>
          <cell r="N12">
            <v>3955.4621999999999</v>
          </cell>
          <cell r="O12">
            <v>100.41030000000001</v>
          </cell>
          <cell r="P12">
            <v>591.70046690499998</v>
          </cell>
          <cell r="Q12">
            <v>64.935241859999991</v>
          </cell>
          <cell r="R12">
            <v>479.36666754800001</v>
          </cell>
          <cell r="S12">
            <v>76.234614944000015</v>
          </cell>
          <cell r="T12">
            <v>444.214751492</v>
          </cell>
          <cell r="U12">
            <v>86.797068725000017</v>
          </cell>
          <cell r="V12">
            <v>515.3300743289999</v>
          </cell>
          <cell r="W12">
            <v>103.08100097199998</v>
          </cell>
          <cell r="X12">
            <v>582.79805763500019</v>
          </cell>
          <cell r="Y12">
            <v>188.79344609618767</v>
          </cell>
          <cell r="Z12">
            <v>854.24072642036651</v>
          </cell>
          <cell r="AA12">
            <v>4087.902416926554</v>
          </cell>
          <cell r="AB12">
            <v>3.6755378330566932</v>
          </cell>
          <cell r="AC12" t="str">
            <v xml:space="preserve"> </v>
          </cell>
          <cell r="AD12">
            <v>3.6755378330566932</v>
          </cell>
          <cell r="AE12">
            <v>72.3048</v>
          </cell>
          <cell r="AF12">
            <v>659.58270000000005</v>
          </cell>
          <cell r="AG12">
            <v>82.931100000000001</v>
          </cell>
          <cell r="AH12">
            <v>541.2278</v>
          </cell>
          <cell r="AI12">
            <v>82.533199999999994</v>
          </cell>
          <cell r="AJ12">
            <v>489.40099999999995</v>
          </cell>
          <cell r="AK12">
            <v>103.3377</v>
          </cell>
          <cell r="AL12">
            <v>521.60550000000001</v>
          </cell>
          <cell r="AM12">
            <v>93.421800000000005</v>
          </cell>
          <cell r="AN12">
            <v>590.05449999999996</v>
          </cell>
          <cell r="AO12">
            <v>98.865300000000005</v>
          </cell>
          <cell r="AP12">
            <v>28.105500000000006</v>
          </cell>
          <cell r="AQ12">
            <v>-67.882233095000061</v>
          </cell>
          <cell r="AR12">
            <v>-17.99585814000001</v>
          </cell>
          <cell r="AS12">
            <v>-61.861132451999993</v>
          </cell>
          <cell r="AT12">
            <v>-6.298585055999979</v>
          </cell>
          <cell r="AU12">
            <v>-45.186248507999949</v>
          </cell>
          <cell r="AV12">
            <v>-16.540631274999981</v>
          </cell>
          <cell r="AW12">
            <v>-6.2754256710001073</v>
          </cell>
          <cell r="AX12">
            <v>9.6592009719999794</v>
          </cell>
          <cell r="AY12">
            <v>692.11076690499999</v>
          </cell>
          <cell r="AZ12">
            <v>757.04600876500001</v>
          </cell>
          <cell r="BA12">
            <v>1236.412676313</v>
          </cell>
          <cell r="BB12">
            <v>1312.647291257</v>
          </cell>
          <cell r="BC12">
            <v>1756.862042749</v>
          </cell>
          <cell r="BD12">
            <v>1843.6591114739999</v>
          </cell>
          <cell r="BE12">
            <v>2358.9891858029996</v>
          </cell>
          <cell r="BF12">
            <v>2462.0701867749995</v>
          </cell>
          <cell r="BG12">
            <v>3044.8682444099995</v>
          </cell>
          <cell r="BH12">
            <v>731.88750000000005</v>
          </cell>
          <cell r="BI12">
            <v>814.81860000000006</v>
          </cell>
          <cell r="BJ12">
            <v>1356.0464000000002</v>
          </cell>
          <cell r="BK12">
            <v>1438.5796000000003</v>
          </cell>
          <cell r="BL12">
            <v>1927.9806000000003</v>
          </cell>
          <cell r="BM12">
            <v>2031.3183000000004</v>
          </cell>
          <cell r="BN12">
            <v>2552.9238000000005</v>
          </cell>
          <cell r="BO12">
            <v>2646.3456000000006</v>
          </cell>
          <cell r="BP12">
            <v>3236.4001000000007</v>
          </cell>
          <cell r="BQ12">
            <v>-39.776733095000054</v>
          </cell>
          <cell r="BR12">
            <v>-57.77259123500005</v>
          </cell>
          <cell r="BS12">
            <v>-119.63372368700016</v>
          </cell>
          <cell r="BT12">
            <v>-125.93230874300025</v>
          </cell>
          <cell r="BU12">
            <v>-171.11855725100031</v>
          </cell>
          <cell r="BV12">
            <v>-187.65918852600043</v>
          </cell>
          <cell r="BW12">
            <v>-193.93461419700088</v>
          </cell>
          <cell r="BX12">
            <v>-184.2754132250011</v>
          </cell>
          <cell r="BY12">
            <v>-191.53185559000121</v>
          </cell>
          <cell r="BZ12">
            <v>18.399999999999999</v>
          </cell>
          <cell r="CA12">
            <v>475.8</v>
          </cell>
          <cell r="CB12">
            <v>68.699999999999989</v>
          </cell>
          <cell r="CC12">
            <v>757.04600876500001</v>
          </cell>
          <cell r="CD12">
            <v>562.9</v>
          </cell>
          <cell r="CE12">
            <v>194.14600876500003</v>
          </cell>
          <cell r="CF12">
            <v>34.490319553206604</v>
          </cell>
        </row>
        <row r="13">
          <cell r="L13">
            <v>1083.5878093612414</v>
          </cell>
          <cell r="N13">
            <v>1083.5878093612414</v>
          </cell>
          <cell r="Q13">
            <v>87.581100000000021</v>
          </cell>
          <cell r="R13">
            <v>75.481886342485012</v>
          </cell>
          <cell r="S13">
            <v>100.79985627792065</v>
          </cell>
          <cell r="T13">
            <v>96.822372804126232</v>
          </cell>
          <cell r="U13">
            <v>119.95336933611877</v>
          </cell>
          <cell r="V13">
            <v>106.80132008960814</v>
          </cell>
          <cell r="W13">
            <v>121.30396975051718</v>
          </cell>
          <cell r="X13">
            <v>123.15117546677656</v>
          </cell>
          <cell r="Y13">
            <v>120.73640728030996</v>
          </cell>
          <cell r="Z13">
            <v>131.96731670782302</v>
          </cell>
          <cell r="AA13">
            <v>1221.3033438096857</v>
          </cell>
          <cell r="AB13">
            <v>1.0069033117662627</v>
          </cell>
          <cell r="AC13" t="str">
            <v xml:space="preserve"> </v>
          </cell>
          <cell r="AD13">
            <v>1.0069033117662627</v>
          </cell>
          <cell r="AE13">
            <v>79.530992176990523</v>
          </cell>
          <cell r="AF13">
            <v>79.5</v>
          </cell>
          <cell r="AG13">
            <v>79.5</v>
          </cell>
          <cell r="AH13">
            <v>86.8</v>
          </cell>
          <cell r="AI13">
            <v>90.4</v>
          </cell>
          <cell r="AJ13">
            <v>90.4</v>
          </cell>
          <cell r="AK13">
            <v>96.6</v>
          </cell>
          <cell r="AL13">
            <v>96.7</v>
          </cell>
          <cell r="AM13">
            <v>96.7</v>
          </cell>
          <cell r="AN13">
            <v>96.7</v>
          </cell>
          <cell r="AO13">
            <v>96.7</v>
          </cell>
          <cell r="AP13">
            <v>-17.211794713990507</v>
          </cell>
          <cell r="AQ13">
            <v>-5.1146277089999614</v>
          </cell>
          <cell r="AR13">
            <v>8.0811000000000206</v>
          </cell>
          <cell r="AS13">
            <v>-11.318113657514985</v>
          </cell>
          <cell r="AT13">
            <v>10.399856277920648</v>
          </cell>
          <cell r="AU13">
            <v>6.4223728041262262</v>
          </cell>
          <cell r="AV13">
            <v>23.353369336118774</v>
          </cell>
          <cell r="AW13">
            <v>10.101320089608137</v>
          </cell>
          <cell r="AX13">
            <v>24.60396975051718</v>
          </cell>
          <cell r="AY13">
            <v>136.70456975400006</v>
          </cell>
          <cell r="AZ13">
            <v>224.28566975400008</v>
          </cell>
          <cell r="BA13">
            <v>299.76755609648512</v>
          </cell>
          <cell r="BB13">
            <v>400.56741237440576</v>
          </cell>
          <cell r="BC13">
            <v>497.38978517853201</v>
          </cell>
          <cell r="BD13">
            <v>617.34315451465079</v>
          </cell>
          <cell r="BE13">
            <v>724.1444746042589</v>
          </cell>
          <cell r="BF13">
            <v>845.44844435477603</v>
          </cell>
          <cell r="BG13">
            <v>968.59961982155255</v>
          </cell>
          <cell r="BH13">
            <v>159.03099217699054</v>
          </cell>
          <cell r="BI13">
            <v>238.53099217699054</v>
          </cell>
          <cell r="BJ13">
            <v>325.33099217699055</v>
          </cell>
          <cell r="BK13">
            <v>415.73099217699053</v>
          </cell>
          <cell r="BL13">
            <v>506.1309921769905</v>
          </cell>
          <cell r="BM13">
            <v>602.73099217699053</v>
          </cell>
          <cell r="BN13">
            <v>699.43099217699057</v>
          </cell>
          <cell r="BO13">
            <v>796.13099217699062</v>
          </cell>
          <cell r="BP13">
            <v>892.83099217699066</v>
          </cell>
          <cell r="BQ13">
            <v>-22.326422422990476</v>
          </cell>
          <cell r="BR13">
            <v>-14.245322422990455</v>
          </cell>
          <cell r="BS13">
            <v>-25.563436080505426</v>
          </cell>
          <cell r="BT13">
            <v>-15.163579802584763</v>
          </cell>
          <cell r="BU13">
            <v>-8.7412069984584946</v>
          </cell>
          <cell r="BV13">
            <v>14.612162337660266</v>
          </cell>
          <cell r="BW13">
            <v>24.713482427268332</v>
          </cell>
          <cell r="BX13">
            <v>49.317452177785412</v>
          </cell>
          <cell r="BY13">
            <v>75.768627644561889</v>
          </cell>
          <cell r="BZ13">
            <v>80.599999999999994</v>
          </cell>
          <cell r="CA13">
            <v>71.549000000000007</v>
          </cell>
          <cell r="CB13">
            <v>69.2</v>
          </cell>
          <cell r="CC13">
            <v>224.28566975400008</v>
          </cell>
          <cell r="CD13">
            <v>221.34899999999999</v>
          </cell>
          <cell r="CE13">
            <v>2.9366697540000928</v>
          </cell>
          <cell r="CF13">
            <v>1.3267147147717484</v>
          </cell>
        </row>
        <row r="14">
          <cell r="L14">
            <v>1889.9795039928199</v>
          </cell>
          <cell r="N14">
            <v>1889.9795039928199</v>
          </cell>
          <cell r="Q14">
            <v>142.834725642</v>
          </cell>
          <cell r="R14">
            <v>133.22379018051501</v>
          </cell>
          <cell r="S14">
            <v>177.96080820747937</v>
          </cell>
          <cell r="T14">
            <v>166.10573600583371</v>
          </cell>
          <cell r="U14">
            <v>189.71520713288123</v>
          </cell>
          <cell r="V14">
            <v>168.94491869539186</v>
          </cell>
          <cell r="W14">
            <v>177.70895279163273</v>
          </cell>
          <cell r="X14">
            <v>194.80812886039345</v>
          </cell>
          <cell r="Y14">
            <v>187.32168090269005</v>
          </cell>
          <cell r="Z14">
            <v>208.75756498844049</v>
          </cell>
          <cell r="AA14">
            <v>1975.8815134072579</v>
          </cell>
          <cell r="AB14">
            <v>1.7562274190427944</v>
          </cell>
          <cell r="AC14" t="str">
            <v xml:space="preserve"> </v>
          </cell>
          <cell r="AD14">
            <v>1.7562274190427944</v>
          </cell>
          <cell r="AE14">
            <v>140.46900782300949</v>
          </cell>
          <cell r="AF14">
            <v>140.5</v>
          </cell>
          <cell r="AG14">
            <v>140.5</v>
          </cell>
          <cell r="AH14">
            <v>153.19999999999999</v>
          </cell>
          <cell r="AI14">
            <v>159.6</v>
          </cell>
          <cell r="AJ14">
            <v>159.6</v>
          </cell>
          <cell r="AK14">
            <v>170.6</v>
          </cell>
          <cell r="AL14">
            <v>170.8</v>
          </cell>
          <cell r="AM14">
            <v>170.8</v>
          </cell>
          <cell r="AN14">
            <v>170.8</v>
          </cell>
          <cell r="AO14">
            <v>170.8</v>
          </cell>
          <cell r="AP14">
            <v>-27.369007823009511</v>
          </cell>
          <cell r="AQ14">
            <v>-25.100000000000065</v>
          </cell>
          <cell r="AR14">
            <v>2.3347256419999951</v>
          </cell>
          <cell r="AS14">
            <v>-19.976209819484978</v>
          </cell>
          <cell r="AT14">
            <v>18.36080820747938</v>
          </cell>
          <cell r="AU14">
            <v>6.505736005833711</v>
          </cell>
          <cell r="AV14">
            <v>19.115207132881238</v>
          </cell>
          <cell r="AW14">
            <v>-1.8550813046081487</v>
          </cell>
          <cell r="AX14">
            <v>6.9089527916327143</v>
          </cell>
          <cell r="AY14">
            <v>228.49999999999991</v>
          </cell>
          <cell r="AZ14">
            <v>371.33472564199991</v>
          </cell>
          <cell r="BA14">
            <v>504.55851582251489</v>
          </cell>
          <cell r="BB14">
            <v>682.51932402999432</v>
          </cell>
          <cell r="BC14">
            <v>848.62506003582803</v>
          </cell>
          <cell r="BD14">
            <v>1038.3402671687093</v>
          </cell>
          <cell r="BE14">
            <v>1207.2851858641011</v>
          </cell>
          <cell r="BF14">
            <v>1384.9941386557339</v>
          </cell>
          <cell r="BG14">
            <v>1579.8022675161274</v>
          </cell>
          <cell r="BH14">
            <v>280.96900782300952</v>
          </cell>
          <cell r="BI14">
            <v>421.46900782300952</v>
          </cell>
          <cell r="BJ14">
            <v>574.66900782300945</v>
          </cell>
          <cell r="BK14">
            <v>734.26900782300947</v>
          </cell>
          <cell r="BL14">
            <v>893.8690078230095</v>
          </cell>
          <cell r="BM14">
            <v>1064.4690078230094</v>
          </cell>
          <cell r="BN14">
            <v>1235.2690078230094</v>
          </cell>
          <cell r="BO14">
            <v>1406.0690078230093</v>
          </cell>
          <cell r="BP14">
            <v>1576.8690078230093</v>
          </cell>
          <cell r="BQ14">
            <v>-52.469007823009605</v>
          </cell>
          <cell r="BR14">
            <v>-50.13428218100961</v>
          </cell>
          <cell r="BS14">
            <v>-70.11049200049456</v>
          </cell>
          <cell r="BT14">
            <v>-51.749683793015151</v>
          </cell>
          <cell r="BU14">
            <v>-45.243947787181469</v>
          </cell>
          <cell r="BV14">
            <v>-26.128740654300145</v>
          </cell>
          <cell r="BW14">
            <v>-27.983821958908266</v>
          </cell>
          <cell r="BX14">
            <v>-21.074869167275438</v>
          </cell>
          <cell r="BY14">
            <v>2.9332596931180888</v>
          </cell>
          <cell r="BZ14">
            <v>124.9</v>
          </cell>
          <cell r="CA14">
            <v>127.649</v>
          </cell>
          <cell r="CB14">
            <v>125.8</v>
          </cell>
          <cell r="CC14">
            <v>371.33472564199991</v>
          </cell>
          <cell r="CD14">
            <v>378.34899999999999</v>
          </cell>
          <cell r="CE14">
            <v>-7.0142743580000797</v>
          </cell>
          <cell r="CF14">
            <v>-1.8539164522702767</v>
          </cell>
        </row>
        <row r="15">
          <cell r="L15">
            <v>790.43349999999998</v>
          </cell>
          <cell r="N15">
            <v>790.43349999999998</v>
          </cell>
          <cell r="Q15">
            <v>48.755678719580004</v>
          </cell>
          <cell r="R15">
            <v>61.927547688800004</v>
          </cell>
          <cell r="S15">
            <v>56.177978153059996</v>
          </cell>
          <cell r="T15">
            <v>65.378911245259999</v>
          </cell>
          <cell r="U15">
            <v>60.214436816019997</v>
          </cell>
          <cell r="V15">
            <v>49.163226856559994</v>
          </cell>
          <cell r="W15">
            <v>38.87063087264</v>
          </cell>
          <cell r="X15">
            <v>45.708496023000002</v>
          </cell>
          <cell r="Y15">
            <v>45.870645472</v>
          </cell>
          <cell r="Z15">
            <v>50.682198984188432</v>
          </cell>
          <cell r="AA15">
            <v>634.42619069857847</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sheetData sheetId="2" refreshError="1"/>
      <sheetData sheetId="3" refreshError="1"/>
      <sheetData sheetId="4"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5" refreshError="1"/>
      <sheetData sheetId="6"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_x0002_A"/>
      <sheetName val="Inversión Acdto"/>
      <sheetName val="CANT OBRA "/>
      <sheetName val="APU "/>
      <sheetName val="Base de Diseño"/>
      <sheetName val="HOja2"/>
      <sheetName val="VISC"/>
      <sheetName val="PTO REDES BA"/>
      <sheetName val="DATOS EPANET"/>
      <sheetName val="Condución_PVC"/>
      <sheetName val="PTO_BOCA-COND"/>
      <sheetName val="PTO_TANQ_DE_ALM"/>
      <sheetName val="PTO_REDES"/>
      <sheetName val="PTO_REDES_BA"/>
      <sheetName val="Inversión_Acdto"/>
      <sheetName val="CANT_OBRA_"/>
      <sheetName val="APU_"/>
      <sheetName val="Base_de_Diseño1"/>
      <sheetName val="PTO_REDES_A"/>
      <sheetName val="DATOS_EPANET"/>
      <sheetName val="Base_de_Diseño"/>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Seguimiento"/>
      <sheetName val="Resumen metas"/>
      <sheetName val="Brecha EPM"/>
    </sheetNames>
    <sheetDataSet>
      <sheetData sheetId="0" refreshError="1"/>
      <sheetData sheetId="1" refreshError="1"/>
      <sheetData sheetId="2" refreshError="1">
        <row r="24">
          <cell r="A24">
            <v>41</v>
          </cell>
          <cell r="B24" t="str">
            <v>C23</v>
          </cell>
          <cell r="C24" t="str">
            <v>C24</v>
          </cell>
          <cell r="G24">
            <v>0</v>
          </cell>
          <cell r="J24">
            <v>0</v>
          </cell>
          <cell r="K24">
            <v>0</v>
          </cell>
          <cell r="L24">
            <v>0</v>
          </cell>
          <cell r="M24">
            <v>0</v>
          </cell>
          <cell r="N24">
            <v>0</v>
          </cell>
          <cell r="O24">
            <v>0</v>
          </cell>
          <cell r="P24">
            <v>0</v>
          </cell>
          <cell r="Q24">
            <v>0.14000000000000001</v>
          </cell>
          <cell r="S24">
            <v>0.14000000000000001</v>
          </cell>
          <cell r="T24">
            <v>98</v>
          </cell>
          <cell r="U24">
            <v>55</v>
          </cell>
          <cell r="V24">
            <v>0.68799999999999994</v>
          </cell>
          <cell r="X24">
            <v>0</v>
          </cell>
          <cell r="Y24">
            <v>0</v>
          </cell>
          <cell r="AA24">
            <v>0</v>
          </cell>
          <cell r="AB24">
            <v>0</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v>0</v>
          </cell>
          <cell r="BB24">
            <v>1E-3</v>
          </cell>
          <cell r="BC24">
            <v>0</v>
          </cell>
          <cell r="BD24">
            <v>0</v>
          </cell>
          <cell r="BE24">
            <v>1E-3</v>
          </cell>
          <cell r="BF24">
            <v>0</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v>0</v>
          </cell>
          <cell r="J25">
            <v>0</v>
          </cell>
          <cell r="K25">
            <v>0</v>
          </cell>
          <cell r="L25">
            <v>0</v>
          </cell>
          <cell r="M25">
            <v>0</v>
          </cell>
          <cell r="N25">
            <v>0</v>
          </cell>
          <cell r="O25">
            <v>0</v>
          </cell>
          <cell r="P25">
            <v>0</v>
          </cell>
          <cell r="Q25">
            <v>0.06</v>
          </cell>
          <cell r="R25">
            <v>2.29</v>
          </cell>
          <cell r="S25">
            <v>2.4900000000000002</v>
          </cell>
          <cell r="T25">
            <v>98</v>
          </cell>
          <cell r="U25">
            <v>976</v>
          </cell>
          <cell r="V25">
            <v>0.68799999999999994</v>
          </cell>
          <cell r="X25">
            <v>0</v>
          </cell>
          <cell r="Y25">
            <v>0</v>
          </cell>
          <cell r="AA25">
            <v>0</v>
          </cell>
          <cell r="AB25">
            <v>0</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v>0</v>
          </cell>
          <cell r="BH25">
            <v>0</v>
          </cell>
          <cell r="BI25">
            <v>0</v>
          </cell>
          <cell r="BJ25">
            <v>0</v>
          </cell>
          <cell r="BK25">
            <v>0</v>
          </cell>
          <cell r="BL25">
            <v>0</v>
          </cell>
          <cell r="BM25">
            <v>0</v>
          </cell>
          <cell r="BN25">
            <v>0.15</v>
          </cell>
          <cell r="BO25">
            <v>700.43299999999988</v>
          </cell>
          <cell r="BP25">
            <v>697.77299999999991</v>
          </cell>
          <cell r="BQ25">
            <v>700.63299999999992</v>
          </cell>
          <cell r="BR25">
            <v>697.97299999999996</v>
          </cell>
          <cell r="BS25">
            <v>701.923</v>
          </cell>
          <cell r="BT25">
            <v>699.173</v>
          </cell>
          <cell r="BU25">
            <v>0</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v>0</v>
          </cell>
          <cell r="J26">
            <v>0</v>
          </cell>
          <cell r="K26">
            <v>0</v>
          </cell>
          <cell r="L26">
            <v>0</v>
          </cell>
          <cell r="M26">
            <v>0</v>
          </cell>
          <cell r="N26">
            <v>0</v>
          </cell>
          <cell r="O26">
            <v>0</v>
          </cell>
          <cell r="P26">
            <v>0</v>
          </cell>
          <cell r="S26">
            <v>2.4900000000000002</v>
          </cell>
          <cell r="T26">
            <v>98</v>
          </cell>
          <cell r="U26">
            <v>976</v>
          </cell>
          <cell r="V26">
            <v>0.68799999999999994</v>
          </cell>
          <cell r="X26">
            <v>0</v>
          </cell>
          <cell r="Y26">
            <v>0</v>
          </cell>
          <cell r="AA26">
            <v>0</v>
          </cell>
          <cell r="AB26">
            <v>0</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v>0</v>
          </cell>
          <cell r="BH26">
            <v>0</v>
          </cell>
          <cell r="BI26">
            <v>0</v>
          </cell>
          <cell r="BJ26">
            <v>0</v>
          </cell>
          <cell r="BK26">
            <v>0</v>
          </cell>
          <cell r="BL26">
            <v>0</v>
          </cell>
          <cell r="BM26">
            <v>0</v>
          </cell>
          <cell r="BN26">
            <v>0.03</v>
          </cell>
          <cell r="BO26">
            <v>697.75299999999993</v>
          </cell>
          <cell r="BP26">
            <v>692.27299999999991</v>
          </cell>
          <cell r="BQ26">
            <v>697.95299999999997</v>
          </cell>
          <cell r="BR26">
            <v>692.47299999999996</v>
          </cell>
          <cell r="BS26">
            <v>699.173</v>
          </cell>
          <cell r="BT26">
            <v>693.673</v>
          </cell>
          <cell r="BU26">
            <v>0</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v>0</v>
          </cell>
          <cell r="J27">
            <v>0</v>
          </cell>
          <cell r="K27">
            <v>0</v>
          </cell>
          <cell r="L27">
            <v>0</v>
          </cell>
          <cell r="M27">
            <v>0</v>
          </cell>
          <cell r="N27">
            <v>0</v>
          </cell>
          <cell r="O27">
            <v>0</v>
          </cell>
          <cell r="P27">
            <v>0</v>
          </cell>
          <cell r="R27">
            <v>1.82</v>
          </cell>
          <cell r="S27">
            <v>4.3100000000000005</v>
          </cell>
          <cell r="T27">
            <v>98</v>
          </cell>
          <cell r="U27">
            <v>1689</v>
          </cell>
          <cell r="V27">
            <v>0.68799999999999994</v>
          </cell>
          <cell r="X27">
            <v>0</v>
          </cell>
          <cell r="Y27">
            <v>0</v>
          </cell>
          <cell r="AA27">
            <v>0</v>
          </cell>
          <cell r="AB27">
            <v>0</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v>0</v>
          </cell>
          <cell r="BH27">
            <v>0</v>
          </cell>
          <cell r="BI27">
            <v>0</v>
          </cell>
          <cell r="BJ27">
            <v>0</v>
          </cell>
          <cell r="BK27">
            <v>0</v>
          </cell>
          <cell r="BL27">
            <v>0</v>
          </cell>
          <cell r="BM27">
            <v>0</v>
          </cell>
          <cell r="BN27">
            <v>0.02</v>
          </cell>
          <cell r="BO27">
            <v>692.25299999999993</v>
          </cell>
          <cell r="BP27">
            <v>691.35299999999995</v>
          </cell>
          <cell r="BQ27">
            <v>692.45299999999997</v>
          </cell>
          <cell r="BR27">
            <v>691.553</v>
          </cell>
          <cell r="BS27">
            <v>693.673</v>
          </cell>
          <cell r="BT27">
            <v>692.75300000000016</v>
          </cell>
          <cell r="BU27">
            <v>0</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v>0</v>
          </cell>
          <cell r="J28">
            <v>0</v>
          </cell>
          <cell r="K28">
            <v>0</v>
          </cell>
          <cell r="L28">
            <v>0</v>
          </cell>
          <cell r="M28">
            <v>0</v>
          </cell>
          <cell r="N28">
            <v>0</v>
          </cell>
          <cell r="O28">
            <v>0</v>
          </cell>
          <cell r="P28">
            <v>0</v>
          </cell>
          <cell r="S28">
            <v>4.3100000000000005</v>
          </cell>
          <cell r="T28">
            <v>98</v>
          </cell>
          <cell r="U28">
            <v>1689</v>
          </cell>
          <cell r="V28">
            <v>0.68799999999999994</v>
          </cell>
          <cell r="X28">
            <v>0</v>
          </cell>
          <cell r="Y28">
            <v>0</v>
          </cell>
          <cell r="AA28">
            <v>0</v>
          </cell>
          <cell r="AB28">
            <v>0</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v>0</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v>0</v>
          </cell>
          <cell r="J29">
            <v>0</v>
          </cell>
          <cell r="K29">
            <v>0</v>
          </cell>
          <cell r="L29">
            <v>0</v>
          </cell>
          <cell r="M29">
            <v>0</v>
          </cell>
          <cell r="N29">
            <v>0</v>
          </cell>
          <cell r="O29">
            <v>0</v>
          </cell>
          <cell r="P29">
            <v>0</v>
          </cell>
          <cell r="S29">
            <v>4.3100000000000005</v>
          </cell>
          <cell r="T29">
            <v>98</v>
          </cell>
          <cell r="U29">
            <v>1689</v>
          </cell>
          <cell r="V29">
            <v>0.68799999999999994</v>
          </cell>
          <cell r="X29">
            <v>0</v>
          </cell>
          <cell r="Y29">
            <v>0</v>
          </cell>
          <cell r="AA29">
            <v>0</v>
          </cell>
          <cell r="AB29">
            <v>0</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v>0</v>
          </cell>
          <cell r="BH29">
            <v>0</v>
          </cell>
          <cell r="BI29">
            <v>0</v>
          </cell>
          <cell r="BJ29">
            <v>0</v>
          </cell>
          <cell r="BK29">
            <v>0</v>
          </cell>
          <cell r="BL29">
            <v>0</v>
          </cell>
          <cell r="BM29">
            <v>0</v>
          </cell>
          <cell r="BN29">
            <v>0.11</v>
          </cell>
          <cell r="BO29">
            <v>687.76299999999992</v>
          </cell>
          <cell r="BP29">
            <v>686.9129999999999</v>
          </cell>
          <cell r="BQ29">
            <v>687.96299999999997</v>
          </cell>
          <cell r="BR29">
            <v>687.11299999999994</v>
          </cell>
          <cell r="BS29">
            <v>689.22299999999996</v>
          </cell>
          <cell r="BT29">
            <v>688.11300000000006</v>
          </cell>
          <cell r="BU29">
            <v>0</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v>0</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v>0</v>
          </cell>
          <cell r="AA30">
            <v>0</v>
          </cell>
          <cell r="AB30">
            <v>0</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v>0</v>
          </cell>
          <cell r="AP30">
            <v>0</v>
          </cell>
          <cell r="AQ30">
            <v>0</v>
          </cell>
          <cell r="AR30">
            <v>0</v>
          </cell>
          <cell r="AS30">
            <v>0</v>
          </cell>
          <cell r="AT30">
            <v>0</v>
          </cell>
          <cell r="AU30">
            <v>0</v>
          </cell>
          <cell r="AV30">
            <v>1.1671964236528531</v>
          </cell>
          <cell r="AW30">
            <v>185.63457031085673</v>
          </cell>
          <cell r="AX30">
            <v>0</v>
          </cell>
          <cell r="AY30">
            <v>120.48880343979978</v>
          </cell>
          <cell r="AZ30" t="str">
            <v>46°26'13''</v>
          </cell>
          <cell r="BA30">
            <v>3.1081370028379447</v>
          </cell>
          <cell r="BB30">
            <v>0</v>
          </cell>
          <cell r="BC30">
            <v>0</v>
          </cell>
          <cell r="BD30">
            <v>0</v>
          </cell>
          <cell r="BE30">
            <v>0</v>
          </cell>
          <cell r="BF30">
            <v>0</v>
          </cell>
          <cell r="BG30">
            <v>0.83695201556002952</v>
          </cell>
          <cell r="BH30">
            <v>2.6666666666666665</v>
          </cell>
          <cell r="BI30">
            <v>1.2</v>
          </cell>
          <cell r="BJ30">
            <v>0</v>
          </cell>
          <cell r="BK30">
            <v>0</v>
          </cell>
          <cell r="BL30">
            <v>0</v>
          </cell>
          <cell r="BM30">
            <v>1.1004840207873858</v>
          </cell>
          <cell r="BN30">
            <v>0</v>
          </cell>
          <cell r="BO30">
            <v>686.87299999999993</v>
          </cell>
          <cell r="BP30">
            <v>686.51299999999992</v>
          </cell>
          <cell r="BQ30">
            <v>687.32299999999998</v>
          </cell>
          <cell r="BR30">
            <v>686.96299999999997</v>
          </cell>
          <cell r="BS30">
            <v>688.11300000000006</v>
          </cell>
          <cell r="BT30">
            <v>689.41300000000001</v>
          </cell>
          <cell r="BU30">
            <v>0</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v>0</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v>0</v>
          </cell>
          <cell r="AA31">
            <v>0</v>
          </cell>
          <cell r="AB31">
            <v>0</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v>0</v>
          </cell>
          <cell r="AP31">
            <v>0</v>
          </cell>
          <cell r="AQ31">
            <v>0</v>
          </cell>
          <cell r="AR31">
            <v>0</v>
          </cell>
          <cell r="AS31">
            <v>0</v>
          </cell>
          <cell r="AT31">
            <v>0</v>
          </cell>
          <cell r="AU31">
            <v>0</v>
          </cell>
          <cell r="AV31">
            <v>1.1671964236528531</v>
          </cell>
          <cell r="AW31">
            <v>185.63457031085673</v>
          </cell>
          <cell r="AX31">
            <v>0</v>
          </cell>
          <cell r="AY31">
            <v>171.69793098169856</v>
          </cell>
          <cell r="AZ31" t="str">
            <v>51°12'33''</v>
          </cell>
          <cell r="BA31">
            <v>2.7823125836732552</v>
          </cell>
          <cell r="BB31">
            <v>0</v>
          </cell>
          <cell r="BC31">
            <v>0</v>
          </cell>
          <cell r="BD31">
            <v>0</v>
          </cell>
          <cell r="BE31">
            <v>0</v>
          </cell>
          <cell r="BF31">
            <v>0</v>
          </cell>
          <cell r="BG31">
            <v>0.83697043360582635</v>
          </cell>
          <cell r="BH31">
            <v>2.6666666666666665</v>
          </cell>
          <cell r="BI31">
            <v>1.2</v>
          </cell>
          <cell r="BJ31">
            <v>0</v>
          </cell>
          <cell r="BK31">
            <v>0</v>
          </cell>
          <cell r="BL31">
            <v>0</v>
          </cell>
          <cell r="BM31">
            <v>1.1005158192416571</v>
          </cell>
          <cell r="BN31">
            <v>0</v>
          </cell>
          <cell r="BO31">
            <v>686.51299999999992</v>
          </cell>
          <cell r="BP31">
            <v>686.47299999999996</v>
          </cell>
          <cell r="BQ31">
            <v>686.96299999999997</v>
          </cell>
          <cell r="BR31">
            <v>686.923</v>
          </cell>
          <cell r="BS31">
            <v>689.41300000000001</v>
          </cell>
          <cell r="BT31">
            <v>689.03300000000013</v>
          </cell>
          <cell r="BU31">
            <v>0</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v>0</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v>0</v>
          </cell>
          <cell r="AA32">
            <v>0</v>
          </cell>
          <cell r="AB32">
            <v>0</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v>0</v>
          </cell>
          <cell r="AP32">
            <v>0</v>
          </cell>
          <cell r="AQ32">
            <v>0</v>
          </cell>
          <cell r="AR32">
            <v>0</v>
          </cell>
          <cell r="AS32">
            <v>0</v>
          </cell>
          <cell r="AT32">
            <v>0</v>
          </cell>
          <cell r="AU32">
            <v>0</v>
          </cell>
          <cell r="AV32">
            <v>10.554935394568046</v>
          </cell>
          <cell r="AW32">
            <v>1678.6899419186741</v>
          </cell>
          <cell r="AX32">
            <v>0</v>
          </cell>
          <cell r="AY32">
            <v>150.5004077340291</v>
          </cell>
          <cell r="AZ32" t="str">
            <v>21°11'51''</v>
          </cell>
          <cell r="BA32">
            <v>7.1254554098055687</v>
          </cell>
          <cell r="BB32">
            <v>0</v>
          </cell>
          <cell r="BC32">
            <v>0</v>
          </cell>
          <cell r="BD32">
            <v>0</v>
          </cell>
          <cell r="BE32">
            <v>0</v>
          </cell>
          <cell r="BF32">
            <v>0</v>
          </cell>
          <cell r="BG32">
            <v>0</v>
          </cell>
          <cell r="BH32">
            <v>0</v>
          </cell>
          <cell r="BI32">
            <v>0</v>
          </cell>
          <cell r="BJ32">
            <v>0</v>
          </cell>
          <cell r="BK32">
            <v>0</v>
          </cell>
          <cell r="BL32">
            <v>0</v>
          </cell>
          <cell r="BM32">
            <v>0</v>
          </cell>
          <cell r="BN32">
            <v>0.1</v>
          </cell>
          <cell r="BO32">
            <v>686.37299999999993</v>
          </cell>
          <cell r="BP32">
            <v>684.2829999999999</v>
          </cell>
          <cell r="BQ32">
            <v>686.82299999999998</v>
          </cell>
          <cell r="BR32">
            <v>684.73299999999995</v>
          </cell>
          <cell r="BS32">
            <v>689.03300000000013</v>
          </cell>
          <cell r="BT32">
            <v>684.62300000000005</v>
          </cell>
          <cell r="BU32">
            <v>0</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v>0</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v>0</v>
          </cell>
          <cell r="AA33">
            <v>0</v>
          </cell>
          <cell r="AB33">
            <v>0</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v>0</v>
          </cell>
          <cell r="AP33">
            <v>0</v>
          </cell>
          <cell r="AQ33">
            <v>0</v>
          </cell>
          <cell r="AR33">
            <v>0</v>
          </cell>
          <cell r="AS33">
            <v>0</v>
          </cell>
          <cell r="AT33">
            <v>0</v>
          </cell>
          <cell r="AU33">
            <v>0</v>
          </cell>
          <cell r="AV33">
            <v>8.5185595128479807</v>
          </cell>
          <cell r="AW33">
            <v>1354.8183517269902</v>
          </cell>
          <cell r="AX33">
            <v>0</v>
          </cell>
          <cell r="AY33">
            <v>150.4994376613574</v>
          </cell>
          <cell r="AZ33" t="str">
            <v>00°00'00''</v>
          </cell>
          <cell r="BA33">
            <v>1000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683.88299999999992</v>
          </cell>
          <cell r="BP33">
            <v>682.83299999999997</v>
          </cell>
          <cell r="BQ33">
            <v>684.33299999999997</v>
          </cell>
          <cell r="BR33">
            <v>683.28300000000002</v>
          </cell>
          <cell r="BS33">
            <v>684.62300000000005</v>
          </cell>
          <cell r="BT33">
            <v>683.44299999999998</v>
          </cell>
          <cell r="BU33">
            <v>0</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v>0</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v>0</v>
          </cell>
          <cell r="AA34">
            <v>0</v>
          </cell>
          <cell r="AB34">
            <v>0</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v>0</v>
          </cell>
          <cell r="AP34">
            <v>0</v>
          </cell>
          <cell r="AQ34">
            <v>0</v>
          </cell>
          <cell r="AR34">
            <v>0</v>
          </cell>
          <cell r="AS34">
            <v>0</v>
          </cell>
          <cell r="AT34">
            <v>0</v>
          </cell>
          <cell r="AU34">
            <v>0</v>
          </cell>
          <cell r="AV34">
            <v>1.3129305471944275</v>
          </cell>
          <cell r="AW34">
            <v>208.81258118806932</v>
          </cell>
          <cell r="AX34">
            <v>0</v>
          </cell>
          <cell r="AY34">
            <v>208.24170826422633</v>
          </cell>
          <cell r="AZ34" t="str">
            <v>57°44'32''</v>
          </cell>
          <cell r="BA34">
            <v>2.4182077430262381</v>
          </cell>
          <cell r="BB34">
            <v>0</v>
          </cell>
          <cell r="BC34">
            <v>0</v>
          </cell>
          <cell r="BD34">
            <v>0</v>
          </cell>
          <cell r="BE34">
            <v>0</v>
          </cell>
          <cell r="BF34">
            <v>0</v>
          </cell>
          <cell r="BG34">
            <v>0.87273757721530154</v>
          </cell>
          <cell r="BH34">
            <v>2.6666666666666665</v>
          </cell>
          <cell r="BI34">
            <v>1.2</v>
          </cell>
          <cell r="BJ34">
            <v>0</v>
          </cell>
          <cell r="BK34">
            <v>0</v>
          </cell>
          <cell r="BL34">
            <v>0</v>
          </cell>
          <cell r="BM34">
            <v>1.1635873442743006</v>
          </cell>
          <cell r="BN34">
            <v>0</v>
          </cell>
          <cell r="BO34">
            <v>683.00299999999993</v>
          </cell>
          <cell r="BP34">
            <v>682.60299999999995</v>
          </cell>
          <cell r="BQ34">
            <v>683.45299999999997</v>
          </cell>
          <cell r="BR34">
            <v>683.053</v>
          </cell>
          <cell r="BS34">
            <v>683.44299999999998</v>
          </cell>
          <cell r="BT34">
            <v>684.57300000000009</v>
          </cell>
          <cell r="BU34">
            <v>0</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v>0</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v>0</v>
          </cell>
          <cell r="AA35">
            <v>0</v>
          </cell>
          <cell r="AB35">
            <v>0</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v>0</v>
          </cell>
          <cell r="AP35">
            <v>0</v>
          </cell>
          <cell r="AQ35">
            <v>0</v>
          </cell>
          <cell r="AR35">
            <v>0</v>
          </cell>
          <cell r="AS35">
            <v>0</v>
          </cell>
          <cell r="AT35">
            <v>0</v>
          </cell>
          <cell r="AU35">
            <v>0</v>
          </cell>
          <cell r="AV35">
            <v>9.2051959495256561</v>
          </cell>
          <cell r="AW35">
            <v>3542.5745563108298</v>
          </cell>
          <cell r="AX35">
            <v>0</v>
          </cell>
          <cell r="AY35">
            <v>114.73554446443033</v>
          </cell>
          <cell r="AZ35" t="str">
            <v>93°30'22''</v>
          </cell>
          <cell r="BA35">
            <v>1.0077907318737453</v>
          </cell>
          <cell r="BB35">
            <v>0</v>
          </cell>
          <cell r="BC35">
            <v>0</v>
          </cell>
          <cell r="BD35">
            <v>0</v>
          </cell>
          <cell r="BE35">
            <v>0</v>
          </cell>
          <cell r="BF35">
            <v>0</v>
          </cell>
          <cell r="BG35">
            <v>0.9343476434955017</v>
          </cell>
          <cell r="BH35">
            <v>2.1428571428571428</v>
          </cell>
          <cell r="BI35">
            <v>1.2</v>
          </cell>
          <cell r="BJ35">
            <v>0</v>
          </cell>
          <cell r="BK35">
            <v>0</v>
          </cell>
          <cell r="BL35">
            <v>0</v>
          </cell>
          <cell r="BM35">
            <v>1.9886500545321404</v>
          </cell>
          <cell r="BN35">
            <v>0</v>
          </cell>
          <cell r="BO35">
            <v>683.40299999999991</v>
          </cell>
          <cell r="BP35">
            <v>680.59299999999996</v>
          </cell>
          <cell r="BQ35">
            <v>684.10299999999995</v>
          </cell>
          <cell r="BR35">
            <v>681.29300000000001</v>
          </cell>
          <cell r="BS35">
            <v>684.57300000000009</v>
          </cell>
          <cell r="BT35">
            <v>679.55300000000011</v>
          </cell>
          <cell r="BU35">
            <v>0</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v>0</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v>0</v>
          </cell>
          <cell r="AA36">
            <v>0</v>
          </cell>
          <cell r="AB36">
            <v>0</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v>0</v>
          </cell>
          <cell r="AP36">
            <v>0</v>
          </cell>
          <cell r="AQ36">
            <v>0</v>
          </cell>
          <cell r="AR36">
            <v>0</v>
          </cell>
          <cell r="AS36">
            <v>0</v>
          </cell>
          <cell r="AT36">
            <v>0</v>
          </cell>
          <cell r="AU36">
            <v>0</v>
          </cell>
          <cell r="AV36">
            <v>10.915187647171557</v>
          </cell>
          <cell r="AW36">
            <v>4200.6564823012577</v>
          </cell>
          <cell r="AX36">
            <v>0</v>
          </cell>
          <cell r="AY36">
            <v>114.73715898942989</v>
          </cell>
          <cell r="AZ36" t="str">
            <v>00°00'00''</v>
          </cell>
          <cell r="BA36">
            <v>1000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680.59299999999996</v>
          </cell>
          <cell r="BP36">
            <v>676.18299999999999</v>
          </cell>
          <cell r="BQ36">
            <v>681.29300000000001</v>
          </cell>
          <cell r="BR36">
            <v>676.88300000000004</v>
          </cell>
          <cell r="BS36">
            <v>679.55300000000011</v>
          </cell>
          <cell r="BT36">
            <v>674.35300000000007</v>
          </cell>
          <cell r="BU36">
            <v>0</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v>0</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v>0</v>
          </cell>
          <cell r="AA37">
            <v>0</v>
          </cell>
          <cell r="AB37">
            <v>0</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v>0</v>
          </cell>
          <cell r="AP37">
            <v>0</v>
          </cell>
          <cell r="AQ37">
            <v>0</v>
          </cell>
          <cell r="AR37">
            <v>0</v>
          </cell>
          <cell r="AS37">
            <v>0</v>
          </cell>
          <cell r="AT37">
            <v>0</v>
          </cell>
          <cell r="AU37">
            <v>0</v>
          </cell>
          <cell r="AV37">
            <v>6.630265807271055</v>
          </cell>
          <cell r="AW37">
            <v>1874.6634916323314</v>
          </cell>
          <cell r="AX37">
            <v>0</v>
          </cell>
          <cell r="AY37">
            <v>99.698075365859424</v>
          </cell>
          <cell r="AZ37" t="str">
            <v>15°02'21''</v>
          </cell>
          <cell r="BA37">
            <v>9.4697332935740395</v>
          </cell>
          <cell r="BB37">
            <v>0</v>
          </cell>
          <cell r="BC37">
            <v>0</v>
          </cell>
          <cell r="BD37">
            <v>0</v>
          </cell>
          <cell r="BE37">
            <v>0</v>
          </cell>
          <cell r="BF37">
            <v>0</v>
          </cell>
          <cell r="BG37">
            <v>0</v>
          </cell>
          <cell r="BH37">
            <v>0</v>
          </cell>
          <cell r="BI37">
            <v>0</v>
          </cell>
          <cell r="BJ37">
            <v>0</v>
          </cell>
          <cell r="BK37">
            <v>0</v>
          </cell>
          <cell r="BL37">
            <v>0</v>
          </cell>
          <cell r="BM37">
            <v>0</v>
          </cell>
          <cell r="BN37">
            <v>0</v>
          </cell>
          <cell r="BO37">
            <v>676.18299999999999</v>
          </cell>
          <cell r="BP37">
            <v>674.65300000000002</v>
          </cell>
          <cell r="BQ37">
            <v>676.78300000000002</v>
          </cell>
          <cell r="BR37">
            <v>675.25300000000004</v>
          </cell>
          <cell r="BS37">
            <v>674.35300000000007</v>
          </cell>
          <cell r="BT37">
            <v>672.02300000000014</v>
          </cell>
          <cell r="BU37">
            <v>0</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J38">
            <v>1.74</v>
          </cell>
          <cell r="AK38">
            <v>12</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674.87300000000005</v>
          </cell>
          <cell r="BP38">
            <v>0</v>
          </cell>
          <cell r="BQ38">
            <v>674.87300000000005</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v>0</v>
          </cell>
          <cell r="G39">
            <v>0</v>
          </cell>
          <cell r="J39">
            <v>0</v>
          </cell>
          <cell r="K39">
            <v>0</v>
          </cell>
          <cell r="L39">
            <v>0</v>
          </cell>
          <cell r="M39">
            <v>0</v>
          </cell>
          <cell r="N39">
            <v>0</v>
          </cell>
          <cell r="O39">
            <v>0</v>
          </cell>
          <cell r="P39">
            <v>0</v>
          </cell>
          <cell r="S39">
            <v>0</v>
          </cell>
          <cell r="U39">
            <v>0</v>
          </cell>
          <cell r="X39">
            <v>0</v>
          </cell>
          <cell r="Y39">
            <v>0</v>
          </cell>
          <cell r="AA39">
            <v>0</v>
          </cell>
          <cell r="AB39">
            <v>0</v>
          </cell>
          <cell r="AC39">
            <v>0</v>
          </cell>
          <cell r="AD39">
            <v>0</v>
          </cell>
          <cell r="AE39">
            <v>0</v>
          </cell>
          <cell r="AF39">
            <v>0</v>
          </cell>
          <cell r="AG39">
            <v>0</v>
          </cell>
          <cell r="AH39">
            <v>0</v>
          </cell>
          <cell r="AI39">
            <v>0</v>
          </cell>
          <cell r="AJ39">
            <v>22.27</v>
          </cell>
          <cell r="AK39">
            <v>8</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v>0</v>
          </cell>
          <cell r="F40">
            <v>0</v>
          </cell>
          <cell r="G40">
            <v>0</v>
          </cell>
          <cell r="J40">
            <v>0</v>
          </cell>
          <cell r="K40">
            <v>0</v>
          </cell>
          <cell r="L40">
            <v>0</v>
          </cell>
          <cell r="M40">
            <v>0</v>
          </cell>
          <cell r="N40">
            <v>0</v>
          </cell>
          <cell r="O40">
            <v>0</v>
          </cell>
          <cell r="P40">
            <v>0</v>
          </cell>
          <cell r="S40">
            <v>0</v>
          </cell>
          <cell r="U40">
            <v>0</v>
          </cell>
          <cell r="X40">
            <v>0</v>
          </cell>
          <cell r="Y40">
            <v>0</v>
          </cell>
          <cell r="AA40">
            <v>0</v>
          </cell>
          <cell r="AB40">
            <v>0</v>
          </cell>
          <cell r="AC40">
            <v>0</v>
          </cell>
          <cell r="AD40">
            <v>0</v>
          </cell>
          <cell r="AE40">
            <v>0</v>
          </cell>
          <cell r="AF40">
            <v>0</v>
          </cell>
          <cell r="AG40">
            <v>0</v>
          </cell>
          <cell r="AH40">
            <v>0</v>
          </cell>
          <cell r="AI40">
            <v>0</v>
          </cell>
          <cell r="AJ40">
            <v>22.35</v>
          </cell>
          <cell r="AK40">
            <v>8</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v>0</v>
          </cell>
          <cell r="J41">
            <v>0</v>
          </cell>
          <cell r="K41">
            <v>0</v>
          </cell>
          <cell r="L41">
            <v>0</v>
          </cell>
          <cell r="M41">
            <v>0</v>
          </cell>
          <cell r="N41">
            <v>0</v>
          </cell>
          <cell r="O41">
            <v>0</v>
          </cell>
          <cell r="P41">
            <v>0</v>
          </cell>
          <cell r="Q41">
            <v>0.4</v>
          </cell>
          <cell r="S41">
            <v>0.4</v>
          </cell>
          <cell r="T41">
            <v>98</v>
          </cell>
          <cell r="U41">
            <v>157</v>
          </cell>
          <cell r="V41">
            <v>0.68799999999999994</v>
          </cell>
          <cell r="X41">
            <v>0</v>
          </cell>
          <cell r="Y41">
            <v>0</v>
          </cell>
          <cell r="AA41">
            <v>0</v>
          </cell>
          <cell r="AB41">
            <v>0</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v>0</v>
          </cell>
          <cell r="BB41">
            <v>1E-3</v>
          </cell>
          <cell r="BC41">
            <v>0</v>
          </cell>
          <cell r="BD41">
            <v>0</v>
          </cell>
          <cell r="BE41">
            <v>1E-3</v>
          </cell>
          <cell r="BF41">
            <v>0</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v>0</v>
          </cell>
          <cell r="J42">
            <v>0</v>
          </cell>
          <cell r="K42">
            <v>0</v>
          </cell>
          <cell r="L42">
            <v>0</v>
          </cell>
          <cell r="M42">
            <v>0</v>
          </cell>
          <cell r="N42">
            <v>0</v>
          </cell>
          <cell r="O42">
            <v>0</v>
          </cell>
          <cell r="P42">
            <v>0</v>
          </cell>
          <cell r="S42">
            <v>0.4</v>
          </cell>
          <cell r="T42">
            <v>98</v>
          </cell>
          <cell r="U42">
            <v>157</v>
          </cell>
          <cell r="V42">
            <v>0.68799999999999994</v>
          </cell>
          <cell r="X42">
            <v>0</v>
          </cell>
          <cell r="Y42">
            <v>0</v>
          </cell>
          <cell r="AA42">
            <v>0</v>
          </cell>
          <cell r="AB42">
            <v>0</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v>0</v>
          </cell>
          <cell r="BH42">
            <v>0</v>
          </cell>
          <cell r="BI42">
            <v>0</v>
          </cell>
          <cell r="BJ42">
            <v>0</v>
          </cell>
          <cell r="BK42">
            <v>0</v>
          </cell>
          <cell r="BL42">
            <v>0</v>
          </cell>
          <cell r="BM42">
            <v>0</v>
          </cell>
          <cell r="BN42">
            <v>0.03</v>
          </cell>
          <cell r="BO42">
            <v>698.82299999999987</v>
          </cell>
          <cell r="BP42">
            <v>695.51299999999992</v>
          </cell>
          <cell r="BQ42">
            <v>699.02299999999991</v>
          </cell>
          <cell r="BR42">
            <v>695.71299999999997</v>
          </cell>
          <cell r="BS42">
            <v>699.85300000000007</v>
          </cell>
          <cell r="BT42">
            <v>696.53300000000013</v>
          </cell>
          <cell r="BU42">
            <v>0</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v>0</v>
          </cell>
          <cell r="J43">
            <v>0</v>
          </cell>
          <cell r="K43">
            <v>0</v>
          </cell>
          <cell r="L43">
            <v>0</v>
          </cell>
          <cell r="M43">
            <v>0</v>
          </cell>
          <cell r="N43">
            <v>0</v>
          </cell>
          <cell r="O43">
            <v>0</v>
          </cell>
          <cell r="P43">
            <v>0</v>
          </cell>
          <cell r="S43">
            <v>0.4</v>
          </cell>
          <cell r="T43">
            <v>98</v>
          </cell>
          <cell r="U43">
            <v>157</v>
          </cell>
          <cell r="V43">
            <v>0.68799999999999994</v>
          </cell>
          <cell r="X43">
            <v>0</v>
          </cell>
          <cell r="Y43">
            <v>0</v>
          </cell>
          <cell r="AA43">
            <v>0</v>
          </cell>
          <cell r="AB43">
            <v>0</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v>0</v>
          </cell>
          <cell r="BH43">
            <v>0</v>
          </cell>
          <cell r="BI43">
            <v>0</v>
          </cell>
          <cell r="BJ43">
            <v>0</v>
          </cell>
          <cell r="BK43">
            <v>0</v>
          </cell>
          <cell r="BL43">
            <v>0</v>
          </cell>
          <cell r="BM43">
            <v>0</v>
          </cell>
          <cell r="BN43">
            <v>0.01</v>
          </cell>
          <cell r="BO43">
            <v>695.50299999999993</v>
          </cell>
          <cell r="BP43">
            <v>692.20299999999997</v>
          </cell>
          <cell r="BQ43">
            <v>695.70299999999997</v>
          </cell>
          <cell r="BR43">
            <v>692.40300000000002</v>
          </cell>
          <cell r="BS43">
            <v>696.53300000000013</v>
          </cell>
          <cell r="BT43">
            <v>693.23299999999995</v>
          </cell>
          <cell r="BU43">
            <v>0</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v>0</v>
          </cell>
          <cell r="J44">
            <v>0</v>
          </cell>
          <cell r="K44">
            <v>0</v>
          </cell>
          <cell r="L44">
            <v>0</v>
          </cell>
          <cell r="M44">
            <v>0</v>
          </cell>
          <cell r="N44">
            <v>0</v>
          </cell>
          <cell r="O44">
            <v>0</v>
          </cell>
          <cell r="P44">
            <v>0</v>
          </cell>
          <cell r="S44">
            <v>0.4</v>
          </cell>
          <cell r="T44">
            <v>98</v>
          </cell>
          <cell r="U44">
            <v>157</v>
          </cell>
          <cell r="V44">
            <v>0.68799999999999994</v>
          </cell>
          <cell r="X44">
            <v>0</v>
          </cell>
          <cell r="Y44">
            <v>0</v>
          </cell>
          <cell r="AA44">
            <v>0</v>
          </cell>
          <cell r="AB44">
            <v>0</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v>0</v>
          </cell>
          <cell r="BH44">
            <v>0</v>
          </cell>
          <cell r="BI44">
            <v>0</v>
          </cell>
          <cell r="BJ44">
            <v>0</v>
          </cell>
          <cell r="BK44">
            <v>0</v>
          </cell>
          <cell r="BL44">
            <v>0</v>
          </cell>
          <cell r="BM44">
            <v>0</v>
          </cell>
          <cell r="BN44">
            <v>0.01</v>
          </cell>
          <cell r="BO44">
            <v>692.19299999999998</v>
          </cell>
          <cell r="BP44">
            <v>691.69299999999998</v>
          </cell>
          <cell r="BQ44">
            <v>692.39300000000003</v>
          </cell>
          <cell r="BR44">
            <v>691.89300000000003</v>
          </cell>
          <cell r="BS44">
            <v>693.23299999999995</v>
          </cell>
          <cell r="BT44">
            <v>692.71299999999997</v>
          </cell>
          <cell r="BU44">
            <v>0</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v>0</v>
          </cell>
          <cell r="J45">
            <v>0</v>
          </cell>
          <cell r="K45">
            <v>0</v>
          </cell>
          <cell r="L45">
            <v>0</v>
          </cell>
          <cell r="M45">
            <v>0</v>
          </cell>
          <cell r="N45">
            <v>0</v>
          </cell>
          <cell r="O45">
            <v>0</v>
          </cell>
          <cell r="P45">
            <v>0</v>
          </cell>
          <cell r="Q45">
            <v>0.37</v>
          </cell>
          <cell r="S45">
            <v>0.77</v>
          </cell>
          <cell r="T45">
            <v>98</v>
          </cell>
          <cell r="U45">
            <v>302</v>
          </cell>
          <cell r="V45">
            <v>0.68799999999999994</v>
          </cell>
          <cell r="X45">
            <v>0</v>
          </cell>
          <cell r="Y45">
            <v>0</v>
          </cell>
          <cell r="AA45">
            <v>0</v>
          </cell>
          <cell r="AB45">
            <v>0</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v>0</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v>0</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J46">
            <v>16.149999999999999</v>
          </cell>
          <cell r="AK46">
            <v>8</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691.31299999999999</v>
          </cell>
          <cell r="BP46">
            <v>0</v>
          </cell>
          <cell r="BQ46">
            <v>691.31299999999999</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v>0</v>
          </cell>
          <cell r="F47">
            <v>0</v>
          </cell>
          <cell r="G47">
            <v>0</v>
          </cell>
          <cell r="J47">
            <v>0</v>
          </cell>
          <cell r="K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J47">
            <v>2.12</v>
          </cell>
          <cell r="AK47">
            <v>8</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-0.09</v>
          </cell>
          <cell r="BP47">
            <v>0</v>
          </cell>
          <cell r="BQ47">
            <v>-0.09</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v>0</v>
          </cell>
          <cell r="J48">
            <v>0</v>
          </cell>
          <cell r="K48">
            <v>0</v>
          </cell>
          <cell r="L48">
            <v>0</v>
          </cell>
          <cell r="M48">
            <v>0</v>
          </cell>
          <cell r="N48">
            <v>0</v>
          </cell>
          <cell r="O48">
            <v>0</v>
          </cell>
          <cell r="P48">
            <v>0</v>
          </cell>
          <cell r="Q48">
            <v>0.06</v>
          </cell>
          <cell r="S48">
            <v>0.06</v>
          </cell>
          <cell r="T48">
            <v>98</v>
          </cell>
          <cell r="U48">
            <v>24</v>
          </cell>
          <cell r="V48">
            <v>0.68799999999999994</v>
          </cell>
          <cell r="X48">
            <v>0</v>
          </cell>
          <cell r="Y48">
            <v>0</v>
          </cell>
          <cell r="AA48">
            <v>0</v>
          </cell>
          <cell r="AB48">
            <v>0</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v>0</v>
          </cell>
          <cell r="BB48">
            <v>1E-3</v>
          </cell>
          <cell r="BC48">
            <v>0</v>
          </cell>
          <cell r="BD48">
            <v>0</v>
          </cell>
          <cell r="BE48">
            <v>1E-3</v>
          </cell>
          <cell r="BF48">
            <v>0</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v>0</v>
          </cell>
          <cell r="J49">
            <v>0</v>
          </cell>
          <cell r="K49">
            <v>0</v>
          </cell>
          <cell r="L49">
            <v>0</v>
          </cell>
          <cell r="M49">
            <v>0</v>
          </cell>
          <cell r="N49">
            <v>0</v>
          </cell>
          <cell r="O49">
            <v>0</v>
          </cell>
          <cell r="P49">
            <v>0</v>
          </cell>
          <cell r="Q49">
            <v>0.4</v>
          </cell>
          <cell r="S49">
            <v>0.46</v>
          </cell>
          <cell r="T49">
            <v>98</v>
          </cell>
          <cell r="U49">
            <v>181</v>
          </cell>
          <cell r="V49">
            <v>0.68799999999999994</v>
          </cell>
          <cell r="X49">
            <v>0</v>
          </cell>
          <cell r="Y49">
            <v>0</v>
          </cell>
          <cell r="AA49">
            <v>0</v>
          </cell>
          <cell r="AB49">
            <v>0</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v>0</v>
          </cell>
          <cell r="BH49">
            <v>0</v>
          </cell>
          <cell r="BI49">
            <v>0</v>
          </cell>
          <cell r="BJ49">
            <v>0</v>
          </cell>
          <cell r="BK49">
            <v>0</v>
          </cell>
          <cell r="BL49">
            <v>0</v>
          </cell>
          <cell r="BM49">
            <v>0</v>
          </cell>
          <cell r="BN49">
            <v>0.05</v>
          </cell>
          <cell r="BO49">
            <v>734.20299999999997</v>
          </cell>
          <cell r="BP49">
            <v>723.38299999999992</v>
          </cell>
          <cell r="BQ49">
            <v>734.40300000000002</v>
          </cell>
          <cell r="BR49">
            <v>723.58299999999997</v>
          </cell>
          <cell r="BS49">
            <v>735.45299999999997</v>
          </cell>
          <cell r="BT49">
            <v>724.58300000000008</v>
          </cell>
          <cell r="BU49">
            <v>0</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v>0</v>
          </cell>
          <cell r="J50">
            <v>0</v>
          </cell>
          <cell r="K50">
            <v>0</v>
          </cell>
          <cell r="L50">
            <v>0</v>
          </cell>
          <cell r="M50">
            <v>0</v>
          </cell>
          <cell r="N50">
            <v>0</v>
          </cell>
          <cell r="O50">
            <v>0</v>
          </cell>
          <cell r="P50">
            <v>0</v>
          </cell>
          <cell r="S50">
            <v>0.46</v>
          </cell>
          <cell r="T50">
            <v>98</v>
          </cell>
          <cell r="U50">
            <v>181</v>
          </cell>
          <cell r="V50">
            <v>0.68799999999999994</v>
          </cell>
          <cell r="X50">
            <v>0</v>
          </cell>
          <cell r="Y50">
            <v>0</v>
          </cell>
          <cell r="AA50">
            <v>0</v>
          </cell>
          <cell r="AB50">
            <v>0</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v>0</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v>0</v>
          </cell>
          <cell r="J51">
            <v>0</v>
          </cell>
          <cell r="K51">
            <v>0</v>
          </cell>
          <cell r="L51">
            <v>0</v>
          </cell>
          <cell r="M51">
            <v>0</v>
          </cell>
          <cell r="N51">
            <v>0</v>
          </cell>
          <cell r="O51">
            <v>0</v>
          </cell>
          <cell r="P51">
            <v>0</v>
          </cell>
          <cell r="Q51">
            <v>0.55000000000000004</v>
          </cell>
          <cell r="S51">
            <v>1.01</v>
          </cell>
          <cell r="T51">
            <v>98</v>
          </cell>
          <cell r="U51">
            <v>397</v>
          </cell>
          <cell r="V51">
            <v>0.68799999999999994</v>
          </cell>
          <cell r="X51">
            <v>0</v>
          </cell>
          <cell r="Y51">
            <v>0</v>
          </cell>
          <cell r="AA51">
            <v>0</v>
          </cell>
          <cell r="AB51">
            <v>0</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v>0</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v>0</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J52">
            <v>0.02</v>
          </cell>
          <cell r="AK52">
            <v>30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721.06299999999987</v>
          </cell>
          <cell r="BP52">
            <v>0</v>
          </cell>
          <cell r="BQ52">
            <v>721.06299999999987</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v>0</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J53">
            <v>0.02</v>
          </cell>
          <cell r="AK53">
            <v>30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v>0</v>
          </cell>
          <cell r="J54">
            <v>0</v>
          </cell>
          <cell r="L54">
            <v>0</v>
          </cell>
          <cell r="M54">
            <v>0</v>
          </cell>
          <cell r="N54">
            <v>0</v>
          </cell>
          <cell r="O54">
            <v>0</v>
          </cell>
          <cell r="P54">
            <v>0</v>
          </cell>
          <cell r="Q54">
            <v>0.13</v>
          </cell>
          <cell r="S54">
            <v>0.13</v>
          </cell>
          <cell r="T54">
            <v>98</v>
          </cell>
          <cell r="U54">
            <v>51</v>
          </cell>
          <cell r="V54">
            <v>0.68799999999999994</v>
          </cell>
          <cell r="X54">
            <v>0</v>
          </cell>
          <cell r="Y54">
            <v>0</v>
          </cell>
          <cell r="AA54">
            <v>0</v>
          </cell>
          <cell r="AB54">
            <v>0</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v>0</v>
          </cell>
          <cell r="BB54">
            <v>1E-3</v>
          </cell>
          <cell r="BC54">
            <v>0</v>
          </cell>
          <cell r="BD54">
            <v>0</v>
          </cell>
          <cell r="BE54">
            <v>1E-3</v>
          </cell>
          <cell r="BF54">
            <v>0</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v>0</v>
          </cell>
          <cell r="J55">
            <v>0</v>
          </cell>
          <cell r="L55">
            <v>0</v>
          </cell>
          <cell r="M55">
            <v>0</v>
          </cell>
          <cell r="N55">
            <v>0</v>
          </cell>
          <cell r="O55">
            <v>0</v>
          </cell>
          <cell r="P55">
            <v>0</v>
          </cell>
          <cell r="Q55">
            <v>0.09</v>
          </cell>
          <cell r="S55">
            <v>0.22</v>
          </cell>
          <cell r="U55">
            <v>51</v>
          </cell>
          <cell r="X55">
            <v>0</v>
          </cell>
          <cell r="Y55">
            <v>0</v>
          </cell>
          <cell r="AA55">
            <v>0</v>
          </cell>
          <cell r="AB55">
            <v>0</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v>0</v>
          </cell>
          <cell r="BH55">
            <v>0</v>
          </cell>
          <cell r="BI55">
            <v>0</v>
          </cell>
          <cell r="BJ55">
            <v>0</v>
          </cell>
          <cell r="BK55">
            <v>0</v>
          </cell>
          <cell r="BL55">
            <v>0</v>
          </cell>
          <cell r="BM55">
            <v>0</v>
          </cell>
          <cell r="BN55">
            <v>0.01</v>
          </cell>
          <cell r="BO55">
            <v>719.68299999999988</v>
          </cell>
          <cell r="BP55">
            <v>718.44299999999987</v>
          </cell>
          <cell r="BQ55">
            <v>719.88299999999992</v>
          </cell>
          <cell r="BR55">
            <v>718.64299999999992</v>
          </cell>
          <cell r="BS55">
            <v>722.99299999999994</v>
          </cell>
          <cell r="BT55">
            <v>719.75300000000016</v>
          </cell>
          <cell r="BU55">
            <v>0</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J56">
            <v>0.02</v>
          </cell>
          <cell r="AK56">
            <v>30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718.44299999999987</v>
          </cell>
          <cell r="BP56">
            <v>0</v>
          </cell>
          <cell r="BQ56">
            <v>718.44299999999987</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J57">
            <v>0.02</v>
          </cell>
          <cell r="AK57">
            <v>30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v>0</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J58">
            <v>0.02</v>
          </cell>
          <cell r="AK58">
            <v>30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v>0</v>
          </cell>
          <cell r="K59">
            <v>0.11460125141746949</v>
          </cell>
          <cell r="L59">
            <v>0.11460125141746949</v>
          </cell>
          <cell r="M59">
            <v>3</v>
          </cell>
          <cell r="N59">
            <v>471.90281881227315</v>
          </cell>
          <cell r="O59">
            <v>0.63012548262548296</v>
          </cell>
          <cell r="P59">
            <v>930.73051325856159</v>
          </cell>
          <cell r="S59">
            <v>0</v>
          </cell>
          <cell r="U59">
            <v>0</v>
          </cell>
          <cell r="X59">
            <v>0</v>
          </cell>
          <cell r="Y59">
            <v>0</v>
          </cell>
          <cell r="AA59">
            <v>0</v>
          </cell>
          <cell r="AB59">
            <v>0</v>
          </cell>
          <cell r="AC59">
            <v>0</v>
          </cell>
          <cell r="AD59">
            <v>0</v>
          </cell>
          <cell r="AE59">
            <v>0</v>
          </cell>
          <cell r="AF59">
            <v>0</v>
          </cell>
          <cell r="AG59">
            <v>0</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v>0</v>
          </cell>
          <cell r="BB59">
            <v>1E-3</v>
          </cell>
          <cell r="BC59">
            <v>0</v>
          </cell>
          <cell r="BD59">
            <v>0</v>
          </cell>
          <cell r="BE59">
            <v>1E-3</v>
          </cell>
          <cell r="BF59">
            <v>0</v>
          </cell>
          <cell r="BG59">
            <v>1.0664386366702769</v>
          </cell>
          <cell r="BH59">
            <v>1.9999999999999996</v>
          </cell>
          <cell r="BI59">
            <v>1.3</v>
          </cell>
          <cell r="BJ59">
            <v>0</v>
          </cell>
          <cell r="BK59">
            <v>0</v>
          </cell>
          <cell r="BL59">
            <v>0</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v>0</v>
          </cell>
          <cell r="K60">
            <v>0.207825604811361</v>
          </cell>
          <cell r="L60">
            <v>3.2078256048113611</v>
          </cell>
          <cell r="M60">
            <v>3.2078256048113611</v>
          </cell>
          <cell r="N60">
            <v>467.36338090484503</v>
          </cell>
          <cell r="O60">
            <v>0.63583333333333336</v>
          </cell>
          <cell r="P60">
            <v>1349.4</v>
          </cell>
          <cell r="S60">
            <v>0</v>
          </cell>
          <cell r="U60">
            <v>0</v>
          </cell>
          <cell r="X60">
            <v>0</v>
          </cell>
          <cell r="Y60">
            <v>0</v>
          </cell>
          <cell r="AA60">
            <v>0</v>
          </cell>
          <cell r="AB60">
            <v>0</v>
          </cell>
          <cell r="AC60">
            <v>0</v>
          </cell>
          <cell r="AD60">
            <v>0</v>
          </cell>
          <cell r="AE60">
            <v>0</v>
          </cell>
          <cell r="AF60">
            <v>0</v>
          </cell>
          <cell r="AG60">
            <v>0</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v>0</v>
          </cell>
          <cell r="BK60">
            <v>0</v>
          </cell>
          <cell r="BL60">
            <v>0</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v>0</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v>0</v>
          </cell>
          <cell r="K61">
            <v>6.9013978503485104E-2</v>
          </cell>
          <cell r="L61">
            <v>3.276839583314846</v>
          </cell>
          <cell r="M61">
            <v>3.276839583314846</v>
          </cell>
          <cell r="N61">
            <v>465.87382715726278</v>
          </cell>
          <cell r="O61">
            <v>0.6375000000000004</v>
          </cell>
          <cell r="P61">
            <v>1348.6250869773014</v>
          </cell>
          <cell r="S61">
            <v>0</v>
          </cell>
          <cell r="U61">
            <v>0</v>
          </cell>
          <cell r="X61">
            <v>0</v>
          </cell>
          <cell r="Y61">
            <v>0</v>
          </cell>
          <cell r="AA61">
            <v>0</v>
          </cell>
          <cell r="AB61">
            <v>0</v>
          </cell>
          <cell r="AC61">
            <v>0</v>
          </cell>
          <cell r="AD61">
            <v>0</v>
          </cell>
          <cell r="AE61">
            <v>0</v>
          </cell>
          <cell r="AF61">
            <v>0</v>
          </cell>
          <cell r="AG61">
            <v>0</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v>0</v>
          </cell>
          <cell r="BH61">
            <v>0</v>
          </cell>
          <cell r="BI61">
            <v>0</v>
          </cell>
          <cell r="BJ61">
            <v>0</v>
          </cell>
          <cell r="BK61">
            <v>0</v>
          </cell>
          <cell r="BL61">
            <v>0</v>
          </cell>
          <cell r="BM61">
            <v>0</v>
          </cell>
          <cell r="BN61">
            <v>0.7</v>
          </cell>
          <cell r="BO61">
            <v>667.16300000000001</v>
          </cell>
          <cell r="BP61">
            <v>665.34299999999996</v>
          </cell>
          <cell r="BQ61">
            <v>667.76300000000003</v>
          </cell>
          <cell r="BR61">
            <v>665.94299999999998</v>
          </cell>
          <cell r="BS61">
            <v>669.34300000000007</v>
          </cell>
          <cell r="BT61">
            <v>666.94299999999998</v>
          </cell>
          <cell r="BU61">
            <v>0</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v>0</v>
          </cell>
          <cell r="K62">
            <v>6.9013978503485104E-2</v>
          </cell>
          <cell r="L62">
            <v>3.3458535618183309</v>
          </cell>
          <cell r="M62">
            <v>3.3458535618183309</v>
          </cell>
          <cell r="N62">
            <v>464.39306287061709</v>
          </cell>
          <cell r="O62">
            <v>0.63312529056252875</v>
          </cell>
          <cell r="P62">
            <v>1335.1132875976296</v>
          </cell>
          <cell r="S62">
            <v>0</v>
          </cell>
          <cell r="U62">
            <v>0</v>
          </cell>
          <cell r="X62">
            <v>0</v>
          </cell>
          <cell r="Y62">
            <v>0</v>
          </cell>
          <cell r="AA62">
            <v>0</v>
          </cell>
          <cell r="AB62">
            <v>0</v>
          </cell>
          <cell r="AC62">
            <v>0</v>
          </cell>
          <cell r="AD62">
            <v>0</v>
          </cell>
          <cell r="AE62">
            <v>0</v>
          </cell>
          <cell r="AF62">
            <v>0</v>
          </cell>
          <cell r="AG62">
            <v>0</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v>0</v>
          </cell>
          <cell r="BH62">
            <v>0</v>
          </cell>
          <cell r="BI62">
            <v>0</v>
          </cell>
          <cell r="BJ62">
            <v>0</v>
          </cell>
          <cell r="BK62">
            <v>0</v>
          </cell>
          <cell r="BL62">
            <v>0</v>
          </cell>
          <cell r="BM62">
            <v>0</v>
          </cell>
          <cell r="BN62">
            <v>0.3</v>
          </cell>
          <cell r="BO62">
            <v>665.11300000000006</v>
          </cell>
          <cell r="BP62">
            <v>663.12300000000005</v>
          </cell>
          <cell r="BQ62">
            <v>665.71300000000008</v>
          </cell>
          <cell r="BR62">
            <v>663.72300000000007</v>
          </cell>
          <cell r="BS62">
            <v>666.94299999999998</v>
          </cell>
          <cell r="BT62">
            <v>664.52300000000014</v>
          </cell>
          <cell r="BU62">
            <v>0</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v>0</v>
          </cell>
          <cell r="K63">
            <v>6.9013978503485104E-2</v>
          </cell>
          <cell r="L63">
            <v>3.4148675403218158</v>
          </cell>
          <cell r="M63">
            <v>3.4148675403218158</v>
          </cell>
          <cell r="N63">
            <v>462.92101245913631</v>
          </cell>
          <cell r="O63">
            <v>0.66360108303249099</v>
          </cell>
          <cell r="P63">
            <v>1394.9438066942571</v>
          </cell>
          <cell r="S63">
            <v>0</v>
          </cell>
          <cell r="U63">
            <v>0</v>
          </cell>
          <cell r="X63">
            <v>0</v>
          </cell>
          <cell r="Y63">
            <v>0</v>
          </cell>
          <cell r="AA63">
            <v>0</v>
          </cell>
          <cell r="AB63">
            <v>0</v>
          </cell>
          <cell r="AC63">
            <v>0</v>
          </cell>
          <cell r="AD63">
            <v>0</v>
          </cell>
          <cell r="AE63">
            <v>0</v>
          </cell>
          <cell r="AF63">
            <v>0</v>
          </cell>
          <cell r="AG63">
            <v>0</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v>0</v>
          </cell>
          <cell r="BK63">
            <v>0</v>
          </cell>
          <cell r="BL63">
            <v>0</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v>0</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J64">
            <v>0.02</v>
          </cell>
          <cell r="AK64">
            <v>30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662.77300000000002</v>
          </cell>
          <cell r="BP64">
            <v>0</v>
          </cell>
          <cell r="BQ64">
            <v>662.77300000000002</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v>0</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J65">
            <v>0.02</v>
          </cell>
          <cell r="AK65">
            <v>30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v>0</v>
          </cell>
          <cell r="K66">
            <v>6.9013978503485104E-2</v>
          </cell>
          <cell r="L66">
            <v>6.9013978503485104E-2</v>
          </cell>
          <cell r="M66">
            <v>3</v>
          </cell>
          <cell r="N66">
            <v>471.90281881227315</v>
          </cell>
          <cell r="O66">
            <v>0.63517830045523482</v>
          </cell>
          <cell r="P66">
            <v>407.6497053891714</v>
          </cell>
          <cell r="S66">
            <v>0</v>
          </cell>
          <cell r="U66">
            <v>0</v>
          </cell>
          <cell r="X66">
            <v>0</v>
          </cell>
          <cell r="Y66">
            <v>0</v>
          </cell>
          <cell r="AA66">
            <v>0</v>
          </cell>
          <cell r="AB66">
            <v>0</v>
          </cell>
          <cell r="AC66">
            <v>0</v>
          </cell>
          <cell r="AD66">
            <v>0</v>
          </cell>
          <cell r="AE66">
            <v>0</v>
          </cell>
          <cell r="AF66">
            <v>0</v>
          </cell>
          <cell r="AG66">
            <v>0</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v>0</v>
          </cell>
          <cell r="BB66">
            <v>1E-3</v>
          </cell>
          <cell r="BC66">
            <v>0</v>
          </cell>
          <cell r="BD66">
            <v>0</v>
          </cell>
          <cell r="BE66">
            <v>1E-3</v>
          </cell>
          <cell r="BF66">
            <v>0</v>
          </cell>
          <cell r="BG66">
            <v>0.96081913019759546</v>
          </cell>
          <cell r="BH66">
            <v>2.6666666666666665</v>
          </cell>
          <cell r="BI66">
            <v>1.2</v>
          </cell>
          <cell r="BJ66">
            <v>0</v>
          </cell>
          <cell r="BK66">
            <v>0</v>
          </cell>
          <cell r="BL66">
            <v>0</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v>0</v>
          </cell>
          <cell r="AA12">
            <v>0</v>
          </cell>
          <cell r="AB12">
            <v>0</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v>0</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v>0</v>
          </cell>
          <cell r="AA13">
            <v>0</v>
          </cell>
          <cell r="AB13">
            <v>0</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v>0</v>
          </cell>
          <cell r="BK13">
            <v>0</v>
          </cell>
          <cell r="BL13">
            <v>0</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v>0</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v>0</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v>0</v>
          </cell>
          <cell r="AA14">
            <v>0</v>
          </cell>
          <cell r="AB14">
            <v>0</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v>0</v>
          </cell>
          <cell r="BH14">
            <v>0</v>
          </cell>
          <cell r="BI14">
            <v>0</v>
          </cell>
          <cell r="BJ14">
            <v>0</v>
          </cell>
          <cell r="BK14">
            <v>0</v>
          </cell>
          <cell r="BL14">
            <v>0</v>
          </cell>
          <cell r="BM14">
            <v>0</v>
          </cell>
          <cell r="BN14">
            <v>0.67</v>
          </cell>
          <cell r="BO14">
            <v>723.83299999999997</v>
          </cell>
          <cell r="BP14">
            <v>718.91300000000001</v>
          </cell>
          <cell r="BQ14">
            <v>724.28300000000002</v>
          </cell>
          <cell r="BR14">
            <v>719.36300000000006</v>
          </cell>
          <cell r="BS14">
            <v>726.10300000000007</v>
          </cell>
          <cell r="BT14">
            <v>720.88300000000004</v>
          </cell>
          <cell r="BU14">
            <v>0</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v>0</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v>0</v>
          </cell>
          <cell r="AA15">
            <v>0</v>
          </cell>
          <cell r="AB15">
            <v>0</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v>0</v>
          </cell>
          <cell r="BH15">
            <v>0</v>
          </cell>
          <cell r="BI15">
            <v>0</v>
          </cell>
          <cell r="BJ15">
            <v>0</v>
          </cell>
          <cell r="BK15">
            <v>0</v>
          </cell>
          <cell r="BL15">
            <v>0</v>
          </cell>
          <cell r="BM15">
            <v>0</v>
          </cell>
          <cell r="BN15">
            <v>0.1</v>
          </cell>
          <cell r="BO15">
            <v>718.803</v>
          </cell>
          <cell r="BP15">
            <v>711.83299999999997</v>
          </cell>
          <cell r="BQ15">
            <v>719.25300000000004</v>
          </cell>
          <cell r="BR15">
            <v>712.28300000000002</v>
          </cell>
          <cell r="BS15">
            <v>720.88300000000004</v>
          </cell>
          <cell r="BT15">
            <v>713.70299999999997</v>
          </cell>
          <cell r="BU15">
            <v>0</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v>0</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v>0</v>
          </cell>
          <cell r="AA16">
            <v>0</v>
          </cell>
          <cell r="AB16">
            <v>0</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v>0</v>
          </cell>
          <cell r="BH16">
            <v>0</v>
          </cell>
          <cell r="BI16">
            <v>0</v>
          </cell>
          <cell r="BJ16">
            <v>0</v>
          </cell>
          <cell r="BK16">
            <v>0</v>
          </cell>
          <cell r="BL16">
            <v>0</v>
          </cell>
          <cell r="BM16">
            <v>0</v>
          </cell>
          <cell r="BN16">
            <v>0.75</v>
          </cell>
          <cell r="BO16">
            <v>711.08299999999997</v>
          </cell>
          <cell r="BP16">
            <v>708.48299999999995</v>
          </cell>
          <cell r="BQ16">
            <v>711.53300000000002</v>
          </cell>
          <cell r="BR16">
            <v>708.93299999999999</v>
          </cell>
          <cell r="BS16">
            <v>713.70299999999997</v>
          </cell>
          <cell r="BT16">
            <v>710.13300000000004</v>
          </cell>
          <cell r="BU16">
            <v>0</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v>0</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v>0</v>
          </cell>
          <cell r="AA17">
            <v>0</v>
          </cell>
          <cell r="AB17">
            <v>0</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v>0</v>
          </cell>
          <cell r="BK17">
            <v>0</v>
          </cell>
          <cell r="BL17">
            <v>0</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v>0</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v>0</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v>0</v>
          </cell>
          <cell r="AA18">
            <v>0</v>
          </cell>
          <cell r="AB18">
            <v>0</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v>0</v>
          </cell>
          <cell r="BK18">
            <v>0</v>
          </cell>
          <cell r="BL18">
            <v>0</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v>0</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v>0</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v>0</v>
          </cell>
          <cell r="AA19">
            <v>0</v>
          </cell>
          <cell r="AB19">
            <v>0</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v>0</v>
          </cell>
          <cell r="BH19">
            <v>0</v>
          </cell>
          <cell r="BI19">
            <v>0</v>
          </cell>
          <cell r="BJ19">
            <v>0</v>
          </cell>
          <cell r="BK19">
            <v>0</v>
          </cell>
          <cell r="BL19">
            <v>0</v>
          </cell>
          <cell r="BM19">
            <v>0</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v>0</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v>0</v>
          </cell>
          <cell r="AA20">
            <v>0</v>
          </cell>
          <cell r="AB20">
            <v>0</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v>0</v>
          </cell>
          <cell r="BH20">
            <v>0</v>
          </cell>
          <cell r="BI20">
            <v>0</v>
          </cell>
          <cell r="BJ20">
            <v>0</v>
          </cell>
          <cell r="BK20">
            <v>0</v>
          </cell>
          <cell r="BL20">
            <v>0</v>
          </cell>
          <cell r="BM20">
            <v>0</v>
          </cell>
          <cell r="BN20">
            <v>0.27</v>
          </cell>
          <cell r="BO20">
            <v>696.59299999999996</v>
          </cell>
          <cell r="BP20">
            <v>695.29300000000001</v>
          </cell>
          <cell r="BQ20">
            <v>697.04300000000001</v>
          </cell>
          <cell r="BR20">
            <v>695.74300000000005</v>
          </cell>
          <cell r="BS20">
            <v>702.74299999999994</v>
          </cell>
          <cell r="BT20">
            <v>698.83300000000008</v>
          </cell>
          <cell r="BU20">
            <v>0</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v>0</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v>0</v>
          </cell>
          <cell r="AA21">
            <v>0</v>
          </cell>
          <cell r="AB21">
            <v>0</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v>0</v>
          </cell>
          <cell r="BH21">
            <v>0</v>
          </cell>
          <cell r="BI21">
            <v>0</v>
          </cell>
          <cell r="BJ21">
            <v>0</v>
          </cell>
          <cell r="BK21">
            <v>0</v>
          </cell>
          <cell r="BL21">
            <v>0</v>
          </cell>
          <cell r="BM21">
            <v>0</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v>0</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v>0</v>
          </cell>
          <cell r="AA22">
            <v>0</v>
          </cell>
          <cell r="AB22">
            <v>0</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v>0</v>
          </cell>
          <cell r="BK22">
            <v>0</v>
          </cell>
          <cell r="BL22">
            <v>0</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v>0</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v>0</v>
          </cell>
          <cell r="K23">
            <v>0</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v>0</v>
          </cell>
          <cell r="AA23">
            <v>0</v>
          </cell>
          <cell r="AB23">
            <v>0</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v>0</v>
          </cell>
          <cell r="BH23">
            <v>0</v>
          </cell>
          <cell r="BI23">
            <v>0</v>
          </cell>
          <cell r="BJ23">
            <v>0</v>
          </cell>
          <cell r="BK23">
            <v>0</v>
          </cell>
          <cell r="BL23">
            <v>0</v>
          </cell>
          <cell r="BM23">
            <v>0</v>
          </cell>
          <cell r="BN23">
            <v>0.4</v>
          </cell>
          <cell r="BO23">
            <v>687.23300000000006</v>
          </cell>
          <cell r="BP23">
            <v>687.05300000000011</v>
          </cell>
          <cell r="BQ23">
            <v>687.68300000000011</v>
          </cell>
          <cell r="BR23">
            <v>687.50300000000016</v>
          </cell>
          <cell r="BS23">
            <v>689.34300000000007</v>
          </cell>
          <cell r="BT23">
            <v>688.78700000000003</v>
          </cell>
          <cell r="BU23">
            <v>0</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v>0</v>
          </cell>
          <cell r="K24">
            <v>0</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v>0</v>
          </cell>
          <cell r="AA24">
            <v>0</v>
          </cell>
          <cell r="AB24">
            <v>0</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v>0</v>
          </cell>
          <cell r="BH24">
            <v>0</v>
          </cell>
          <cell r="BI24">
            <v>0</v>
          </cell>
          <cell r="BJ24">
            <v>0</v>
          </cell>
          <cell r="BK24">
            <v>0</v>
          </cell>
          <cell r="BL24">
            <v>0</v>
          </cell>
          <cell r="BM24">
            <v>0</v>
          </cell>
          <cell r="BN24">
            <v>0.08</v>
          </cell>
          <cell r="BO24">
            <v>686.97300000000007</v>
          </cell>
          <cell r="BP24">
            <v>686.61300000000006</v>
          </cell>
          <cell r="BQ24">
            <v>687.17300000000012</v>
          </cell>
          <cell r="BR24">
            <v>686.8130000000001</v>
          </cell>
          <cell r="BS24">
            <v>688.78700000000003</v>
          </cell>
          <cell r="BT24">
            <v>688.11300000000006</v>
          </cell>
          <cell r="BU24">
            <v>0</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v>0</v>
          </cell>
          <cell r="K25">
            <v>0</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v>0</v>
          </cell>
          <cell r="AA25">
            <v>0</v>
          </cell>
          <cell r="AB25">
            <v>0</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v>0</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v>0</v>
          </cell>
          <cell r="K26">
            <v>0</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v>0</v>
          </cell>
          <cell r="AA26">
            <v>0</v>
          </cell>
          <cell r="AB26">
            <v>0</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v>0</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v>0</v>
          </cell>
          <cell r="K27">
            <v>0</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v>0</v>
          </cell>
          <cell r="AA27">
            <v>0</v>
          </cell>
          <cell r="AB27">
            <v>0</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v>0</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v>0</v>
          </cell>
          <cell r="K28">
            <v>0</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v>0</v>
          </cell>
          <cell r="AA28">
            <v>0</v>
          </cell>
          <cell r="AB28">
            <v>0</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v>0</v>
          </cell>
          <cell r="BH28">
            <v>0</v>
          </cell>
          <cell r="BI28">
            <v>0</v>
          </cell>
          <cell r="BJ28">
            <v>0</v>
          </cell>
          <cell r="BK28">
            <v>0</v>
          </cell>
          <cell r="BL28">
            <v>0</v>
          </cell>
          <cell r="BM28">
            <v>0</v>
          </cell>
          <cell r="BN28">
            <v>0.21</v>
          </cell>
          <cell r="BO28">
            <v>682.27300000000025</v>
          </cell>
          <cell r="BP28">
            <v>681.51300000000026</v>
          </cell>
          <cell r="BQ28">
            <v>682.7230000000003</v>
          </cell>
          <cell r="BR28">
            <v>681.96300000000031</v>
          </cell>
          <cell r="BS28">
            <v>684.62300000000005</v>
          </cell>
          <cell r="BT28">
            <v>683.44299999999998</v>
          </cell>
          <cell r="BU28">
            <v>0</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v>0</v>
          </cell>
          <cell r="K29">
            <v>0</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v>0</v>
          </cell>
          <cell r="AA29">
            <v>0</v>
          </cell>
          <cell r="AB29">
            <v>0</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v>0</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v>0</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v>0</v>
          </cell>
          <cell r="AA30">
            <v>0</v>
          </cell>
          <cell r="AB30">
            <v>0</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v>0</v>
          </cell>
          <cell r="BK30">
            <v>0</v>
          </cell>
          <cell r="BL30">
            <v>0</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v>0</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v>0</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v>0</v>
          </cell>
          <cell r="AA31">
            <v>0</v>
          </cell>
          <cell r="AB31">
            <v>0</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v>0</v>
          </cell>
          <cell r="BH31">
            <v>0</v>
          </cell>
          <cell r="BI31">
            <v>0</v>
          </cell>
          <cell r="BJ31">
            <v>0</v>
          </cell>
          <cell r="BK31">
            <v>0</v>
          </cell>
          <cell r="BL31">
            <v>0</v>
          </cell>
          <cell r="BM31">
            <v>0</v>
          </cell>
          <cell r="BN31">
            <v>0.9</v>
          </cell>
          <cell r="BO31">
            <v>676.98300000000029</v>
          </cell>
          <cell r="BP31">
            <v>672.70300000000032</v>
          </cell>
          <cell r="BQ31">
            <v>677.68300000000033</v>
          </cell>
          <cell r="BR31">
            <v>673.40300000000036</v>
          </cell>
          <cell r="BS31">
            <v>679.55300000000011</v>
          </cell>
          <cell r="BT31">
            <v>674.35300000000007</v>
          </cell>
          <cell r="BU31">
            <v>0</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v>0</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v>0</v>
          </cell>
          <cell r="AA32">
            <v>0</v>
          </cell>
          <cell r="AB32">
            <v>0</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v>0</v>
          </cell>
          <cell r="BH32">
            <v>0</v>
          </cell>
          <cell r="BI32">
            <v>0</v>
          </cell>
          <cell r="BJ32">
            <v>0</v>
          </cell>
          <cell r="BK32">
            <v>0</v>
          </cell>
          <cell r="BL32">
            <v>0</v>
          </cell>
          <cell r="BM32">
            <v>0</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v>0</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v>0</v>
          </cell>
          <cell r="AA33">
            <v>0</v>
          </cell>
          <cell r="AB33">
            <v>0</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v>0</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v>0</v>
          </cell>
          <cell r="G34">
            <v>0</v>
          </cell>
          <cell r="J34">
            <v>0</v>
          </cell>
          <cell r="L34">
            <v>0</v>
          </cell>
          <cell r="M34">
            <v>0</v>
          </cell>
          <cell r="N34">
            <v>0</v>
          </cell>
          <cell r="O34">
            <v>0</v>
          </cell>
          <cell r="P34">
            <v>0</v>
          </cell>
          <cell r="S34">
            <v>0</v>
          </cell>
          <cell r="T34">
            <v>98</v>
          </cell>
          <cell r="U34">
            <v>0</v>
          </cell>
          <cell r="V34">
            <v>0.68799999999999994</v>
          </cell>
          <cell r="X34">
            <v>0</v>
          </cell>
          <cell r="Y34">
            <v>0</v>
          </cell>
          <cell r="AA34">
            <v>0</v>
          </cell>
          <cell r="AB34">
            <v>0</v>
          </cell>
          <cell r="AC34">
            <v>0</v>
          </cell>
          <cell r="AD34">
            <v>0</v>
          </cell>
          <cell r="AE34">
            <v>0</v>
          </cell>
          <cell r="AF34">
            <v>0</v>
          </cell>
          <cell r="AG34">
            <v>0</v>
          </cell>
          <cell r="AH34">
            <v>0</v>
          </cell>
          <cell r="AI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670.05300000000022</v>
          </cell>
          <cell r="BP34">
            <v>0</v>
          </cell>
          <cell r="BQ34">
            <v>670.05300000000022</v>
          </cell>
          <cell r="BR34">
            <v>0</v>
          </cell>
          <cell r="BS34">
            <v>0</v>
          </cell>
          <cell r="BT34">
            <v>0</v>
          </cell>
          <cell r="BU34">
            <v>0</v>
          </cell>
          <cell r="BV34">
            <v>0</v>
          </cell>
          <cell r="BW34">
            <v>0</v>
          </cell>
          <cell r="BX34">
            <v>0</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v>0</v>
          </cell>
          <cell r="F35">
            <v>0</v>
          </cell>
          <cell r="G35">
            <v>0</v>
          </cell>
          <cell r="J35">
            <v>0</v>
          </cell>
          <cell r="L35">
            <v>0</v>
          </cell>
          <cell r="M35">
            <v>0</v>
          </cell>
          <cell r="N35">
            <v>0</v>
          </cell>
          <cell r="O35">
            <v>0</v>
          </cell>
          <cell r="P35">
            <v>0</v>
          </cell>
          <cell r="S35">
            <v>0</v>
          </cell>
          <cell r="T35">
            <v>98</v>
          </cell>
          <cell r="U35">
            <v>0</v>
          </cell>
          <cell r="V35">
            <v>0.68799999999999994</v>
          </cell>
          <cell r="X35">
            <v>0</v>
          </cell>
          <cell r="Y35">
            <v>0</v>
          </cell>
          <cell r="AA35">
            <v>0</v>
          </cell>
          <cell r="AB35">
            <v>0</v>
          </cell>
          <cell r="AC35">
            <v>0</v>
          </cell>
          <cell r="AD35">
            <v>0</v>
          </cell>
          <cell r="AE35">
            <v>0</v>
          </cell>
          <cell r="AF35">
            <v>0</v>
          </cell>
          <cell r="AG35">
            <v>0</v>
          </cell>
          <cell r="AH35">
            <v>0</v>
          </cell>
          <cell r="AI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v>0</v>
          </cell>
          <cell r="Y36">
            <v>0</v>
          </cell>
          <cell r="AA36">
            <v>0</v>
          </cell>
          <cell r="AB36">
            <v>0</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v>0</v>
          </cell>
          <cell r="BB36">
            <v>1E-3</v>
          </cell>
          <cell r="BC36">
            <v>0</v>
          </cell>
          <cell r="BD36">
            <v>0</v>
          </cell>
          <cell r="BE36">
            <v>1E-3</v>
          </cell>
          <cell r="BF36">
            <v>0</v>
          </cell>
          <cell r="BG36">
            <v>1.3992256904642315</v>
          </cell>
          <cell r="BH36">
            <v>3.4285714285714279</v>
          </cell>
          <cell r="BI36">
            <v>1.2</v>
          </cell>
          <cell r="BJ36">
            <v>0</v>
          </cell>
          <cell r="BK36">
            <v>0</v>
          </cell>
          <cell r="BL36">
            <v>0</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v>0</v>
          </cell>
          <cell r="G37">
            <v>0</v>
          </cell>
          <cell r="J37">
            <v>0</v>
          </cell>
          <cell r="L37">
            <v>0</v>
          </cell>
          <cell r="M37">
            <v>0</v>
          </cell>
          <cell r="N37">
            <v>0</v>
          </cell>
          <cell r="O37">
            <v>0</v>
          </cell>
          <cell r="P37">
            <v>0</v>
          </cell>
          <cell r="S37">
            <v>0</v>
          </cell>
          <cell r="X37">
            <v>0</v>
          </cell>
          <cell r="Y37">
            <v>0</v>
          </cell>
          <cell r="AA37">
            <v>0</v>
          </cell>
          <cell r="AB37">
            <v>0</v>
          </cell>
          <cell r="AC37">
            <v>0</v>
          </cell>
          <cell r="AD37">
            <v>0</v>
          </cell>
          <cell r="AE37">
            <v>0</v>
          </cell>
          <cell r="AF37">
            <v>0</v>
          </cell>
          <cell r="AG37">
            <v>0</v>
          </cell>
          <cell r="AH37">
            <v>0</v>
          </cell>
          <cell r="AI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731.01300000000015</v>
          </cell>
          <cell r="BP37">
            <v>0</v>
          </cell>
          <cell r="BQ37">
            <v>731.01300000000015</v>
          </cell>
          <cell r="BR37">
            <v>0</v>
          </cell>
          <cell r="BS37">
            <v>0</v>
          </cell>
          <cell r="BT37">
            <v>0</v>
          </cell>
          <cell r="BU37">
            <v>0</v>
          </cell>
          <cell r="BV37">
            <v>0</v>
          </cell>
          <cell r="BW37">
            <v>0</v>
          </cell>
          <cell r="BX37">
            <v>0</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v>0</v>
          </cell>
          <cell r="F38">
            <v>0</v>
          </cell>
          <cell r="G38">
            <v>0</v>
          </cell>
          <cell r="J38">
            <v>0</v>
          </cell>
          <cell r="K38">
            <v>0</v>
          </cell>
          <cell r="L38">
            <v>0</v>
          </cell>
          <cell r="M38">
            <v>0</v>
          </cell>
          <cell r="N38">
            <v>0</v>
          </cell>
          <cell r="O38">
            <v>0</v>
          </cell>
          <cell r="P38">
            <v>0</v>
          </cell>
          <cell r="S38">
            <v>0</v>
          </cell>
          <cell r="U38">
            <v>0</v>
          </cell>
          <cell r="X38">
            <v>0</v>
          </cell>
          <cell r="Y38">
            <v>0</v>
          </cell>
          <cell r="AA38">
            <v>0</v>
          </cell>
          <cell r="AB38">
            <v>0</v>
          </cell>
          <cell r="AC38">
            <v>0</v>
          </cell>
          <cell r="AD38">
            <v>0</v>
          </cell>
          <cell r="AE38">
            <v>0</v>
          </cell>
          <cell r="AF38">
            <v>0</v>
          </cell>
          <cell r="AG38">
            <v>0</v>
          </cell>
          <cell r="AH38">
            <v>0</v>
          </cell>
          <cell r="AI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v>0</v>
          </cell>
          <cell r="K39">
            <v>0</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v>0</v>
          </cell>
          <cell r="Y39">
            <v>0</v>
          </cell>
          <cell r="AA39">
            <v>0</v>
          </cell>
          <cell r="AB39">
            <v>0</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v>0</v>
          </cell>
          <cell r="BB39">
            <v>1E-3</v>
          </cell>
          <cell r="BC39">
            <v>0</v>
          </cell>
          <cell r="BD39">
            <v>0</v>
          </cell>
          <cell r="BE39">
            <v>1E-3</v>
          </cell>
          <cell r="BF39">
            <v>0</v>
          </cell>
          <cell r="BG39">
            <v>1.0634840016004636</v>
          </cell>
          <cell r="BH39">
            <v>2.6666666666666665</v>
          </cell>
          <cell r="BI39">
            <v>1.2</v>
          </cell>
          <cell r="BJ39">
            <v>0</v>
          </cell>
          <cell r="BK39">
            <v>0</v>
          </cell>
          <cell r="BL39">
            <v>0</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v>0</v>
          </cell>
          <cell r="K40">
            <v>0</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v>0</v>
          </cell>
          <cell r="AA40">
            <v>0</v>
          </cell>
          <cell r="AB40">
            <v>0</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v>0</v>
          </cell>
          <cell r="BK40">
            <v>0</v>
          </cell>
          <cell r="BL40">
            <v>0</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v>0</v>
          </cell>
          <cell r="F41">
            <v>0</v>
          </cell>
          <cell r="G41">
            <v>0</v>
          </cell>
          <cell r="J41">
            <v>0</v>
          </cell>
          <cell r="K41">
            <v>0</v>
          </cell>
          <cell r="L41">
            <v>0</v>
          </cell>
          <cell r="M41">
            <v>0</v>
          </cell>
          <cell r="N41">
            <v>0</v>
          </cell>
          <cell r="O41">
            <v>0</v>
          </cell>
          <cell r="P41">
            <v>0</v>
          </cell>
          <cell r="S41">
            <v>0</v>
          </cell>
          <cell r="U41">
            <v>0</v>
          </cell>
          <cell r="X41">
            <v>0</v>
          </cell>
          <cell r="Y41">
            <v>0</v>
          </cell>
          <cell r="AA41">
            <v>0</v>
          </cell>
          <cell r="AB41">
            <v>0</v>
          </cell>
          <cell r="AC41">
            <v>0</v>
          </cell>
          <cell r="AD41">
            <v>0</v>
          </cell>
          <cell r="AE41">
            <v>0</v>
          </cell>
          <cell r="AF41">
            <v>0</v>
          </cell>
          <cell r="AG41">
            <v>0</v>
          </cell>
          <cell r="AH41">
            <v>0</v>
          </cell>
          <cell r="AI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707.60299999999995</v>
          </cell>
          <cell r="BP41">
            <v>0</v>
          </cell>
          <cell r="BQ41">
            <v>707.60299999999995</v>
          </cell>
          <cell r="BR41">
            <v>0</v>
          </cell>
          <cell r="BS41">
            <v>0</v>
          </cell>
          <cell r="BT41">
            <v>0</v>
          </cell>
          <cell r="BU41">
            <v>0</v>
          </cell>
          <cell r="BV41">
            <v>0</v>
          </cell>
          <cell r="BW41">
            <v>0</v>
          </cell>
          <cell r="BX41">
            <v>0</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v>0</v>
          </cell>
          <cell r="K42">
            <v>0</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v>0</v>
          </cell>
          <cell r="Y42">
            <v>0</v>
          </cell>
          <cell r="AA42">
            <v>0</v>
          </cell>
          <cell r="AB42">
            <v>0</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v>0</v>
          </cell>
          <cell r="BB42">
            <v>1E-3</v>
          </cell>
          <cell r="BC42">
            <v>0</v>
          </cell>
          <cell r="BD42">
            <v>0</v>
          </cell>
          <cell r="BE42">
            <v>1E-3</v>
          </cell>
          <cell r="BF42">
            <v>0</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v>0</v>
          </cell>
          <cell r="K43">
            <v>0</v>
          </cell>
          <cell r="L43">
            <v>4.6541116427098697</v>
          </cell>
          <cell r="M43">
            <v>4.6541116427098697</v>
          </cell>
          <cell r="N43">
            <v>437.8905648792479</v>
          </cell>
          <cell r="O43">
            <v>0.62915394402035474</v>
          </cell>
          <cell r="P43">
            <v>120.73273186182797</v>
          </cell>
          <cell r="S43">
            <v>12.92</v>
          </cell>
          <cell r="U43">
            <v>0</v>
          </cell>
          <cell r="X43">
            <v>0</v>
          </cell>
          <cell r="Y43">
            <v>0</v>
          </cell>
          <cell r="AA43">
            <v>0</v>
          </cell>
          <cell r="AB43">
            <v>0</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v>0</v>
          </cell>
          <cell r="BD43">
            <v>0</v>
          </cell>
          <cell r="BE43">
            <v>0</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v>0</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v>0</v>
          </cell>
          <cell r="G44">
            <v>0</v>
          </cell>
          <cell r="J44">
            <v>0</v>
          </cell>
          <cell r="K44">
            <v>0</v>
          </cell>
          <cell r="L44">
            <v>0</v>
          </cell>
          <cell r="M44">
            <v>0</v>
          </cell>
          <cell r="N44">
            <v>0</v>
          </cell>
          <cell r="O44">
            <v>0</v>
          </cell>
          <cell r="P44">
            <v>0</v>
          </cell>
          <cell r="S44">
            <v>0</v>
          </cell>
          <cell r="U44">
            <v>0</v>
          </cell>
          <cell r="X44">
            <v>0</v>
          </cell>
          <cell r="Y44">
            <v>0</v>
          </cell>
          <cell r="AA44">
            <v>0</v>
          </cell>
          <cell r="AB44">
            <v>0</v>
          </cell>
          <cell r="AC44">
            <v>0</v>
          </cell>
          <cell r="AD44">
            <v>0</v>
          </cell>
          <cell r="AE44">
            <v>0</v>
          </cell>
          <cell r="AF44">
            <v>0</v>
          </cell>
          <cell r="AG44">
            <v>0</v>
          </cell>
          <cell r="AH44">
            <v>0</v>
          </cell>
          <cell r="AI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681.12300000000027</v>
          </cell>
          <cell r="BP44">
            <v>0</v>
          </cell>
          <cell r="BQ44">
            <v>681.12300000000027</v>
          </cell>
          <cell r="BR44">
            <v>0</v>
          </cell>
          <cell r="BS44">
            <v>0</v>
          </cell>
          <cell r="BT44">
            <v>0</v>
          </cell>
          <cell r="BU44">
            <v>0</v>
          </cell>
          <cell r="BV44">
            <v>0</v>
          </cell>
          <cell r="BW44">
            <v>0</v>
          </cell>
          <cell r="BX44">
            <v>0</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v>0</v>
          </cell>
          <cell r="G45">
            <v>0</v>
          </cell>
          <cell r="J45">
            <v>0</v>
          </cell>
          <cell r="K45">
            <v>0</v>
          </cell>
          <cell r="L45">
            <v>0</v>
          </cell>
          <cell r="M45">
            <v>0</v>
          </cell>
          <cell r="N45">
            <v>0</v>
          </cell>
          <cell r="O45">
            <v>0</v>
          </cell>
          <cell r="P45">
            <v>0</v>
          </cell>
          <cell r="S45">
            <v>0</v>
          </cell>
          <cell r="U45">
            <v>0</v>
          </cell>
          <cell r="X45">
            <v>0</v>
          </cell>
          <cell r="Y45">
            <v>0</v>
          </cell>
          <cell r="AA45">
            <v>0</v>
          </cell>
          <cell r="AB45">
            <v>0</v>
          </cell>
          <cell r="AC45">
            <v>0</v>
          </cell>
          <cell r="AD45">
            <v>0</v>
          </cell>
          <cell r="AE45">
            <v>0</v>
          </cell>
          <cell r="AF45">
            <v>0</v>
          </cell>
          <cell r="AG45">
            <v>0</v>
          </cell>
          <cell r="AH45">
            <v>0</v>
          </cell>
          <cell r="AI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v>0</v>
          </cell>
          <cell r="G46">
            <v>0</v>
          </cell>
          <cell r="J46">
            <v>0</v>
          </cell>
          <cell r="K46">
            <v>0</v>
          </cell>
          <cell r="L46">
            <v>0</v>
          </cell>
          <cell r="M46">
            <v>0</v>
          </cell>
          <cell r="N46">
            <v>0</v>
          </cell>
          <cell r="O46">
            <v>0</v>
          </cell>
          <cell r="P46">
            <v>0</v>
          </cell>
          <cell r="S46">
            <v>0</v>
          </cell>
          <cell r="U46">
            <v>0</v>
          </cell>
          <cell r="X46">
            <v>0</v>
          </cell>
          <cell r="Y46">
            <v>0</v>
          </cell>
          <cell r="AA46">
            <v>0</v>
          </cell>
          <cell r="AB46">
            <v>0</v>
          </cell>
          <cell r="AC46">
            <v>0</v>
          </cell>
          <cell r="AD46">
            <v>0</v>
          </cell>
          <cell r="AE46">
            <v>0</v>
          </cell>
          <cell r="AF46">
            <v>0</v>
          </cell>
          <cell r="AG46">
            <v>0</v>
          </cell>
          <cell r="AH46">
            <v>0</v>
          </cell>
          <cell r="AI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v>0</v>
          </cell>
          <cell r="G47">
            <v>0</v>
          </cell>
          <cell r="J47">
            <v>0</v>
          </cell>
          <cell r="L47">
            <v>0</v>
          </cell>
          <cell r="M47">
            <v>0</v>
          </cell>
          <cell r="N47">
            <v>0</v>
          </cell>
          <cell r="O47">
            <v>0</v>
          </cell>
          <cell r="P47">
            <v>0</v>
          </cell>
          <cell r="S47">
            <v>0</v>
          </cell>
          <cell r="U47">
            <v>0</v>
          </cell>
          <cell r="X47">
            <v>0</v>
          </cell>
          <cell r="Y47">
            <v>0</v>
          </cell>
          <cell r="AA47">
            <v>0</v>
          </cell>
          <cell r="AB47">
            <v>0</v>
          </cell>
          <cell r="AC47">
            <v>0</v>
          </cell>
          <cell r="AD47">
            <v>0</v>
          </cell>
          <cell r="AE47">
            <v>0</v>
          </cell>
          <cell r="AF47">
            <v>0</v>
          </cell>
          <cell r="AG47">
            <v>0</v>
          </cell>
          <cell r="AH47">
            <v>0</v>
          </cell>
          <cell r="AI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t="str">
            <v/>
          </cell>
          <cell r="D48" t="b">
            <v>1</v>
          </cell>
          <cell r="E48">
            <v>0</v>
          </cell>
          <cell r="F48">
            <v>0</v>
          </cell>
          <cell r="G48">
            <v>0</v>
          </cell>
          <cell r="H48" t="b">
            <v>0</v>
          </cell>
          <cell r="I48">
            <v>0</v>
          </cell>
          <cell r="J48">
            <v>0</v>
          </cell>
          <cell r="K48">
            <v>0</v>
          </cell>
          <cell r="L48">
            <v>0</v>
          </cell>
          <cell r="M48">
            <v>0</v>
          </cell>
          <cell r="N48">
            <v>0</v>
          </cell>
          <cell r="O48">
            <v>0</v>
          </cell>
          <cell r="P48">
            <v>0</v>
          </cell>
          <cell r="Q48">
            <v>0</v>
          </cell>
          <cell r="R48" t="b">
            <v>1</v>
          </cell>
          <cell r="S48">
            <v>0</v>
          </cell>
          <cell r="T48">
            <v>0</v>
          </cell>
          <cell r="U48">
            <v>0</v>
          </cell>
          <cell r="V48">
            <v>0</v>
          </cell>
          <cell r="W48" t="str">
            <v/>
          </cell>
          <cell r="X48">
            <v>0</v>
          </cell>
          <cell r="Y48">
            <v>0</v>
          </cell>
          <cell r="Z48" t="b">
            <v>1</v>
          </cell>
          <cell r="AA48">
            <v>0</v>
          </cell>
          <cell r="AB48">
            <v>0</v>
          </cell>
          <cell r="AC48">
            <v>0</v>
          </cell>
          <cell r="AD48">
            <v>0</v>
          </cell>
          <cell r="AE48">
            <v>0</v>
          </cell>
          <cell r="AF48">
            <v>0</v>
          </cell>
          <cell r="AG48">
            <v>0</v>
          </cell>
          <cell r="AH48">
            <v>0</v>
          </cell>
          <cell r="AI48">
            <v>0</v>
          </cell>
          <cell r="AJ48">
            <v>4.170511198008438E-67</v>
          </cell>
          <cell r="AK48" t="str">
            <v>M. DE O. PREPARACIÓN MEZCLAS</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v>0</v>
          </cell>
          <cell r="G49">
            <v>0</v>
          </cell>
          <cell r="J49">
            <v>0</v>
          </cell>
          <cell r="L49">
            <v>0</v>
          </cell>
          <cell r="M49">
            <v>0</v>
          </cell>
          <cell r="N49">
            <v>0</v>
          </cell>
          <cell r="O49">
            <v>0</v>
          </cell>
          <cell r="P49">
            <v>0</v>
          </cell>
          <cell r="S49">
            <v>0</v>
          </cell>
          <cell r="U49">
            <v>0</v>
          </cell>
          <cell r="X49">
            <v>0</v>
          </cell>
          <cell r="Y49">
            <v>0</v>
          </cell>
          <cell r="AA49">
            <v>0</v>
          </cell>
          <cell r="AB49">
            <v>0</v>
          </cell>
          <cell r="AC49">
            <v>0</v>
          </cell>
          <cell r="AD49">
            <v>0</v>
          </cell>
          <cell r="AE49">
            <v>0</v>
          </cell>
          <cell r="AF49">
            <v>0</v>
          </cell>
          <cell r="AG49">
            <v>0</v>
          </cell>
          <cell r="AH49">
            <v>0</v>
          </cell>
          <cell r="AI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v>0</v>
          </cell>
          <cell r="G50">
            <v>0</v>
          </cell>
          <cell r="J50">
            <v>0</v>
          </cell>
          <cell r="L50">
            <v>0</v>
          </cell>
          <cell r="M50">
            <v>0</v>
          </cell>
          <cell r="N50">
            <v>0</v>
          </cell>
          <cell r="O50">
            <v>0</v>
          </cell>
          <cell r="P50">
            <v>0</v>
          </cell>
          <cell r="S50">
            <v>0</v>
          </cell>
          <cell r="U50">
            <v>0</v>
          </cell>
          <cell r="X50">
            <v>0</v>
          </cell>
          <cell r="Y50">
            <v>0</v>
          </cell>
          <cell r="AA50">
            <v>0</v>
          </cell>
          <cell r="AB50">
            <v>0</v>
          </cell>
          <cell r="AC50">
            <v>0</v>
          </cell>
          <cell r="AD50">
            <v>0</v>
          </cell>
          <cell r="AE50">
            <v>0</v>
          </cell>
          <cell r="AF50">
            <v>0</v>
          </cell>
          <cell r="AG50">
            <v>0</v>
          </cell>
          <cell r="AH50">
            <v>0</v>
          </cell>
          <cell r="AI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v>0</v>
          </cell>
          <cell r="G51">
            <v>0</v>
          </cell>
          <cell r="J51">
            <v>0</v>
          </cell>
          <cell r="L51">
            <v>0</v>
          </cell>
          <cell r="M51">
            <v>0</v>
          </cell>
          <cell r="N51">
            <v>0</v>
          </cell>
          <cell r="O51">
            <v>0</v>
          </cell>
          <cell r="P51">
            <v>0</v>
          </cell>
          <cell r="S51">
            <v>0</v>
          </cell>
          <cell r="U51">
            <v>0</v>
          </cell>
          <cell r="X51">
            <v>0</v>
          </cell>
          <cell r="Y51">
            <v>0</v>
          </cell>
          <cell r="AA51">
            <v>0</v>
          </cell>
          <cell r="AB51">
            <v>0</v>
          </cell>
          <cell r="AC51">
            <v>0</v>
          </cell>
          <cell r="AD51">
            <v>0</v>
          </cell>
          <cell r="AE51">
            <v>0</v>
          </cell>
          <cell r="AF51">
            <v>0</v>
          </cell>
          <cell r="AG51">
            <v>0</v>
          </cell>
          <cell r="AH51">
            <v>0</v>
          </cell>
          <cell r="AI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v>0</v>
          </cell>
          <cell r="G52">
            <v>0</v>
          </cell>
          <cell r="J52">
            <v>0</v>
          </cell>
          <cell r="L52">
            <v>0</v>
          </cell>
          <cell r="M52">
            <v>0</v>
          </cell>
          <cell r="N52">
            <v>0</v>
          </cell>
          <cell r="O52">
            <v>0</v>
          </cell>
          <cell r="P52">
            <v>0</v>
          </cell>
          <cell r="S52">
            <v>0</v>
          </cell>
          <cell r="U52">
            <v>0</v>
          </cell>
          <cell r="X52">
            <v>0</v>
          </cell>
          <cell r="Y52">
            <v>0</v>
          </cell>
          <cell r="AA52">
            <v>0</v>
          </cell>
          <cell r="AB52">
            <v>0</v>
          </cell>
          <cell r="AC52">
            <v>0</v>
          </cell>
          <cell r="AD52">
            <v>0</v>
          </cell>
          <cell r="AE52">
            <v>0</v>
          </cell>
          <cell r="AF52">
            <v>0</v>
          </cell>
          <cell r="AG52">
            <v>0</v>
          </cell>
          <cell r="AH52">
            <v>0</v>
          </cell>
          <cell r="AI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v>0</v>
          </cell>
          <cell r="G53">
            <v>0</v>
          </cell>
          <cell r="J53">
            <v>0</v>
          </cell>
          <cell r="L53">
            <v>0</v>
          </cell>
          <cell r="M53">
            <v>0</v>
          </cell>
          <cell r="N53">
            <v>0</v>
          </cell>
          <cell r="O53">
            <v>0</v>
          </cell>
          <cell r="P53">
            <v>0</v>
          </cell>
          <cell r="S53">
            <v>0</v>
          </cell>
          <cell r="U53">
            <v>0</v>
          </cell>
          <cell r="X53">
            <v>0</v>
          </cell>
          <cell r="Y53">
            <v>0</v>
          </cell>
          <cell r="AA53">
            <v>0</v>
          </cell>
          <cell r="AB53">
            <v>0</v>
          </cell>
          <cell r="AC53">
            <v>0</v>
          </cell>
          <cell r="AD53">
            <v>0</v>
          </cell>
          <cell r="AE53">
            <v>0</v>
          </cell>
          <cell r="AF53">
            <v>0</v>
          </cell>
          <cell r="AG53">
            <v>0</v>
          </cell>
          <cell r="AH53">
            <v>0</v>
          </cell>
          <cell r="AI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v>0</v>
          </cell>
          <cell r="G54">
            <v>0</v>
          </cell>
          <cell r="J54">
            <v>0</v>
          </cell>
          <cell r="L54">
            <v>0</v>
          </cell>
          <cell r="M54">
            <v>0</v>
          </cell>
          <cell r="N54">
            <v>0</v>
          </cell>
          <cell r="O54">
            <v>0</v>
          </cell>
          <cell r="P54">
            <v>0</v>
          </cell>
          <cell r="S54">
            <v>0</v>
          </cell>
          <cell r="U54">
            <v>0</v>
          </cell>
          <cell r="X54">
            <v>0</v>
          </cell>
          <cell r="Y54">
            <v>0</v>
          </cell>
          <cell r="AA54">
            <v>0</v>
          </cell>
          <cell r="AB54">
            <v>0</v>
          </cell>
          <cell r="AC54">
            <v>0</v>
          </cell>
          <cell r="AD54">
            <v>0</v>
          </cell>
          <cell r="AE54">
            <v>0</v>
          </cell>
          <cell r="AF54">
            <v>0</v>
          </cell>
          <cell r="AG54">
            <v>0</v>
          </cell>
          <cell r="AH54">
            <v>0</v>
          </cell>
          <cell r="AI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v>0</v>
          </cell>
          <cell r="G55">
            <v>0</v>
          </cell>
          <cell r="J55">
            <v>0</v>
          </cell>
          <cell r="L55">
            <v>0</v>
          </cell>
          <cell r="M55">
            <v>0</v>
          </cell>
          <cell r="N55">
            <v>0</v>
          </cell>
          <cell r="O55">
            <v>0</v>
          </cell>
          <cell r="P55">
            <v>0</v>
          </cell>
          <cell r="S55">
            <v>0</v>
          </cell>
          <cell r="U55">
            <v>0</v>
          </cell>
          <cell r="X55">
            <v>0</v>
          </cell>
          <cell r="Y55">
            <v>0</v>
          </cell>
          <cell r="AA55">
            <v>0</v>
          </cell>
          <cell r="AB55">
            <v>0</v>
          </cell>
          <cell r="AC55">
            <v>0</v>
          </cell>
          <cell r="AD55">
            <v>0</v>
          </cell>
          <cell r="AE55">
            <v>0</v>
          </cell>
          <cell r="AF55">
            <v>0</v>
          </cell>
          <cell r="AG55">
            <v>0</v>
          </cell>
          <cell r="AH55">
            <v>0</v>
          </cell>
          <cell r="AI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v>0</v>
          </cell>
          <cell r="G56">
            <v>0</v>
          </cell>
          <cell r="J56">
            <v>0</v>
          </cell>
          <cell r="L56">
            <v>0</v>
          </cell>
          <cell r="M56">
            <v>0</v>
          </cell>
          <cell r="N56">
            <v>0</v>
          </cell>
          <cell r="O56">
            <v>0</v>
          </cell>
          <cell r="P56">
            <v>0</v>
          </cell>
          <cell r="S56">
            <v>0</v>
          </cell>
          <cell r="U56">
            <v>0</v>
          </cell>
          <cell r="X56">
            <v>0</v>
          </cell>
          <cell r="Y56">
            <v>0</v>
          </cell>
          <cell r="AA56">
            <v>0</v>
          </cell>
          <cell r="AB56">
            <v>0</v>
          </cell>
          <cell r="AC56">
            <v>0</v>
          </cell>
          <cell r="AD56">
            <v>0</v>
          </cell>
          <cell r="AE56">
            <v>0</v>
          </cell>
          <cell r="AF56">
            <v>0</v>
          </cell>
          <cell r="AG56">
            <v>0</v>
          </cell>
          <cell r="AH56">
            <v>0</v>
          </cell>
          <cell r="AI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cell r="BI56">
            <v>0</v>
          </cell>
          <cell r="BJ56">
            <v>0</v>
          </cell>
          <cell r="BK56">
            <v>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v>0</v>
          </cell>
          <cell r="G57">
            <v>0</v>
          </cell>
          <cell r="J57">
            <v>0</v>
          </cell>
          <cell r="L57">
            <v>0</v>
          </cell>
          <cell r="M57">
            <v>0</v>
          </cell>
          <cell r="N57">
            <v>0</v>
          </cell>
          <cell r="O57">
            <v>0</v>
          </cell>
          <cell r="P57">
            <v>0</v>
          </cell>
          <cell r="S57">
            <v>0</v>
          </cell>
          <cell r="U57">
            <v>0</v>
          </cell>
          <cell r="X57">
            <v>0</v>
          </cell>
          <cell r="Y57">
            <v>0</v>
          </cell>
          <cell r="AA57">
            <v>0</v>
          </cell>
          <cell r="AB57">
            <v>0</v>
          </cell>
          <cell r="AC57">
            <v>0</v>
          </cell>
          <cell r="AD57">
            <v>0</v>
          </cell>
          <cell r="AE57">
            <v>0</v>
          </cell>
          <cell r="AF57">
            <v>0</v>
          </cell>
          <cell r="AG57">
            <v>0</v>
          </cell>
          <cell r="AH57">
            <v>0</v>
          </cell>
          <cell r="AI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v>0</v>
          </cell>
          <cell r="G58">
            <v>0</v>
          </cell>
          <cell r="J58">
            <v>0</v>
          </cell>
          <cell r="L58">
            <v>0</v>
          </cell>
          <cell r="M58">
            <v>0</v>
          </cell>
          <cell r="N58">
            <v>0</v>
          </cell>
          <cell r="O58">
            <v>0</v>
          </cell>
          <cell r="P58">
            <v>0</v>
          </cell>
          <cell r="S58">
            <v>0</v>
          </cell>
          <cell r="U58">
            <v>0</v>
          </cell>
          <cell r="X58">
            <v>0</v>
          </cell>
          <cell r="Y58">
            <v>0</v>
          </cell>
          <cell r="AA58">
            <v>0</v>
          </cell>
          <cell r="AB58">
            <v>0</v>
          </cell>
          <cell r="AC58">
            <v>0</v>
          </cell>
          <cell r="AD58">
            <v>0</v>
          </cell>
          <cell r="AE58">
            <v>0</v>
          </cell>
          <cell r="AF58">
            <v>0</v>
          </cell>
          <cell r="AG58">
            <v>0</v>
          </cell>
          <cell r="AH58">
            <v>0</v>
          </cell>
          <cell r="AI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v>0</v>
          </cell>
          <cell r="G59">
            <v>0</v>
          </cell>
          <cell r="J59">
            <v>0</v>
          </cell>
          <cell r="L59">
            <v>0</v>
          </cell>
          <cell r="M59">
            <v>0</v>
          </cell>
          <cell r="N59">
            <v>0</v>
          </cell>
          <cell r="O59">
            <v>0</v>
          </cell>
          <cell r="P59">
            <v>0</v>
          </cell>
          <cell r="S59">
            <v>0</v>
          </cell>
          <cell r="U59">
            <v>0</v>
          </cell>
          <cell r="X59">
            <v>0</v>
          </cell>
          <cell r="Y59">
            <v>0</v>
          </cell>
          <cell r="AA59">
            <v>0</v>
          </cell>
          <cell r="AB59">
            <v>0</v>
          </cell>
          <cell r="AC59">
            <v>0</v>
          </cell>
          <cell r="AD59">
            <v>0</v>
          </cell>
          <cell r="AE59">
            <v>0</v>
          </cell>
          <cell r="AF59">
            <v>0</v>
          </cell>
          <cell r="AG59">
            <v>0</v>
          </cell>
          <cell r="AH59">
            <v>0</v>
          </cell>
          <cell r="AI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v>0</v>
          </cell>
          <cell r="G60">
            <v>0</v>
          </cell>
          <cell r="J60">
            <v>0</v>
          </cell>
          <cell r="L60">
            <v>0</v>
          </cell>
          <cell r="M60">
            <v>0</v>
          </cell>
          <cell r="N60">
            <v>0</v>
          </cell>
          <cell r="O60">
            <v>0</v>
          </cell>
          <cell r="P60">
            <v>0</v>
          </cell>
          <cell r="S60">
            <v>0</v>
          </cell>
          <cell r="U60">
            <v>0</v>
          </cell>
          <cell r="X60">
            <v>0</v>
          </cell>
          <cell r="Y60">
            <v>0</v>
          </cell>
          <cell r="AA60">
            <v>0</v>
          </cell>
          <cell r="AB60">
            <v>0</v>
          </cell>
          <cell r="AC60">
            <v>0</v>
          </cell>
          <cell r="AD60">
            <v>0</v>
          </cell>
          <cell r="AE60">
            <v>0</v>
          </cell>
          <cell r="AF60">
            <v>0</v>
          </cell>
          <cell r="AG60">
            <v>0</v>
          </cell>
          <cell r="AH60">
            <v>0</v>
          </cell>
          <cell r="AI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v>0</v>
          </cell>
          <cell r="G61">
            <v>0</v>
          </cell>
          <cell r="J61">
            <v>0</v>
          </cell>
          <cell r="L61">
            <v>0</v>
          </cell>
          <cell r="M61">
            <v>0</v>
          </cell>
          <cell r="N61">
            <v>0</v>
          </cell>
          <cell r="O61">
            <v>0</v>
          </cell>
          <cell r="P61">
            <v>0</v>
          </cell>
          <cell r="S61">
            <v>0</v>
          </cell>
          <cell r="U61">
            <v>0</v>
          </cell>
          <cell r="X61">
            <v>0</v>
          </cell>
          <cell r="Y61">
            <v>0</v>
          </cell>
          <cell r="AA61">
            <v>0</v>
          </cell>
          <cell r="AB61">
            <v>0</v>
          </cell>
          <cell r="AC61">
            <v>0</v>
          </cell>
          <cell r="AD61">
            <v>0</v>
          </cell>
          <cell r="AE61">
            <v>0</v>
          </cell>
          <cell r="AF61">
            <v>0</v>
          </cell>
          <cell r="AG61">
            <v>0</v>
          </cell>
          <cell r="AH61">
            <v>0</v>
          </cell>
          <cell r="AI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v>0</v>
          </cell>
          <cell r="G62">
            <v>0</v>
          </cell>
          <cell r="J62">
            <v>0</v>
          </cell>
          <cell r="L62">
            <v>0</v>
          </cell>
          <cell r="M62">
            <v>0</v>
          </cell>
          <cell r="N62">
            <v>0</v>
          </cell>
          <cell r="O62">
            <v>0</v>
          </cell>
          <cell r="P62">
            <v>0</v>
          </cell>
          <cell r="S62">
            <v>0</v>
          </cell>
          <cell r="U62">
            <v>0</v>
          </cell>
          <cell r="X62">
            <v>0</v>
          </cell>
          <cell r="Y62">
            <v>0</v>
          </cell>
          <cell r="AA62">
            <v>0</v>
          </cell>
          <cell r="AB62">
            <v>0</v>
          </cell>
          <cell r="AC62">
            <v>0</v>
          </cell>
          <cell r="AD62">
            <v>0</v>
          </cell>
          <cell r="AE62">
            <v>0</v>
          </cell>
          <cell r="AF62">
            <v>0</v>
          </cell>
          <cell r="AG62">
            <v>0</v>
          </cell>
          <cell r="AH62">
            <v>0</v>
          </cell>
          <cell r="AI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v>0</v>
          </cell>
          <cell r="G63">
            <v>0</v>
          </cell>
          <cell r="J63">
            <v>0</v>
          </cell>
          <cell r="L63">
            <v>0</v>
          </cell>
          <cell r="M63">
            <v>0</v>
          </cell>
          <cell r="N63">
            <v>0</v>
          </cell>
          <cell r="O63">
            <v>0</v>
          </cell>
          <cell r="P63">
            <v>0</v>
          </cell>
          <cell r="S63">
            <v>0</v>
          </cell>
          <cell r="U63">
            <v>0</v>
          </cell>
          <cell r="X63">
            <v>0</v>
          </cell>
          <cell r="Y63">
            <v>0</v>
          </cell>
          <cell r="AA63">
            <v>0</v>
          </cell>
          <cell r="AB63">
            <v>0</v>
          </cell>
          <cell r="AC63">
            <v>0</v>
          </cell>
          <cell r="AD63">
            <v>0</v>
          </cell>
          <cell r="AE63">
            <v>0</v>
          </cell>
          <cell r="AF63">
            <v>0</v>
          </cell>
          <cell r="AG63">
            <v>0</v>
          </cell>
          <cell r="AH63">
            <v>0</v>
          </cell>
          <cell r="AI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v>0</v>
          </cell>
          <cell r="G64">
            <v>0</v>
          </cell>
          <cell r="J64">
            <v>0</v>
          </cell>
          <cell r="L64">
            <v>0</v>
          </cell>
          <cell r="M64">
            <v>0</v>
          </cell>
          <cell r="N64">
            <v>0</v>
          </cell>
          <cell r="O64">
            <v>0</v>
          </cell>
          <cell r="P64">
            <v>0</v>
          </cell>
          <cell r="S64">
            <v>0</v>
          </cell>
          <cell r="U64">
            <v>0</v>
          </cell>
          <cell r="X64">
            <v>0</v>
          </cell>
          <cell r="Y64">
            <v>0</v>
          </cell>
          <cell r="AA64">
            <v>0</v>
          </cell>
          <cell r="AB64">
            <v>0</v>
          </cell>
          <cell r="AC64">
            <v>0</v>
          </cell>
          <cell r="AD64">
            <v>0</v>
          </cell>
          <cell r="AE64">
            <v>0</v>
          </cell>
          <cell r="AF64">
            <v>0</v>
          </cell>
          <cell r="AG64">
            <v>0</v>
          </cell>
          <cell r="AH64">
            <v>0</v>
          </cell>
          <cell r="AI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v>0</v>
          </cell>
          <cell r="G65">
            <v>0</v>
          </cell>
          <cell r="J65">
            <v>0</v>
          </cell>
          <cell r="L65">
            <v>0</v>
          </cell>
          <cell r="M65">
            <v>0</v>
          </cell>
          <cell r="N65">
            <v>0</v>
          </cell>
          <cell r="O65">
            <v>0</v>
          </cell>
          <cell r="P65">
            <v>0</v>
          </cell>
          <cell r="S65">
            <v>0</v>
          </cell>
          <cell r="U65">
            <v>0</v>
          </cell>
          <cell r="X65">
            <v>0</v>
          </cell>
          <cell r="Y65">
            <v>0</v>
          </cell>
          <cell r="AA65">
            <v>0</v>
          </cell>
          <cell r="AB65">
            <v>0</v>
          </cell>
          <cell r="AC65">
            <v>0</v>
          </cell>
          <cell r="AD65">
            <v>0</v>
          </cell>
          <cell r="AE65">
            <v>0</v>
          </cell>
          <cell r="AF65">
            <v>0</v>
          </cell>
          <cell r="AG65">
            <v>0</v>
          </cell>
          <cell r="AH65">
            <v>0</v>
          </cell>
          <cell r="AI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v>0</v>
          </cell>
          <cell r="G66">
            <v>0</v>
          </cell>
          <cell r="J66">
            <v>0</v>
          </cell>
          <cell r="L66">
            <v>0</v>
          </cell>
          <cell r="M66">
            <v>0</v>
          </cell>
          <cell r="N66">
            <v>0</v>
          </cell>
          <cell r="O66">
            <v>0</v>
          </cell>
          <cell r="P66">
            <v>0</v>
          </cell>
          <cell r="S66">
            <v>0</v>
          </cell>
          <cell r="U66">
            <v>0</v>
          </cell>
          <cell r="X66">
            <v>0</v>
          </cell>
          <cell r="Y66">
            <v>0</v>
          </cell>
          <cell r="AA66">
            <v>0</v>
          </cell>
          <cell r="AB66">
            <v>0</v>
          </cell>
          <cell r="AC66">
            <v>0</v>
          </cell>
          <cell r="AD66">
            <v>0</v>
          </cell>
          <cell r="AE66">
            <v>0</v>
          </cell>
          <cell r="AF66">
            <v>0</v>
          </cell>
          <cell r="AG66">
            <v>0</v>
          </cell>
          <cell r="AH66">
            <v>0</v>
          </cell>
          <cell r="AI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v>0</v>
          </cell>
          <cell r="G67">
            <v>0</v>
          </cell>
          <cell r="J67">
            <v>0</v>
          </cell>
          <cell r="L67">
            <v>0</v>
          </cell>
          <cell r="M67">
            <v>0</v>
          </cell>
          <cell r="N67">
            <v>0</v>
          </cell>
          <cell r="O67">
            <v>0</v>
          </cell>
          <cell r="P67">
            <v>0</v>
          </cell>
          <cell r="S67">
            <v>0</v>
          </cell>
          <cell r="U67">
            <v>0</v>
          </cell>
          <cell r="X67">
            <v>0</v>
          </cell>
          <cell r="Y67">
            <v>0</v>
          </cell>
          <cell r="AA67">
            <v>0</v>
          </cell>
          <cell r="AB67">
            <v>0</v>
          </cell>
          <cell r="AC67">
            <v>0</v>
          </cell>
          <cell r="AD67">
            <v>0</v>
          </cell>
          <cell r="AE67">
            <v>0</v>
          </cell>
          <cell r="AF67">
            <v>0</v>
          </cell>
          <cell r="AG67">
            <v>0</v>
          </cell>
          <cell r="AH67">
            <v>0</v>
          </cell>
          <cell r="AI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v>0</v>
          </cell>
          <cell r="G68">
            <v>0</v>
          </cell>
          <cell r="J68">
            <v>0</v>
          </cell>
          <cell r="L68">
            <v>0</v>
          </cell>
          <cell r="M68">
            <v>0</v>
          </cell>
          <cell r="N68">
            <v>0</v>
          </cell>
          <cell r="O68">
            <v>0</v>
          </cell>
          <cell r="P68">
            <v>0</v>
          </cell>
          <cell r="S68">
            <v>0</v>
          </cell>
          <cell r="U68">
            <v>0</v>
          </cell>
          <cell r="X68">
            <v>0</v>
          </cell>
          <cell r="Y68">
            <v>0</v>
          </cell>
          <cell r="AA68">
            <v>0</v>
          </cell>
          <cell r="AB68">
            <v>0</v>
          </cell>
          <cell r="AC68">
            <v>0</v>
          </cell>
          <cell r="AD68">
            <v>0</v>
          </cell>
          <cell r="AE68">
            <v>0</v>
          </cell>
          <cell r="AF68">
            <v>0</v>
          </cell>
          <cell r="AG68">
            <v>0</v>
          </cell>
          <cell r="AH68">
            <v>0</v>
          </cell>
          <cell r="AI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v>0</v>
          </cell>
          <cell r="G69">
            <v>0</v>
          </cell>
          <cell r="J69">
            <v>0</v>
          </cell>
          <cell r="L69">
            <v>0</v>
          </cell>
          <cell r="M69">
            <v>0</v>
          </cell>
          <cell r="N69">
            <v>0</v>
          </cell>
          <cell r="O69">
            <v>0</v>
          </cell>
          <cell r="P69">
            <v>0</v>
          </cell>
          <cell r="S69">
            <v>0</v>
          </cell>
          <cell r="U69">
            <v>0</v>
          </cell>
          <cell r="X69">
            <v>0</v>
          </cell>
          <cell r="Y69">
            <v>0</v>
          </cell>
          <cell r="AA69">
            <v>0</v>
          </cell>
          <cell r="AB69">
            <v>0</v>
          </cell>
          <cell r="AC69">
            <v>0</v>
          </cell>
          <cell r="AD69">
            <v>0</v>
          </cell>
          <cell r="AE69">
            <v>0</v>
          </cell>
          <cell r="AF69">
            <v>0</v>
          </cell>
          <cell r="AG69">
            <v>0</v>
          </cell>
          <cell r="AH69">
            <v>0</v>
          </cell>
          <cell r="AI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v>0</v>
          </cell>
          <cell r="G70">
            <v>0</v>
          </cell>
          <cell r="J70">
            <v>0</v>
          </cell>
          <cell r="L70">
            <v>0</v>
          </cell>
          <cell r="M70">
            <v>0</v>
          </cell>
          <cell r="N70">
            <v>0</v>
          </cell>
          <cell r="O70">
            <v>0</v>
          </cell>
          <cell r="P70">
            <v>0</v>
          </cell>
          <cell r="S70">
            <v>0</v>
          </cell>
          <cell r="U70">
            <v>0</v>
          </cell>
          <cell r="X70">
            <v>0</v>
          </cell>
          <cell r="Y70">
            <v>0</v>
          </cell>
          <cell r="AA70">
            <v>0</v>
          </cell>
          <cell r="AB70">
            <v>0</v>
          </cell>
          <cell r="AC70">
            <v>0</v>
          </cell>
          <cell r="AD70">
            <v>0</v>
          </cell>
          <cell r="AE70">
            <v>0</v>
          </cell>
          <cell r="AF70">
            <v>0</v>
          </cell>
          <cell r="AG70">
            <v>0</v>
          </cell>
          <cell r="AH70">
            <v>0</v>
          </cell>
          <cell r="AI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v>0</v>
          </cell>
          <cell r="G71">
            <v>0</v>
          </cell>
          <cell r="J71">
            <v>0</v>
          </cell>
          <cell r="L71">
            <v>0</v>
          </cell>
          <cell r="M71">
            <v>0</v>
          </cell>
          <cell r="N71">
            <v>0</v>
          </cell>
          <cell r="O71">
            <v>0</v>
          </cell>
          <cell r="P71">
            <v>0</v>
          </cell>
          <cell r="S71">
            <v>0</v>
          </cell>
          <cell r="U71">
            <v>0</v>
          </cell>
          <cell r="X71">
            <v>0</v>
          </cell>
          <cell r="Y71">
            <v>0</v>
          </cell>
          <cell r="AA71">
            <v>0</v>
          </cell>
          <cell r="AB71">
            <v>0</v>
          </cell>
          <cell r="AC71">
            <v>0</v>
          </cell>
          <cell r="AD71">
            <v>0</v>
          </cell>
          <cell r="AE71">
            <v>0</v>
          </cell>
          <cell r="AF71">
            <v>0</v>
          </cell>
          <cell r="AG71">
            <v>0</v>
          </cell>
          <cell r="AH71">
            <v>0</v>
          </cell>
          <cell r="AI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 sheetId="20">
        <row r="12">
          <cell r="A12" t="str">
            <v>Dirección proyectos aguas, Saneamiento, Gas y locativos 2 (PL 2)</v>
          </cell>
        </row>
      </sheetData>
      <sheetData sheetId="21"/>
      <sheetData sheetId="22"/>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 val="LISTA CÓDIGOS"/>
      <sheetName val="BASE APU"/>
      <sheetName val="MANO DE OBRA"/>
      <sheetName val="INSUMOS"/>
      <sheetName val="EQUIPOS"/>
      <sheetName val="MATERIALES"/>
      <sheetName val="ESTRUCTURAS"/>
      <sheetName val="TRANSPORTE"/>
      <sheetName val="deud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 sheetId="22"/>
      <sheetData sheetId="23">
        <row r="2">
          <cell r="B2" t="str">
            <v xml:space="preserve">ANÁLISIS DE PRECIOS UNITARIOS </v>
          </cell>
        </row>
      </sheetData>
      <sheetData sheetId="24"/>
      <sheetData sheetId="25"/>
      <sheetData sheetId="26"/>
      <sheetData sheetId="27"/>
      <sheetData sheetId="28"/>
      <sheetData sheetId="29"/>
      <sheetData sheetId="30"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PRESUPUESTO PM ACUEDUCTO"/>
      <sheetName val="APU"/>
      <sheetName val="APU ACUEDUCTO"/>
      <sheetName val="TANQUE 120m3"/>
      <sheetName val="APU TANQUE 120 m3"/>
      <sheetName val="REDES DE DISTRUBICÓN"/>
      <sheetName val="APU REDES DISTRIBUCIÓN"/>
      <sheetName val="RESUMEN OBRAS "/>
      <sheetName val="RESUMEN"/>
    </sheetNames>
    <sheetDataSet>
      <sheetData sheetId="0"/>
      <sheetData sheetId="1"/>
      <sheetData sheetId="2" refreshError="1">
        <row r="13">
          <cell r="D13">
            <v>84700</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CIONES"/>
      <sheetName val="BASE"/>
      <sheetName val="BASE_Concretos"/>
      <sheetName val="RedesSRO_General"/>
      <sheetName val="DomiciliariasSRO_General"/>
      <sheetName val="ObrasComplementariasSRO_Genera "/>
      <sheetName val="ColecRioGrande_Redes"/>
      <sheetName val="ColecRioGrande_Domiciliarias"/>
      <sheetName val="ColecRioGrande_Complementarias"/>
      <sheetName val="ColecLaMorales_Redes"/>
      <sheetName val="ColecLaMorales_Domiciliarias"/>
      <sheetName val="ColecLaMorales_Complementarias"/>
      <sheetName val="ColecLaMuerte_Redes"/>
      <sheetName val="ColecLaMuerte_Domiciliarias"/>
      <sheetName val="ColecLaMuerte_Complementarias"/>
      <sheetName val="IntercRioGrande_Redes"/>
      <sheetName val="IntercRioGrande_Complementarias"/>
      <sheetName val="APU_Redes"/>
      <sheetName val="APUDomiciliarias"/>
      <sheetName val="APUObrasComplementarias"/>
      <sheetName val="APU_Colector Riogrande"/>
      <sheetName val="APUDomiciliarias colecRioGrande"/>
      <sheetName val="APU ColRiograndeComplementarias"/>
      <sheetName val="APU_Colector LaMorales"/>
      <sheetName val="APUDomiciliarias colecLaMorales"/>
      <sheetName val="APU ColecLaMorales Complementa"/>
      <sheetName val="APU_Colector LaMuerte"/>
      <sheetName val="APUDomiciliarias colecLaMuerte"/>
      <sheetName val="APU colecLaMuertecomplem"/>
      <sheetName val="APU_IntercRiogrande"/>
      <sheetName val="APU InterrcRiogrande Compleme "/>
      <sheetName val="RESUMEN OBRAS"/>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v>0</v>
          </cell>
          <cell r="G12">
            <v>0</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v>0</v>
          </cell>
          <cell r="G15">
            <v>0</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v>0</v>
          </cell>
          <cell r="G19">
            <v>0</v>
          </cell>
          <cell r="H19">
            <v>5.5555555555555552E-2</v>
          </cell>
        </row>
        <row r="20">
          <cell r="A20" t="str">
            <v>INSTALACIONES ACUEDUCTO</v>
          </cell>
          <cell r="B20">
            <v>2</v>
          </cell>
          <cell r="C20">
            <v>22</v>
          </cell>
          <cell r="E20">
            <v>0</v>
          </cell>
          <cell r="F20">
            <v>0</v>
          </cell>
          <cell r="G20">
            <v>0</v>
          </cell>
          <cell r="H20">
            <v>0.91666666666666663</v>
          </cell>
        </row>
        <row r="21">
          <cell r="A21" t="str">
            <v>MEDIDORES 1/2 Y 1"</v>
          </cell>
          <cell r="B21">
            <v>1</v>
          </cell>
          <cell r="C21">
            <v>1</v>
          </cell>
          <cell r="E21">
            <v>0</v>
          </cell>
          <cell r="F21">
            <v>0</v>
          </cell>
          <cell r="G21">
            <v>0</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v>0</v>
          </cell>
          <cell r="G23">
            <v>0</v>
          </cell>
          <cell r="H23">
            <v>0.72727272727272729</v>
          </cell>
        </row>
        <row r="24">
          <cell r="A24" t="str">
            <v>OBRAS ACCESORIAS INSTALACIONES</v>
          </cell>
          <cell r="B24">
            <v>405</v>
          </cell>
          <cell r="C24">
            <v>0</v>
          </cell>
          <cell r="E24">
            <v>0</v>
          </cell>
          <cell r="F24">
            <v>0</v>
          </cell>
          <cell r="G24">
            <v>0</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v>0</v>
          </cell>
          <cell r="G26">
            <v>0</v>
          </cell>
          <cell r="H26">
            <v>4.5454545454545456E-2</v>
          </cell>
        </row>
        <row r="27">
          <cell r="A27" t="str">
            <v>REFERENCIACIÓN ACUEDUCTO</v>
          </cell>
          <cell r="B27">
            <v>7</v>
          </cell>
          <cell r="C27">
            <v>5</v>
          </cell>
          <cell r="E27">
            <v>0</v>
          </cell>
          <cell r="F27">
            <v>0</v>
          </cell>
          <cell r="G27">
            <v>0</v>
          </cell>
          <cell r="H27">
            <v>0.41666666666666669</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1603</v>
          </cell>
          <cell r="C33">
            <v>643</v>
          </cell>
          <cell r="F33">
            <v>0</v>
          </cell>
          <cell r="G33">
            <v>0</v>
          </cell>
          <cell r="H33">
            <v>0.28628673196794302</v>
          </cell>
        </row>
        <row r="34">
          <cell r="F34">
            <v>0</v>
          </cell>
          <cell r="G34">
            <v>0</v>
          </cell>
          <cell r="H34">
            <v>0</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v>0</v>
          </cell>
          <cell r="G36">
            <v>0</v>
          </cell>
          <cell r="H36">
            <v>0</v>
          </cell>
        </row>
        <row r="37">
          <cell r="A37" t="str">
            <v>CASAS SIN AGUA</v>
          </cell>
          <cell r="B37">
            <v>0</v>
          </cell>
          <cell r="C37">
            <v>1</v>
          </cell>
          <cell r="F37">
            <v>0</v>
          </cell>
          <cell r="G37">
            <v>0</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v>0</v>
          </cell>
          <cell r="G39">
            <v>0</v>
          </cell>
          <cell r="H39">
            <v>0</v>
          </cell>
        </row>
        <row r="40">
          <cell r="A40" t="str">
            <v>FRAUDES</v>
          </cell>
          <cell r="B40">
            <v>2</v>
          </cell>
          <cell r="C40">
            <v>0</v>
          </cell>
          <cell r="F40">
            <v>0</v>
          </cell>
          <cell r="G40">
            <v>0</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v>0</v>
          </cell>
          <cell r="G47">
            <v>0</v>
          </cell>
          <cell r="H47">
            <v>0</v>
          </cell>
        </row>
        <row r="48">
          <cell r="F48">
            <v>0</v>
          </cell>
          <cell r="G48">
            <v>0</v>
          </cell>
          <cell r="H48">
            <v>0</v>
          </cell>
        </row>
        <row r="49">
          <cell r="F49">
            <v>0</v>
          </cell>
          <cell r="G49">
            <v>0</v>
          </cell>
          <cell r="H49">
            <v>0</v>
          </cell>
        </row>
        <row r="51">
          <cell r="A51" t="str">
            <v>Total general</v>
          </cell>
          <cell r="B51">
            <v>1561</v>
          </cell>
          <cell r="C51">
            <v>26</v>
          </cell>
          <cell r="F51">
            <v>0</v>
          </cell>
          <cell r="G51">
            <v>0</v>
          </cell>
          <cell r="H51">
            <v>1.6383112791430371E-2</v>
          </cell>
        </row>
      </sheetData>
      <sheetData sheetId="1" refreshError="1">
        <row r="12">
          <cell r="A12" t="str">
            <v>CAMBIO ACOMETIDAS CONTRATO</v>
          </cell>
          <cell r="B12">
            <v>3</v>
          </cell>
          <cell r="C12">
            <v>14</v>
          </cell>
          <cell r="E12">
            <v>0</v>
          </cell>
          <cell r="F12">
            <v>0</v>
          </cell>
          <cell r="G12">
            <v>0</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v>0</v>
          </cell>
          <cell r="G15">
            <v>0</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v>0</v>
          </cell>
          <cell r="G19">
            <v>0</v>
          </cell>
          <cell r="H19">
            <v>0.21052631578947367</v>
          </cell>
        </row>
        <row r="20">
          <cell r="A20" t="str">
            <v>INSTALACIONES ACUEDUCTO</v>
          </cell>
          <cell r="B20">
            <v>1</v>
          </cell>
          <cell r="C20">
            <v>55</v>
          </cell>
          <cell r="E20">
            <v>0</v>
          </cell>
          <cell r="F20">
            <v>0</v>
          </cell>
          <cell r="G20">
            <v>0</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v>0</v>
          </cell>
          <cell r="G22">
            <v>0</v>
          </cell>
          <cell r="H22">
            <v>0.8</v>
          </cell>
        </row>
        <row r="23">
          <cell r="A23" t="str">
            <v>OBRAS ACCESORIAS INSTALACIONES</v>
          </cell>
          <cell r="B23">
            <v>415</v>
          </cell>
          <cell r="C23">
            <v>0</v>
          </cell>
          <cell r="E23">
            <v>0</v>
          </cell>
          <cell r="F23">
            <v>0</v>
          </cell>
          <cell r="G23">
            <v>0</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v>0</v>
          </cell>
          <cell r="G25">
            <v>0</v>
          </cell>
          <cell r="H25">
            <v>0</v>
          </cell>
        </row>
        <row r="26">
          <cell r="A26" t="str">
            <v>REFERENCIACIÓN ACUEDUCTO</v>
          </cell>
          <cell r="B26">
            <v>12</v>
          </cell>
          <cell r="C26">
            <v>4</v>
          </cell>
          <cell r="E26">
            <v>0</v>
          </cell>
          <cell r="F26">
            <v>0</v>
          </cell>
          <cell r="G26">
            <v>0</v>
          </cell>
          <cell r="H26">
            <v>0.25</v>
          </cell>
        </row>
        <row r="27">
          <cell r="F27">
            <v>0</v>
          </cell>
          <cell r="G27">
            <v>0</v>
          </cell>
          <cell r="H27">
            <v>0</v>
          </cell>
        </row>
        <row r="28">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1972</v>
          </cell>
          <cell r="C33">
            <v>677</v>
          </cell>
          <cell r="F33">
            <v>0</v>
          </cell>
          <cell r="G33">
            <v>0</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v>0</v>
          </cell>
          <cell r="G36">
            <v>0</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v>0</v>
          </cell>
          <cell r="G38">
            <v>0</v>
          </cell>
          <cell r="H38">
            <v>0</v>
          </cell>
        </row>
        <row r="39">
          <cell r="A39" t="str">
            <v>FRAUDES</v>
          </cell>
          <cell r="B39">
            <v>5</v>
          </cell>
          <cell r="C39">
            <v>0</v>
          </cell>
          <cell r="F39">
            <v>0</v>
          </cell>
          <cell r="G39">
            <v>0</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v>0</v>
          </cell>
          <cell r="G46">
            <v>0</v>
          </cell>
          <cell r="H46">
            <v>0</v>
          </cell>
        </row>
        <row r="47">
          <cell r="F47">
            <v>0</v>
          </cell>
          <cell r="G47">
            <v>0</v>
          </cell>
          <cell r="H47">
            <v>0</v>
          </cell>
        </row>
        <row r="48">
          <cell r="F48">
            <v>0</v>
          </cell>
          <cell r="G48">
            <v>0</v>
          </cell>
          <cell r="H48">
            <v>0</v>
          </cell>
        </row>
        <row r="49">
          <cell r="F49">
            <v>0</v>
          </cell>
          <cell r="G49">
            <v>0</v>
          </cell>
          <cell r="H49">
            <v>0</v>
          </cell>
        </row>
        <row r="51">
          <cell r="A51" t="str">
            <v>Total general</v>
          </cell>
          <cell r="B51">
            <v>1681</v>
          </cell>
          <cell r="C51">
            <v>5</v>
          </cell>
          <cell r="F51">
            <v>0</v>
          </cell>
          <cell r="G51">
            <v>0</v>
          </cell>
          <cell r="H51">
            <v>2.9655990510083037E-3</v>
          </cell>
        </row>
      </sheetData>
      <sheetData sheetId="2" refreshError="1">
        <row r="12">
          <cell r="A12" t="str">
            <v>CAMBIO ACOMETIDAS CONTRATO</v>
          </cell>
          <cell r="B12">
            <v>9</v>
          </cell>
          <cell r="C12">
            <v>8</v>
          </cell>
          <cell r="E12">
            <v>0</v>
          </cell>
          <cell r="F12">
            <v>0</v>
          </cell>
          <cell r="G12">
            <v>0</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v>0</v>
          </cell>
          <cell r="G15">
            <v>0</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v>0</v>
          </cell>
          <cell r="G19">
            <v>0</v>
          </cell>
          <cell r="H19">
            <v>0.48648648648648651</v>
          </cell>
        </row>
        <row r="20">
          <cell r="A20" t="str">
            <v>INSTALACIONES ACUEDUCTO</v>
          </cell>
          <cell r="B20">
            <v>6</v>
          </cell>
          <cell r="C20">
            <v>50</v>
          </cell>
          <cell r="E20">
            <v>0</v>
          </cell>
          <cell r="F20">
            <v>0</v>
          </cell>
          <cell r="G20">
            <v>0</v>
          </cell>
          <cell r="H20">
            <v>0.8928571428571429</v>
          </cell>
        </row>
        <row r="21">
          <cell r="A21" t="str">
            <v>MEDIDORES 1/2 Y 1"</v>
          </cell>
          <cell r="B21">
            <v>1</v>
          </cell>
          <cell r="C21">
            <v>22</v>
          </cell>
          <cell r="E21">
            <v>0</v>
          </cell>
          <cell r="F21">
            <v>0</v>
          </cell>
          <cell r="G21">
            <v>0</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v>0</v>
          </cell>
          <cell r="G23">
            <v>0</v>
          </cell>
          <cell r="H23">
            <v>1</v>
          </cell>
        </row>
        <row r="24">
          <cell r="A24" t="str">
            <v>OBRAS ACCESORIAS INSTALACIONES</v>
          </cell>
          <cell r="B24">
            <v>635</v>
          </cell>
          <cell r="C24">
            <v>0</v>
          </cell>
          <cell r="E24">
            <v>0</v>
          </cell>
          <cell r="F24">
            <v>0</v>
          </cell>
          <cell r="G24">
            <v>0</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v>0</v>
          </cell>
          <cell r="G26">
            <v>0</v>
          </cell>
          <cell r="H26">
            <v>0.83333333333333337</v>
          </cell>
        </row>
        <row r="27">
          <cell r="A27" t="str">
            <v>REFERENCIACIÓN ACUEDUCTO</v>
          </cell>
          <cell r="B27">
            <v>3</v>
          </cell>
          <cell r="C27">
            <v>2</v>
          </cell>
          <cell r="E27">
            <v>0</v>
          </cell>
          <cell r="F27">
            <v>0</v>
          </cell>
          <cell r="G27">
            <v>0</v>
          </cell>
          <cell r="H27">
            <v>0.4</v>
          </cell>
        </row>
        <row r="28">
          <cell r="A28" t="str">
            <v>REVISIÓN  POSTERIOR  FRAUDES</v>
          </cell>
          <cell r="B28">
            <v>1</v>
          </cell>
          <cell r="C28">
            <v>0</v>
          </cell>
          <cell r="E28">
            <v>0</v>
          </cell>
          <cell r="F28">
            <v>0</v>
          </cell>
          <cell r="G28">
            <v>0</v>
          </cell>
          <cell r="H28">
            <v>0</v>
          </cell>
        </row>
        <row r="29">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2428</v>
          </cell>
          <cell r="C33">
            <v>675</v>
          </cell>
          <cell r="F33">
            <v>0</v>
          </cell>
          <cell r="G33">
            <v>0</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v>0</v>
          </cell>
          <cell r="G36">
            <v>0</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v>0</v>
          </cell>
          <cell r="G38">
            <v>0</v>
          </cell>
          <cell r="H38">
            <v>0</v>
          </cell>
        </row>
        <row r="39">
          <cell r="A39" t="str">
            <v>ESCOMBROS DAÑOS ACUEDUCTO</v>
          </cell>
          <cell r="B39">
            <v>3</v>
          </cell>
          <cell r="C39">
            <v>0</v>
          </cell>
          <cell r="F39">
            <v>0</v>
          </cell>
          <cell r="G39">
            <v>0</v>
          </cell>
          <cell r="H39">
            <v>0</v>
          </cell>
        </row>
        <row r="40">
          <cell r="A40" t="str">
            <v>FRAUDES</v>
          </cell>
          <cell r="B40">
            <v>2</v>
          </cell>
          <cell r="C40">
            <v>1</v>
          </cell>
          <cell r="F40">
            <v>0</v>
          </cell>
          <cell r="G40">
            <v>0</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v>0</v>
          </cell>
          <cell r="G47">
            <v>0</v>
          </cell>
          <cell r="H47">
            <v>0</v>
          </cell>
        </row>
        <row r="48">
          <cell r="A48" t="str">
            <v>REFERENCIACIÓN ACUEDUCTO</v>
          </cell>
          <cell r="B48">
            <v>1</v>
          </cell>
          <cell r="C48">
            <v>0</v>
          </cell>
          <cell r="F48">
            <v>0</v>
          </cell>
          <cell r="G48">
            <v>0</v>
          </cell>
          <cell r="H48">
            <v>0</v>
          </cell>
        </row>
        <row r="49">
          <cell r="F49">
            <v>0</v>
          </cell>
          <cell r="G49">
            <v>0</v>
          </cell>
          <cell r="H49">
            <v>0</v>
          </cell>
        </row>
        <row r="51">
          <cell r="A51" t="str">
            <v>Total general</v>
          </cell>
          <cell r="B51">
            <v>1360</v>
          </cell>
          <cell r="C51">
            <v>110</v>
          </cell>
          <cell r="F51">
            <v>0</v>
          </cell>
          <cell r="G51">
            <v>0</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 val="LISTA CÓDIGOS"/>
      <sheetName val="BASE APU"/>
      <sheetName val="MANO DE OBRA"/>
      <sheetName val="INSUMOS"/>
      <sheetName val="EQUIPOS"/>
      <sheetName val="MATERIALES"/>
      <sheetName val="ESTRUCTURAS"/>
      <sheetName val="TRANSPORTE"/>
      <sheetName val="Hoja1"/>
      <sheetName val="28oct"/>
      <sheetName val="Macro1"/>
      <sheetName val="Hoja2"/>
      <sheetName val="formato acom aldo. frente"/>
      <sheetName val="Tramos"/>
      <sheetName val="Sábana"/>
      <sheetName val="Emboquillar"/>
      <sheetName val="Acometidacobrerígido"/>
      <sheetName val="Acometidatoma"/>
      <sheetName val="Acometidahasta1&quot;"/>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v>0</v>
          </cell>
          <cell r="G14">
            <v>0</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v>0</v>
          </cell>
          <cell r="G18">
            <v>0</v>
          </cell>
          <cell r="H18">
            <v>0.61538461538461542</v>
          </cell>
        </row>
        <row r="19">
          <cell r="A19" t="str">
            <v>INSTALACIONES ACUEDUCTO</v>
          </cell>
          <cell r="B19">
            <v>5</v>
          </cell>
          <cell r="C19">
            <v>81</v>
          </cell>
          <cell r="F19">
            <v>0</v>
          </cell>
          <cell r="G19">
            <v>0</v>
          </cell>
          <cell r="H19">
            <v>0.94186046511627908</v>
          </cell>
        </row>
        <row r="20">
          <cell r="A20" t="str">
            <v>INSTALACIONES ALCANTARILLADO</v>
          </cell>
          <cell r="B20">
            <v>5</v>
          </cell>
          <cell r="C20">
            <v>0</v>
          </cell>
          <cell r="F20">
            <v>0</v>
          </cell>
          <cell r="G20">
            <v>0</v>
          </cell>
          <cell r="H20">
            <v>0</v>
          </cell>
        </row>
        <row r="21">
          <cell r="A21" t="str">
            <v>MEDIDORES 1/2 Y 1"</v>
          </cell>
          <cell r="B21">
            <v>19</v>
          </cell>
          <cell r="C21">
            <v>16</v>
          </cell>
          <cell r="F21">
            <v>0</v>
          </cell>
          <cell r="G21">
            <v>0</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v>0</v>
          </cell>
          <cell r="G23">
            <v>0</v>
          </cell>
          <cell r="H23">
            <v>0</v>
          </cell>
        </row>
        <row r="24">
          <cell r="A24" t="str">
            <v>OBRAS ACCESORIAS INSTALACIONES</v>
          </cell>
          <cell r="B24">
            <v>653</v>
          </cell>
          <cell r="C24">
            <v>0</v>
          </cell>
          <cell r="F24">
            <v>0</v>
          </cell>
          <cell r="G24">
            <v>0</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v>0</v>
          </cell>
          <cell r="G26">
            <v>0</v>
          </cell>
          <cell r="H26">
            <v>0.56880733944954132</v>
          </cell>
        </row>
        <row r="27">
          <cell r="A27" t="str">
            <v>REFERENCIACIÓN ACUEDUCTO</v>
          </cell>
          <cell r="B27">
            <v>3</v>
          </cell>
          <cell r="C27">
            <v>3</v>
          </cell>
          <cell r="F27">
            <v>0</v>
          </cell>
          <cell r="G27">
            <v>0</v>
          </cell>
          <cell r="H27">
            <v>0.5</v>
          </cell>
        </row>
        <row r="28">
          <cell r="A28" t="str">
            <v>REPARACION CAJAS DE MEDIDORES</v>
          </cell>
          <cell r="B28">
            <v>1</v>
          </cell>
          <cell r="C28">
            <v>19</v>
          </cell>
          <cell r="F28">
            <v>0</v>
          </cell>
          <cell r="G28">
            <v>0</v>
          </cell>
          <cell r="H28">
            <v>0.95</v>
          </cell>
        </row>
        <row r="29">
          <cell r="A29" t="str">
            <v>RETIRO MEDIDOR</v>
          </cell>
          <cell r="B29">
            <v>113</v>
          </cell>
          <cell r="C29">
            <v>65</v>
          </cell>
          <cell r="F29">
            <v>0</v>
          </cell>
          <cell r="G29">
            <v>0</v>
          </cell>
          <cell r="H29">
            <v>0.3651685393258427</v>
          </cell>
        </row>
        <row r="30">
          <cell r="A30" t="str">
            <v>TAPONADAS</v>
          </cell>
          <cell r="B30">
            <v>1</v>
          </cell>
          <cell r="C30">
            <v>7</v>
          </cell>
          <cell r="F30">
            <v>0</v>
          </cell>
          <cell r="G30">
            <v>0</v>
          </cell>
          <cell r="H30">
            <v>0.875</v>
          </cell>
        </row>
        <row r="31">
          <cell r="A31" t="str">
            <v>TRASLADO MEDIDOR</v>
          </cell>
          <cell r="B31">
            <v>0</v>
          </cell>
          <cell r="C31">
            <v>6</v>
          </cell>
          <cell r="F31">
            <v>0</v>
          </cell>
          <cell r="G31">
            <v>0</v>
          </cell>
          <cell r="H31">
            <v>1</v>
          </cell>
        </row>
        <row r="32">
          <cell r="F32">
            <v>0</v>
          </cell>
          <cell r="G32">
            <v>0</v>
          </cell>
          <cell r="H32">
            <v>0</v>
          </cell>
        </row>
        <row r="33">
          <cell r="A33" t="str">
            <v>Total general</v>
          </cell>
          <cell r="B33">
            <v>2526</v>
          </cell>
          <cell r="C33">
            <v>1351</v>
          </cell>
          <cell r="F33">
            <v>0</v>
          </cell>
          <cell r="G33">
            <v>0</v>
          </cell>
          <cell r="H33">
            <v>0.34846530822801136</v>
          </cell>
        </row>
        <row r="34">
          <cell r="F34">
            <v>0</v>
          </cell>
          <cell r="G34">
            <v>0</v>
          </cell>
          <cell r="H34">
            <v>0</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v>0</v>
          </cell>
          <cell r="G14">
            <v>0</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v>0</v>
          </cell>
          <cell r="G18">
            <v>0</v>
          </cell>
          <cell r="H18">
            <v>0.24731182795698925</v>
          </cell>
        </row>
        <row r="19">
          <cell r="A19" t="str">
            <v>INSTALACIONES ACUEDUCTO</v>
          </cell>
          <cell r="B19">
            <v>13</v>
          </cell>
          <cell r="C19">
            <v>39</v>
          </cell>
          <cell r="F19">
            <v>0</v>
          </cell>
          <cell r="G19">
            <v>0</v>
          </cell>
          <cell r="H19">
            <v>0.75</v>
          </cell>
        </row>
        <row r="20">
          <cell r="A20" t="str">
            <v>INSTALACIONES ALCANTARILLADO</v>
          </cell>
          <cell r="B20">
            <v>3</v>
          </cell>
          <cell r="C20">
            <v>3</v>
          </cell>
          <cell r="F20">
            <v>0</v>
          </cell>
          <cell r="G20">
            <v>0</v>
          </cell>
          <cell r="H20">
            <v>0.5</v>
          </cell>
        </row>
        <row r="21">
          <cell r="A21" t="str">
            <v>MEDIDORES 1/2 Y 1"</v>
          </cell>
          <cell r="B21">
            <v>7</v>
          </cell>
          <cell r="C21">
            <v>18</v>
          </cell>
          <cell r="F21">
            <v>0</v>
          </cell>
          <cell r="G21">
            <v>0</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v>0</v>
          </cell>
          <cell r="G23">
            <v>0</v>
          </cell>
          <cell r="H23">
            <v>0.875</v>
          </cell>
        </row>
        <row r="24">
          <cell r="A24" t="str">
            <v>OBRAS ACCESORIAS INSTALACIONES</v>
          </cell>
          <cell r="B24">
            <v>544</v>
          </cell>
          <cell r="C24">
            <v>1</v>
          </cell>
          <cell r="F24">
            <v>0</v>
          </cell>
          <cell r="G24">
            <v>0</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v>0</v>
          </cell>
          <cell r="G26">
            <v>0</v>
          </cell>
          <cell r="H26">
            <v>7.1428571428571425E-2</v>
          </cell>
        </row>
        <row r="27">
          <cell r="A27" t="str">
            <v>REFERENCIACIÓN ACUEDUCTO</v>
          </cell>
          <cell r="B27">
            <v>1</v>
          </cell>
          <cell r="C27">
            <v>0</v>
          </cell>
          <cell r="F27">
            <v>0</v>
          </cell>
          <cell r="G27">
            <v>0</v>
          </cell>
          <cell r="H27">
            <v>0</v>
          </cell>
        </row>
        <row r="28">
          <cell r="A28" t="str">
            <v>REPARACION CAJAS DE MEDIDORES</v>
          </cell>
          <cell r="B28">
            <v>1</v>
          </cell>
          <cell r="C28">
            <v>6</v>
          </cell>
          <cell r="F28">
            <v>0</v>
          </cell>
          <cell r="G28">
            <v>0</v>
          </cell>
          <cell r="H28">
            <v>0.8571428571428571</v>
          </cell>
        </row>
        <row r="29">
          <cell r="A29" t="str">
            <v>RETIRO MEDIDOR</v>
          </cell>
          <cell r="B29">
            <v>121</v>
          </cell>
          <cell r="C29">
            <v>52</v>
          </cell>
          <cell r="F29">
            <v>0</v>
          </cell>
          <cell r="G29">
            <v>0</v>
          </cell>
          <cell r="H29">
            <v>0.30057803468208094</v>
          </cell>
        </row>
        <row r="30">
          <cell r="A30" t="str">
            <v>TAPONADAS</v>
          </cell>
          <cell r="B30">
            <v>2</v>
          </cell>
          <cell r="C30">
            <v>20</v>
          </cell>
          <cell r="F30">
            <v>0</v>
          </cell>
          <cell r="G30">
            <v>0</v>
          </cell>
          <cell r="H30">
            <v>0.90909090909090906</v>
          </cell>
        </row>
        <row r="31">
          <cell r="A31" t="str">
            <v>TRASLADO MEDIDOR</v>
          </cell>
          <cell r="B31">
            <v>1</v>
          </cell>
          <cell r="C31">
            <v>0</v>
          </cell>
          <cell r="F31">
            <v>0</v>
          </cell>
          <cell r="G31">
            <v>0</v>
          </cell>
          <cell r="H31">
            <v>0</v>
          </cell>
        </row>
        <row r="32">
          <cell r="F32">
            <v>0</v>
          </cell>
          <cell r="G32">
            <v>0</v>
          </cell>
          <cell r="H32">
            <v>0</v>
          </cell>
        </row>
        <row r="33">
          <cell r="A33" t="str">
            <v>Total general</v>
          </cell>
          <cell r="B33">
            <v>2620</v>
          </cell>
          <cell r="C33">
            <v>1527</v>
          </cell>
          <cell r="F33">
            <v>0</v>
          </cell>
          <cell r="G33">
            <v>0</v>
          </cell>
          <cell r="H33">
            <v>0.36821798890764407</v>
          </cell>
        </row>
        <row r="34">
          <cell r="F34">
            <v>0</v>
          </cell>
          <cell r="G34">
            <v>0</v>
          </cell>
          <cell r="H34">
            <v>0</v>
          </cell>
        </row>
      </sheetData>
      <sheetData sheetId="2" refreshError="1">
        <row r="12">
          <cell r="A12" t="str">
            <v>CAMBIO ACOMETIDAS CONTRATO</v>
          </cell>
          <cell r="B12">
            <v>2</v>
          </cell>
          <cell r="C12">
            <v>5</v>
          </cell>
          <cell r="D12">
            <v>1</v>
          </cell>
          <cell r="E12">
            <v>46</v>
          </cell>
          <cell r="F12">
            <v>0</v>
          </cell>
          <cell r="G12">
            <v>0</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D15">
            <v>7.442622950819672</v>
          </cell>
          <cell r="E15">
            <v>61</v>
          </cell>
          <cell r="F15">
            <v>0</v>
          </cell>
          <cell r="G15">
            <v>0</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v>0</v>
          </cell>
          <cell r="G19">
            <v>0</v>
          </cell>
          <cell r="H19">
            <v>0.35</v>
          </cell>
        </row>
        <row r="20">
          <cell r="A20" t="str">
            <v>INSTALACIONES ACUEDUCTO</v>
          </cell>
          <cell r="B20">
            <v>48</v>
          </cell>
          <cell r="C20">
            <v>104</v>
          </cell>
          <cell r="F20">
            <v>0</v>
          </cell>
          <cell r="G20">
            <v>0</v>
          </cell>
          <cell r="H20">
            <v>0.68421052631578949</v>
          </cell>
        </row>
        <row r="21">
          <cell r="A21" t="str">
            <v>INSTALACIONES ALCANTARILLADO</v>
          </cell>
          <cell r="B21">
            <v>8</v>
          </cell>
          <cell r="C21">
            <v>0</v>
          </cell>
          <cell r="F21">
            <v>0</v>
          </cell>
          <cell r="G21">
            <v>0</v>
          </cell>
          <cell r="H21">
            <v>0</v>
          </cell>
        </row>
        <row r="22">
          <cell r="A22" t="str">
            <v>MEDIDORES 1/2 Y 1"</v>
          </cell>
          <cell r="B22">
            <v>3</v>
          </cell>
          <cell r="C22">
            <v>4</v>
          </cell>
          <cell r="D22">
            <v>1</v>
          </cell>
          <cell r="E22">
            <v>62</v>
          </cell>
          <cell r="F22">
            <v>0</v>
          </cell>
          <cell r="G22">
            <v>0</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v>0</v>
          </cell>
          <cell r="G24">
            <v>0</v>
          </cell>
          <cell r="H24">
            <v>0.85185185185185186</v>
          </cell>
        </row>
        <row r="25">
          <cell r="A25" t="str">
            <v>OBRAS ACCESORIAS INSTALACIONES</v>
          </cell>
          <cell r="B25">
            <v>1107</v>
          </cell>
          <cell r="C25">
            <v>0</v>
          </cell>
          <cell r="D25">
            <v>1</v>
          </cell>
          <cell r="E25">
            <v>20</v>
          </cell>
          <cell r="F25">
            <v>0</v>
          </cell>
          <cell r="G25">
            <v>0</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v>0</v>
          </cell>
          <cell r="G27">
            <v>0</v>
          </cell>
          <cell r="H27">
            <v>1.5873015873015872E-2</v>
          </cell>
        </row>
        <row r="28">
          <cell r="A28" t="str">
            <v>REFERENCIACIÓN ACUEDUCTO</v>
          </cell>
          <cell r="B28">
            <v>1</v>
          </cell>
          <cell r="C28">
            <v>3</v>
          </cell>
          <cell r="F28">
            <v>0</v>
          </cell>
          <cell r="G28">
            <v>0</v>
          </cell>
          <cell r="H28">
            <v>0.75</v>
          </cell>
        </row>
        <row r="29">
          <cell r="A29" t="str">
            <v>TRASLADO MEDIDOR</v>
          </cell>
          <cell r="B29">
            <v>1</v>
          </cell>
          <cell r="C29">
            <v>0</v>
          </cell>
          <cell r="F29">
            <v>0</v>
          </cell>
          <cell r="G29">
            <v>0</v>
          </cell>
          <cell r="H29">
            <v>0</v>
          </cell>
        </row>
        <row r="30">
          <cell r="A30" t="str">
            <v>TAPONADAS</v>
          </cell>
          <cell r="B30">
            <v>2</v>
          </cell>
          <cell r="C30">
            <v>20</v>
          </cell>
          <cell r="F30">
            <v>0</v>
          </cell>
          <cell r="G30">
            <v>0</v>
          </cell>
          <cell r="H30">
            <v>0</v>
          </cell>
        </row>
        <row r="31">
          <cell r="A31" t="str">
            <v>Total general</v>
          </cell>
          <cell r="B31">
            <v>3020</v>
          </cell>
          <cell r="C31">
            <v>1257</v>
          </cell>
          <cell r="F31">
            <v>0</v>
          </cell>
          <cell r="G31">
            <v>0</v>
          </cell>
          <cell r="H31">
            <v>0.29389759176993219</v>
          </cell>
        </row>
        <row r="32">
          <cell r="F32">
            <v>0</v>
          </cell>
          <cell r="G32">
            <v>0</v>
          </cell>
          <cell r="H32">
            <v>0</v>
          </cell>
        </row>
      </sheetData>
      <sheetData sheetId="3" refreshError="1">
        <row r="12">
          <cell r="A12" t="str">
            <v>CAMBIO ACOMETIDAS CONTRATO</v>
          </cell>
          <cell r="B12">
            <v>6</v>
          </cell>
          <cell r="C12">
            <v>4</v>
          </cell>
          <cell r="D12">
            <v>1</v>
          </cell>
          <cell r="E12">
            <v>46</v>
          </cell>
          <cell r="F12">
            <v>0</v>
          </cell>
          <cell r="G12">
            <v>0</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v>0</v>
          </cell>
          <cell r="G15">
            <v>0</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v>0</v>
          </cell>
          <cell r="G19">
            <v>0</v>
          </cell>
          <cell r="H19">
            <v>0.27777777777777779</v>
          </cell>
        </row>
        <row r="20">
          <cell r="A20" t="str">
            <v>INSTALACIONES ACUEDUCTO</v>
          </cell>
          <cell r="B20">
            <v>27</v>
          </cell>
          <cell r="C20">
            <v>42</v>
          </cell>
          <cell r="F20">
            <v>0</v>
          </cell>
          <cell r="G20">
            <v>0</v>
          </cell>
          <cell r="H20">
            <v>0.60869565217391308</v>
          </cell>
        </row>
        <row r="21">
          <cell r="A21" t="str">
            <v>MEDIDORES 1/2 Y 1"</v>
          </cell>
          <cell r="B21">
            <v>8</v>
          </cell>
          <cell r="C21">
            <v>1</v>
          </cell>
          <cell r="F21">
            <v>0</v>
          </cell>
          <cell r="G21">
            <v>0</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D23">
            <v>1</v>
          </cell>
          <cell r="E23">
            <v>61</v>
          </cell>
          <cell r="F23">
            <v>0</v>
          </cell>
          <cell r="G23">
            <v>0</v>
          </cell>
          <cell r="H23">
            <v>0.64</v>
          </cell>
        </row>
        <row r="24">
          <cell r="A24" t="str">
            <v>OBRAS ACCESORIAS INSTALACIONES</v>
          </cell>
          <cell r="B24">
            <v>1223</v>
          </cell>
          <cell r="C24">
            <v>0</v>
          </cell>
          <cell r="F24">
            <v>0</v>
          </cell>
          <cell r="G24">
            <v>0</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D26">
            <v>1</v>
          </cell>
          <cell r="E26">
            <v>20</v>
          </cell>
          <cell r="F26">
            <v>0</v>
          </cell>
          <cell r="G26">
            <v>0</v>
          </cell>
          <cell r="H26">
            <v>0.19540229885057472</v>
          </cell>
        </row>
        <row r="27">
          <cell r="A27" t="str">
            <v>REFERENCIACIÓN ACUEDUCTO</v>
          </cell>
          <cell r="B27">
            <v>1</v>
          </cell>
          <cell r="C27">
            <v>0</v>
          </cell>
          <cell r="F27">
            <v>0</v>
          </cell>
          <cell r="G27">
            <v>0</v>
          </cell>
          <cell r="H27">
            <v>0</v>
          </cell>
        </row>
        <row r="28">
          <cell r="A28" t="str">
            <v>Total general</v>
          </cell>
          <cell r="B28">
            <v>3006</v>
          </cell>
          <cell r="C28">
            <v>1085</v>
          </cell>
          <cell r="F28">
            <v>0</v>
          </cell>
          <cell r="G28">
            <v>0</v>
          </cell>
          <cell r="H28">
            <v>0.26521632852603277</v>
          </cell>
        </row>
        <row r="29">
          <cell r="A29" t="str">
            <v>RETIRO MEDIDOR</v>
          </cell>
          <cell r="B29">
            <v>121</v>
          </cell>
          <cell r="C29">
            <v>52</v>
          </cell>
          <cell r="F29">
            <v>0</v>
          </cell>
          <cell r="G29">
            <v>0</v>
          </cell>
          <cell r="H29">
            <v>0</v>
          </cell>
        </row>
      </sheetData>
      <sheetData sheetId="4" refreshError="1">
        <row r="12">
          <cell r="A12" t="str">
            <v>CAMBIO ACOMETIDAS CONTRATO</v>
          </cell>
          <cell r="B12">
            <v>3</v>
          </cell>
          <cell r="C12">
            <v>2</v>
          </cell>
          <cell r="F12">
            <v>0</v>
          </cell>
          <cell r="G12">
            <v>0</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v>0</v>
          </cell>
          <cell r="G15">
            <v>0</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v>0</v>
          </cell>
          <cell r="G19">
            <v>0</v>
          </cell>
          <cell r="H19">
            <v>0.26666666666666666</v>
          </cell>
        </row>
        <row r="20">
          <cell r="A20" t="str">
            <v>INSTALACIONES ACUEDUCTO</v>
          </cell>
          <cell r="B20">
            <v>6</v>
          </cell>
          <cell r="C20">
            <v>73</v>
          </cell>
          <cell r="F20">
            <v>0</v>
          </cell>
          <cell r="G20">
            <v>0</v>
          </cell>
          <cell r="H20">
            <v>0.92405063291139244</v>
          </cell>
        </row>
        <row r="21">
          <cell r="A21" t="str">
            <v>MEDIDORES 1/2 Y 1"</v>
          </cell>
          <cell r="B21">
            <v>2</v>
          </cell>
          <cell r="C21">
            <v>3</v>
          </cell>
          <cell r="F21">
            <v>0</v>
          </cell>
          <cell r="G21">
            <v>0</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v>0</v>
          </cell>
          <cell r="G23">
            <v>0</v>
          </cell>
          <cell r="H23">
            <v>2.3255813953488372E-2</v>
          </cell>
        </row>
        <row r="24">
          <cell r="A24" t="str">
            <v>OBRAS ACCESORIAS INSTALACIONES</v>
          </cell>
          <cell r="B24">
            <v>927</v>
          </cell>
          <cell r="C24">
            <v>0</v>
          </cell>
          <cell r="F24">
            <v>0</v>
          </cell>
          <cell r="G24">
            <v>0</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v>0</v>
          </cell>
          <cell r="G26">
            <v>0</v>
          </cell>
          <cell r="H26">
            <v>0.16853932584269662</v>
          </cell>
        </row>
        <row r="27">
          <cell r="A27" t="str">
            <v>REFERENCIACIÓN ACUEDUCTO</v>
          </cell>
          <cell r="B27">
            <v>0</v>
          </cell>
          <cell r="C27">
            <v>3</v>
          </cell>
          <cell r="F27">
            <v>0</v>
          </cell>
          <cell r="G27">
            <v>0</v>
          </cell>
          <cell r="H27">
            <v>1</v>
          </cell>
        </row>
        <row r="28">
          <cell r="A28" t="str">
            <v>#N/A</v>
          </cell>
          <cell r="B28">
            <v>3</v>
          </cell>
          <cell r="C28">
            <v>1</v>
          </cell>
          <cell r="F28">
            <v>0</v>
          </cell>
          <cell r="G28">
            <v>0</v>
          </cell>
          <cell r="H28">
            <v>0</v>
          </cell>
        </row>
        <row r="29">
          <cell r="A29" t="str">
            <v>Total general</v>
          </cell>
          <cell r="B29">
            <v>2679</v>
          </cell>
          <cell r="C29">
            <v>1006</v>
          </cell>
          <cell r="F29">
            <v>0</v>
          </cell>
          <cell r="G29">
            <v>0</v>
          </cell>
          <cell r="H29">
            <v>0.2729986431478969</v>
          </cell>
        </row>
        <row r="30">
          <cell r="F30">
            <v>0</v>
          </cell>
          <cell r="G30">
            <v>0</v>
          </cell>
          <cell r="H30">
            <v>0</v>
          </cell>
        </row>
      </sheetData>
      <sheetData sheetId="5" refreshError="1">
        <row r="12">
          <cell r="A12" t="str">
            <v>CAMBIO ACOMETIDAS CONTRATO</v>
          </cell>
          <cell r="B12">
            <v>8</v>
          </cell>
          <cell r="C12">
            <v>8</v>
          </cell>
          <cell r="F12">
            <v>0</v>
          </cell>
          <cell r="G12">
            <v>0</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v>0</v>
          </cell>
          <cell r="G15">
            <v>0</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v>0</v>
          </cell>
          <cell r="G19">
            <v>0</v>
          </cell>
          <cell r="H19">
            <v>0.17948717948717949</v>
          </cell>
        </row>
        <row r="20">
          <cell r="A20" t="str">
            <v>INSTALACIONES ACUEDUCTO</v>
          </cell>
          <cell r="B20">
            <v>4</v>
          </cell>
          <cell r="C20">
            <v>91</v>
          </cell>
          <cell r="F20">
            <v>0</v>
          </cell>
          <cell r="G20">
            <v>0</v>
          </cell>
          <cell r="H20">
            <v>0.95789473684210524</v>
          </cell>
        </row>
        <row r="21">
          <cell r="A21" t="str">
            <v>MEDIDORES 1/2 Y 1"</v>
          </cell>
          <cell r="B21">
            <v>2</v>
          </cell>
          <cell r="C21">
            <v>3</v>
          </cell>
          <cell r="F21">
            <v>0</v>
          </cell>
          <cell r="G21">
            <v>0</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v>0</v>
          </cell>
          <cell r="G23">
            <v>0</v>
          </cell>
          <cell r="H23">
            <v>0.70967741935483875</v>
          </cell>
        </row>
        <row r="24">
          <cell r="A24" t="str">
            <v>OBRAS ACCESORIAS INSTALACIONES</v>
          </cell>
          <cell r="B24">
            <v>1132</v>
          </cell>
          <cell r="C24">
            <v>0</v>
          </cell>
          <cell r="F24">
            <v>0</v>
          </cell>
          <cell r="G24">
            <v>0</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v>0</v>
          </cell>
          <cell r="G26">
            <v>0</v>
          </cell>
          <cell r="H26">
            <v>0.1206896551724138</v>
          </cell>
        </row>
        <row r="27">
          <cell r="A27" t="str">
            <v>SECTOR SIN AGUA</v>
          </cell>
          <cell r="B27">
            <v>0</v>
          </cell>
          <cell r="C27">
            <v>1</v>
          </cell>
          <cell r="F27">
            <v>0</v>
          </cell>
          <cell r="G27">
            <v>0</v>
          </cell>
          <cell r="H27">
            <v>1</v>
          </cell>
        </row>
        <row r="28">
          <cell r="A28" t="str">
            <v>#N/A</v>
          </cell>
          <cell r="B28">
            <v>3</v>
          </cell>
          <cell r="C28">
            <v>1</v>
          </cell>
          <cell r="F28">
            <v>0</v>
          </cell>
          <cell r="G28">
            <v>0</v>
          </cell>
          <cell r="H28">
            <v>0.25</v>
          </cell>
        </row>
        <row r="29">
          <cell r="A29" t="str">
            <v>Total general</v>
          </cell>
          <cell r="B29">
            <v>2679</v>
          </cell>
          <cell r="C29">
            <v>1006</v>
          </cell>
          <cell r="F29">
            <v>0</v>
          </cell>
          <cell r="G29">
            <v>0</v>
          </cell>
          <cell r="H29">
            <v>0</v>
          </cell>
        </row>
        <row r="30">
          <cell r="F30">
            <v>0</v>
          </cell>
          <cell r="G30">
            <v>0</v>
          </cell>
          <cell r="H30">
            <v>0</v>
          </cell>
        </row>
        <row r="31">
          <cell r="F31">
            <v>0</v>
          </cell>
          <cell r="G31">
            <v>0</v>
          </cell>
          <cell r="H31">
            <v>0</v>
          </cell>
        </row>
        <row r="32">
          <cell r="F32">
            <v>0</v>
          </cell>
          <cell r="G32">
            <v>0</v>
          </cell>
          <cell r="H32">
            <v>0</v>
          </cell>
        </row>
        <row r="33">
          <cell r="A33" t="str">
            <v>Total general</v>
          </cell>
          <cell r="B33">
            <v>3125</v>
          </cell>
          <cell r="C33">
            <v>1542</v>
          </cell>
          <cell r="F33">
            <v>0</v>
          </cell>
          <cell r="G33">
            <v>0</v>
          </cell>
          <cell r="H33">
            <v>0.33040497107349476</v>
          </cell>
        </row>
        <row r="34">
          <cell r="F34">
            <v>0</v>
          </cell>
          <cell r="G34">
            <v>0</v>
          </cell>
          <cell r="H34">
            <v>0</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 sheetId="19"/>
      <sheetData sheetId="20">
        <row r="12">
          <cell r="A12">
            <v>0</v>
          </cell>
        </row>
      </sheetData>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 val="INSUMOS_BASE2"/>
      <sheetName val="costos_mano_obra2"/>
      <sheetName val="ANEXOS_QUE_APLICAN2"/>
      <sheetName val="DATOS_GRALES2"/>
      <sheetName val="FORMATO_AU2"/>
      <sheetName val="CALCULO_ANTICIPO2"/>
      <sheetName val="GASTOS_DE_LEGALIZACIÓN2"/>
      <sheetName val="APU_AMBIENTAL2"/>
      <sheetName val="LISTA_VERIFICACIÓN_2"/>
      <sheetName val="INTERV_AMBIENTAL2"/>
      <sheetName val="APU_labores_arbolado_20142"/>
      <sheetName val="Presupuesto_correigio_nora_mora"/>
      <sheetName val="INSUMOS"/>
      <sheetName val="MAQUILA"/>
      <sheetName val="SUBPRODUCTOS"/>
      <sheetName val="TUBERIA"/>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row r="1">
          <cell r="C1">
            <v>0</v>
          </cell>
        </row>
      </sheetData>
      <sheetData sheetId="14">
        <row r="1">
          <cell r="C1">
            <v>0</v>
          </cell>
        </row>
      </sheetData>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refreshError="1"/>
      <sheetData sheetId="30" refreshError="1"/>
      <sheetData sheetId="31" refreshError="1"/>
      <sheetData sheetId="32" refreshError="1"/>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row r="1">
          <cell r="C1">
            <v>0</v>
          </cell>
        </row>
      </sheetData>
      <sheetData sheetId="40" refreshError="1"/>
      <sheetData sheetId="41" refreshError="1"/>
      <sheetData sheetId="42"/>
      <sheetData sheetId="43"/>
      <sheetData sheetId="44">
        <row r="1">
          <cell r="C1">
            <v>0</v>
          </cell>
        </row>
      </sheetData>
      <sheetData sheetId="45"/>
      <sheetData sheetId="46"/>
      <sheetData sheetId="47"/>
      <sheetData sheetId="48"/>
      <sheetData sheetId="49"/>
      <sheetData sheetId="50"/>
      <sheetData sheetId="51"/>
      <sheetData sheetId="52">
        <row r="1">
          <cell r="C1">
            <v>0</v>
          </cell>
        </row>
      </sheetData>
      <sheetData sheetId="53">
        <row r="1">
          <cell r="C1">
            <v>0</v>
          </cell>
        </row>
      </sheetData>
      <sheetData sheetId="54">
        <row r="1">
          <cell r="C1">
            <v>0</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ow r="1">
          <cell r="C1">
            <v>0</v>
          </cell>
        </row>
      </sheetData>
      <sheetData sheetId="87"/>
      <sheetData sheetId="88"/>
      <sheetData sheetId="89"/>
      <sheetData sheetId="90"/>
      <sheetData sheetId="91"/>
      <sheetData sheetId="92">
        <row r="1">
          <cell r="C1">
            <v>0</v>
          </cell>
        </row>
      </sheetData>
      <sheetData sheetId="93"/>
      <sheetData sheetId="94">
        <row r="1">
          <cell r="C1">
            <v>0</v>
          </cell>
        </row>
      </sheetData>
      <sheetData sheetId="95"/>
      <sheetData sheetId="96">
        <row r="1">
          <cell r="C1">
            <v>0</v>
          </cell>
        </row>
      </sheetData>
      <sheetData sheetId="97"/>
      <sheetData sheetId="98"/>
      <sheetData sheetId="99"/>
      <sheetData sheetId="100"/>
      <sheetData sheetId="101"/>
      <sheetData sheetId="102"/>
      <sheetData sheetId="103">
        <row r="1">
          <cell r="C1">
            <v>0</v>
          </cell>
        </row>
      </sheetData>
      <sheetData sheetId="104"/>
      <sheetData sheetId="105">
        <row r="1">
          <cell r="C1">
            <v>0</v>
          </cell>
        </row>
      </sheetData>
      <sheetData sheetId="106"/>
      <sheetData sheetId="107"/>
      <sheetData sheetId="108"/>
      <sheetData sheetId="109"/>
      <sheetData sheetId="110"/>
      <sheetData sheetId="111">
        <row r="1">
          <cell r="C1">
            <v>0</v>
          </cell>
        </row>
      </sheetData>
      <sheetData sheetId="112">
        <row r="1">
          <cell r="C1">
            <v>0</v>
          </cell>
        </row>
      </sheetData>
      <sheetData sheetId="113">
        <row r="1">
          <cell r="C1">
            <v>0</v>
          </cell>
        </row>
      </sheetData>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 val="BASE"/>
      <sheetName val="LISTA CÓDIGOS"/>
      <sheetName val="BASE APU"/>
      <sheetName val="MANO DE OBRA"/>
      <sheetName val="INSUMOS"/>
      <sheetName val="EQUIPOS"/>
      <sheetName val="MATERIALES"/>
      <sheetName val="ESTRUCTURAS"/>
      <sheetName val="TRANSPORTE"/>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5">
          <cell r="A5">
            <v>0</v>
          </cell>
        </row>
      </sheetData>
      <sheetData sheetId="12"/>
      <sheetData sheetId="13"/>
      <sheetData sheetId="14"/>
      <sheetData sheetId="15"/>
      <sheetData sheetId="16"/>
      <sheetData sheetId="17"/>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esupuesto Contrato"/>
      <sheetName val="Memoria de calculo"/>
      <sheetName val="Plan ejecución "/>
      <sheetName val="PPTO"/>
      <sheetName val="FPE"/>
      <sheetName val="CONSOLIDADO"/>
      <sheetName val="PE1 MEDIO HUMANO"/>
      <sheetName val="Anexo PE1"/>
      <sheetName val="TARIFA ENE A JUL 14 2023"/>
      <sheetName val="Anexo PE1 jul a dic 2023"/>
      <sheetName val="PE1 -FPE"/>
      <sheetName val="PE2 MONITOREO"/>
      <sheetName val="Anexo PE2"/>
      <sheetName val="PE2-FPE"/>
      <sheetName val="PE3 MTTO ALARMAS "/>
      <sheetName val="Anexo PE3"/>
      <sheetName val="PE3-FPE"/>
      <sheetName val="PE4 MTTO VIDEO "/>
      <sheetName val="Anexo PE4"/>
      <sheetName val="PE4-FPE"/>
      <sheetName val="PE5 Mmto prev control acceso"/>
      <sheetName val="Anexo PE5"/>
      <sheetName val="PE5-FPE"/>
      <sheetName val="PE6 Mtto correctivo 2021"/>
      <sheetName val="Anexo PE6 "/>
      <sheetName val="PE6-FPE"/>
      <sheetName val="PE7 ORTOFOTOS"/>
      <sheetName val="Anexo PE7"/>
      <sheetName val="PE7-FPE"/>
      <sheetName val="Gtos DyM"/>
      <sheetName val="PE5 MANT. CONTROL ACCESO"/>
    </sheetNames>
    <sheetDataSet>
      <sheetData sheetId="0"/>
      <sheetData sheetId="1"/>
      <sheetData sheetId="2"/>
      <sheetData sheetId="3"/>
      <sheetData sheetId="4"/>
      <sheetData sheetId="5"/>
      <sheetData sheetId="6">
        <row r="18">
          <cell r="G18">
            <v>650663342</v>
          </cell>
        </row>
      </sheetData>
      <sheetData sheetId="7"/>
      <sheetData sheetId="8"/>
      <sheetData sheetId="9"/>
      <sheetData sheetId="10"/>
      <sheetData sheetId="11">
        <row r="17">
          <cell r="F17">
            <v>2334178</v>
          </cell>
        </row>
      </sheetData>
      <sheetData sheetId="12"/>
      <sheetData sheetId="13"/>
      <sheetData sheetId="14">
        <row r="16">
          <cell r="F16">
            <v>1898852</v>
          </cell>
        </row>
      </sheetData>
      <sheetData sheetId="15"/>
      <sheetData sheetId="16"/>
      <sheetData sheetId="17">
        <row r="17">
          <cell r="F17">
            <v>6973174</v>
          </cell>
        </row>
      </sheetData>
      <sheetData sheetId="18"/>
      <sheetData sheetId="19"/>
      <sheetData sheetId="20">
        <row r="7">
          <cell r="F7">
            <v>2897368</v>
          </cell>
        </row>
      </sheetData>
      <sheetData sheetId="21"/>
      <sheetData sheetId="22"/>
      <sheetData sheetId="23">
        <row r="2">
          <cell r="E2">
            <v>45500000</v>
          </cell>
        </row>
      </sheetData>
      <sheetData sheetId="24"/>
      <sheetData sheetId="25"/>
      <sheetData sheetId="26">
        <row r="2">
          <cell r="F2">
            <v>20000000</v>
          </cell>
        </row>
      </sheetData>
      <sheetData sheetId="27"/>
      <sheetData sheetId="28"/>
      <sheetData sheetId="29"/>
      <sheetData sheetId="3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row r="5">
          <cell r="C5">
            <v>0.06</v>
          </cell>
        </row>
        <row r="63">
          <cell r="D63">
            <v>348000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Plan Ejecución"/>
      <sheetName val="Presupuesto Contrato"/>
      <sheetName val="Presupuesto Convenio"/>
      <sheetName val="Memoria de cálculo O1"/>
      <sheetName val="Memoria de cálculo O2"/>
      <sheetName val="Memoria de cálculo O3"/>
      <sheetName val="Estudio de mercado"/>
      <sheetName val="Gastos de adm"/>
      <sheetName val="Propuesta económica O1"/>
      <sheetName val="Propuesta económica O2"/>
      <sheetName val="Propuesta económica O3"/>
      <sheetName val="PAB CA"/>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 val="Imp &amp; garantías"/>
      <sheetName val="A&amp;PA"/>
      <sheetName val="IVA"/>
      <sheetName val="Notas PE"/>
      <sheetName val="CF&amp;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Sábana"/>
      <sheetName val="LISTA CÓDIGOS"/>
      <sheetName val="BASE APU"/>
      <sheetName val="MANO DE OBRA"/>
      <sheetName val="EQUIPOS"/>
      <sheetName val="MATERIALES"/>
      <sheetName val="ESTRUCTURAS"/>
      <sheetName val="TRANSPORTE"/>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LISTA_CÓDIGOS"/>
      <sheetName val="BASE_APU"/>
      <sheetName val="MANO_DE_OBRA"/>
      <sheetName val="TARIFAS-JORNAL-DIST"/>
      <sheetName val="experiencia especifica"/>
      <sheetName val="experiencia general"/>
      <sheetName val="FORMULARIO N° 14"/>
      <sheetName val="FORMULARIO N°7"/>
      <sheetName val="contrato en ejecución"/>
      <sheetName val="Calculo capacidad residual"/>
      <sheetName val="Design"/>
      <sheetName val="TABLAS"/>
      <sheetName val="ELECTRICO"/>
      <sheetName val="Vuelta"/>
      <sheetName val="RECURSOS"/>
      <sheetName val="10_HS"/>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ow r="1">
          <cell r="A1">
            <v>0</v>
          </cell>
        </row>
      </sheetData>
      <sheetData sheetId="25"/>
      <sheetData sheetId="26"/>
      <sheetData sheetId="27">
        <row r="1">
          <cell r="A1">
            <v>0</v>
          </cell>
        </row>
      </sheetData>
      <sheetData sheetId="28"/>
      <sheetData sheetId="29">
        <row r="1">
          <cell r="A1">
            <v>0</v>
          </cell>
        </row>
      </sheetData>
      <sheetData sheetId="30"/>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sheetData sheetId="54">
        <row r="1">
          <cell r="A1">
            <v>0</v>
          </cell>
        </row>
      </sheetData>
      <sheetData sheetId="55"/>
      <sheetData sheetId="56"/>
      <sheetData sheetId="57"/>
      <sheetData sheetId="58"/>
      <sheetData sheetId="59" refreshError="1"/>
      <sheetData sheetId="60"/>
      <sheetData sheetId="61"/>
      <sheetData sheetId="62"/>
      <sheetData sheetId="63" refreshError="1"/>
      <sheetData sheetId="64">
        <row r="1">
          <cell r="A1">
            <v>0</v>
          </cell>
        </row>
      </sheetData>
      <sheetData sheetId="65" refreshError="1"/>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row r="3">
          <cell r="A3" t="str">
            <v>Herramienta menor (10% MO)</v>
          </cell>
        </row>
        <row r="4">
          <cell r="A4" t="str">
            <v>Herramienta menor (5% MO)</v>
          </cell>
        </row>
      </sheetData>
      <sheetData sheetId="5"/>
      <sheetData sheetId="6">
        <row r="2">
          <cell r="A2" t="str">
            <v>- Ninguno -</v>
          </cell>
        </row>
      </sheetData>
      <sheetData sheetId="7"/>
      <sheetData sheetId="8"/>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Plan Ejecución"/>
      <sheetName val="Presupuesto Contrato"/>
      <sheetName val="Presupuesto Convenio"/>
      <sheetName val="Memoria de cálculo O1"/>
      <sheetName val="Memoria de cálculo O2"/>
      <sheetName val="Memoria de cálculo O3"/>
      <sheetName val="Estudio de mercado"/>
      <sheetName val="Gastos de adm"/>
      <sheetName val="Imp &amp; garantías"/>
      <sheetName val="Propuesta económica O1"/>
      <sheetName val="Propuesta económica O2"/>
      <sheetName val="Propuesta económica O3"/>
      <sheetName val="PAB CA"/>
      <sheetName val="Notas PE"/>
      <sheetName val="Evaluación financiera"/>
      <sheetName val="PAB CR"/>
      <sheetName val="Habilitados - SI"/>
      <sheetName val="A. Lances - SIP"/>
      <sheetName val="D. Lances - SIP"/>
      <sheetName val="DD. Lances - SIP"/>
      <sheetName val="Gtos DyM"/>
      <sheetName val="Honorarios"/>
      <sheetName val="Jornal"/>
      <sheetName val="Salarios"/>
      <sheetName val="Alimentación"/>
      <sheetName val="Distintiv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refreshError="1"/>
      <sheetData sheetId="1" refreshError="1"/>
      <sheetData sheetId="2" refreshError="1"/>
      <sheetData sheetId="3" refreshError="1"/>
      <sheetData sheetId="4" refreshError="1"/>
      <sheetData sheetId="5" refreshError="1"/>
      <sheetData sheetId="6" refreshError="1">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refreshError="1"/>
      <sheetData sheetId="8" refreshError="1"/>
      <sheetData sheetId="9" refreshError="1"/>
      <sheetData sheetId="1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 val="LISTA CÓDIGOS"/>
      <sheetName val="BASE APU"/>
      <sheetName val="MANO DE OBRA"/>
      <sheetName val="INSUMOS"/>
      <sheetName val="EQUIPOS"/>
      <sheetName val="MATERIALES"/>
      <sheetName val="ESTRUCTURAS"/>
      <sheetName val="TRANSPORTE"/>
    </sheetNames>
    <sheetDataSet>
      <sheetData sheetId="0"/>
      <sheetData sheetId="1"/>
      <sheetData sheetId="2"/>
      <sheetData sheetId="3"/>
      <sheetData sheetId="4"/>
      <sheetData sheetId="5"/>
      <sheetData sheetId="6" refreshError="1"/>
      <sheetData sheetId="7" refreshError="1"/>
      <sheetData sheetId="8" refreshError="1"/>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Hoja1"/>
      <sheetName val="Hoja2"/>
      <sheetName val="Hoja3"/>
      <sheetName val="CANALETA9"/>
    </sheetNames>
    <sheetDataSet>
      <sheetData sheetId="0"/>
      <sheetData sheetId="1"/>
      <sheetData sheetId="2" refreshError="1">
        <row r="8">
          <cell r="D8">
            <v>0.65280000000000005</v>
          </cell>
        </row>
      </sheetData>
      <sheetData sheetId="3"/>
      <sheetData sheetId="4"/>
      <sheetData sheetId="5"/>
      <sheetData sheetId="6"/>
      <sheetData sheetId="7"/>
      <sheetData sheetId="8"/>
      <sheetData sheetId="9"/>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BASE PARA IMPRIMIR"/>
      <sheetName val="PRELIM"/>
      <sheetName val="TUBERIA"/>
      <sheetName val="EXCAVA"/>
      <sheetName val="REDES"/>
      <sheetName val="APU Redes"/>
    </sheetNames>
    <sheetDataSet>
      <sheetData sheetId="0" refreshError="1"/>
      <sheetData sheetId="1" refreshError="1"/>
      <sheetData sheetId="2" refreshError="1">
        <row r="75">
          <cell r="D75">
            <v>300150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 val="REC-COD,"/>
      <sheetName val="Sábana"/>
      <sheetName val="LISTA CÓDIGOS"/>
      <sheetName val="BASE APU"/>
      <sheetName val="MANO DE OBRA"/>
      <sheetName val="EQUIPOS"/>
      <sheetName val="MATERIALES"/>
      <sheetName val="ESTRUCTURAS"/>
      <sheetName val="TRANSPORT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BASE"/>
      <sheetName val="APU CONCRETOS"/>
      <sheetName val="APU ALCANT"/>
      <sheetName val="PRPTO ALCANTARILLADO"/>
      <sheetName val="PRESUPUESTO"/>
      <sheetName val="TANQUE 120m3"/>
      <sheetName val="APU TANQUE 120 m3"/>
      <sheetName val="REDES DE DISTRUBICÓN"/>
      <sheetName val="APU REDES DISTRIBUCIÓN"/>
      <sheetName val="RESUMEN OBRAS "/>
      <sheetName val="APU ALCANTARILLADO"/>
      <sheetName val="CANTIDAD DE OBRA"/>
      <sheetName val="PRESUPUESTO ALDO RESIDUAL"/>
      <sheetName val="RESUMEN"/>
      <sheetName val="Hoja1"/>
      <sheetName val="PRESUPUESTO ALDO LLUVIAS"/>
      <sheetName val="RESUMEN OBRA"/>
    </sheetNames>
    <sheetDataSet>
      <sheetData sheetId="0"/>
      <sheetData sheetId="1"/>
      <sheetData sheetId="2">
        <row r="84">
          <cell r="D84">
            <v>79733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
      <sheetName val="PRESTACIONES1"/>
      <sheetName val="PRESTACIONES"/>
      <sheetName val="BASE"/>
      <sheetName val="BASE_ CONCRETOS"/>
      <sheetName val="CÁLCULOS"/>
      <sheetName val="PTAR "/>
      <sheetName val="APU PTAR"/>
      <sheetName val="Resumen"/>
    </sheetNames>
    <sheetDataSet>
      <sheetData sheetId="0" refreshError="1"/>
      <sheetData sheetId="1" refreshError="1"/>
      <sheetData sheetId="2" refreshError="1"/>
      <sheetData sheetId="3" refreshError="1">
        <row r="1742">
          <cell r="D1742">
            <v>53200</v>
          </cell>
        </row>
      </sheetData>
      <sheetData sheetId="4" refreshError="1"/>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SUB_APU4"/>
      <sheetName val="RESUMEN_PRESUPU_4"/>
      <sheetName val="Indicadores"/>
      <sheetName val="SIMULACIÓNEDIFICIO.ok"/>
      <sheetName val="Propiedad"/>
      <sheetName val="Reparación"/>
      <sheetName val="DESPLEGABLE"/>
      <sheetName val="Hoja4"/>
      <sheetName val="PARQUE MALIBU"/>
      <sheetName val="Solicitud de Servicios"/>
      <sheetName val="anexo2"/>
      <sheetName val="Anexo 5-1"/>
      <sheetName val="Anexo 5"/>
      <sheetName val="CHECK LIST INFORME"/>
      <sheetName val="CERT. BIENES-SERV"/>
      <sheetName val="CHECK LIST"/>
      <sheetName val="FICHA FINANCIERA"/>
      <sheetName val="CONTROL ACTAS"/>
      <sheetName val="Seguimiento (2)"/>
      <sheetName val="Hoja1"/>
      <sheetName val="SUB_APU5"/>
      <sheetName val="RESUMEN_PRESUPU_5"/>
      <sheetName val="SIMULACIÓNEDIFICIO_ok"/>
      <sheetName val="SUB_APU6"/>
      <sheetName val="RESUMEN_PRESUPU_6"/>
      <sheetName val="SIMULACIÓNEDIFICIO_ok1"/>
      <sheetName val="SUB_APU7"/>
      <sheetName val="RESUMEN_PRESUPU_7"/>
      <sheetName val="SIMULACIÓNEDIFICIO_ok2"/>
      <sheetName val="SUB_APU8"/>
      <sheetName val="RESUMEN_PRESUPU_8"/>
      <sheetName val="SIMULACIÓNEDIFICIO_ok3"/>
      <sheetName val="AU"/>
      <sheetName val="Anexo 5-1 (2)"/>
      <sheetName val="Check List Reajustes FM- 101"/>
      <sheetName val="Check List Acta FM- 101"/>
      <sheetName val="FICHA FINANCIERA MFM"/>
      <sheetName val="ACTAS"/>
      <sheetName val="REAJUSTES"/>
      <sheetName val="Anexo_5-1"/>
      <sheetName val="Anexo_5"/>
      <sheetName val="CHECK_LIST_INFORME"/>
      <sheetName val="CERT__BIENES-SERV"/>
      <sheetName val="CHECK_LIST"/>
      <sheetName val="FICHA_FINANCIERA"/>
      <sheetName val="CONTROL_ACTAS"/>
      <sheetName val="Seguimiento_(2)"/>
      <sheetName val="items"/>
      <sheetName val="TARIFAS"/>
      <sheetName val="REC-COD,"/>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ow r="1">
          <cell r="A1" t="str">
            <v>CODIGO</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ow r="1">
          <cell r="A1" t="str">
            <v>CODIGO</v>
          </cell>
        </row>
      </sheetData>
      <sheetData sheetId="25">
        <row r="1">
          <cell r="A1" t="str">
            <v>CODIGO</v>
          </cell>
        </row>
      </sheetData>
      <sheetData sheetId="26" refreshError="1"/>
      <sheetData sheetId="27" refreshError="1"/>
      <sheetData sheetId="28" refreshError="1"/>
      <sheetData sheetId="29" refreshError="1"/>
      <sheetData sheetId="30" refreshError="1"/>
      <sheetData sheetId="31" refreshError="1"/>
      <sheetData sheetId="32">
        <row r="2">
          <cell r="A2">
            <v>0</v>
          </cell>
        </row>
      </sheetData>
      <sheetData sheetId="33" refreshError="1"/>
      <sheetData sheetId="34" refreshError="1"/>
      <sheetData sheetId="35">
        <row r="2">
          <cell r="A2">
            <v>0</v>
          </cell>
        </row>
      </sheetData>
      <sheetData sheetId="36">
        <row r="2">
          <cell r="A2">
            <v>0</v>
          </cell>
        </row>
      </sheetData>
      <sheetData sheetId="37"/>
      <sheetData sheetId="38"/>
      <sheetData sheetId="39"/>
      <sheetData sheetId="40"/>
      <sheetData sheetId="41">
        <row r="1">
          <cell r="A1">
            <v>0</v>
          </cell>
        </row>
      </sheetData>
      <sheetData sheetId="42"/>
      <sheetData sheetId="43"/>
      <sheetData sheetId="44">
        <row r="1">
          <cell r="A1" t="str">
            <v>CODIGO</v>
          </cell>
        </row>
      </sheetData>
      <sheetData sheetId="45"/>
      <sheetData sheetId="46"/>
      <sheetData sheetId="47">
        <row r="1">
          <cell r="A1" t="str">
            <v>CODIGO</v>
          </cell>
        </row>
      </sheetData>
      <sheetData sheetId="48"/>
      <sheetData sheetId="49"/>
      <sheetData sheetId="50">
        <row r="1">
          <cell r="A1" t="str">
            <v>CODIGO</v>
          </cell>
        </row>
      </sheetData>
      <sheetData sheetId="51"/>
      <sheetData sheetId="52"/>
      <sheetData sheetId="53">
        <row r="1">
          <cell r="A1" t="str">
            <v>CODIGO</v>
          </cell>
        </row>
      </sheetData>
      <sheetData sheetId="54"/>
      <sheetData sheetId="55"/>
      <sheetData sheetId="56"/>
      <sheetData sheetId="57"/>
      <sheetData sheetId="58"/>
      <sheetData sheetId="59"/>
      <sheetData sheetId="60">
        <row r="1">
          <cell r="A1">
            <v>0</v>
          </cell>
        </row>
      </sheetData>
      <sheetData sheetId="61">
        <row r="1">
          <cell r="A1">
            <v>0</v>
          </cell>
        </row>
      </sheetData>
      <sheetData sheetId="62"/>
      <sheetData sheetId="63"/>
      <sheetData sheetId="64"/>
      <sheetData sheetId="65"/>
      <sheetData sheetId="66"/>
      <sheetData sheetId="67"/>
      <sheetData sheetId="68"/>
      <sheetData sheetId="69">
        <row r="1">
          <cell r="A1">
            <v>0</v>
          </cell>
        </row>
      </sheetData>
      <sheetData sheetId="70"/>
      <sheetData sheetId="71" refreshError="1"/>
      <sheetData sheetId="72" refreshError="1"/>
      <sheetData sheetId="73"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15.bin"/><Relationship Id="rId4" Type="http://schemas.openxmlformats.org/officeDocument/2006/relationships/comments" Target="../comments7.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16.bin"/><Relationship Id="rId4" Type="http://schemas.openxmlformats.org/officeDocument/2006/relationships/comments" Target="../comments8.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17.bin"/><Relationship Id="rId4" Type="http://schemas.openxmlformats.org/officeDocument/2006/relationships/comments" Target="../comments9.xml"/></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18.bin"/><Relationship Id="rId1" Type="http://schemas.openxmlformats.org/officeDocument/2006/relationships/hyperlink" Target="http://pbn.vuce.gov.co/consultas/index.php" TargetMode="External"/><Relationship Id="rId5" Type="http://schemas.openxmlformats.org/officeDocument/2006/relationships/comments" Target="../comments10.xml"/><Relationship Id="rId4" Type="http://schemas.openxmlformats.org/officeDocument/2006/relationships/vmlDrawing" Target="../drawings/vmlDrawing10.v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9.bin"/><Relationship Id="rId4" Type="http://schemas.openxmlformats.org/officeDocument/2006/relationships/comments" Target="../comments11.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20.bin"/><Relationship Id="rId4" Type="http://schemas.openxmlformats.org/officeDocument/2006/relationships/comments" Target="../comments12.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21.bin"/><Relationship Id="rId4" Type="http://schemas.openxmlformats.org/officeDocument/2006/relationships/comments" Target="../comments13.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22.bin"/><Relationship Id="rId4" Type="http://schemas.openxmlformats.org/officeDocument/2006/relationships/comments" Target="../comments14.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5.xml"/><Relationship Id="rId1" Type="http://schemas.openxmlformats.org/officeDocument/2006/relationships/printerSettings" Target="../printerSettings/printerSettings23.bin"/><Relationship Id="rId4" Type="http://schemas.openxmlformats.org/officeDocument/2006/relationships/comments" Target="../comments15.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6.xml"/><Relationship Id="rId1" Type="http://schemas.openxmlformats.org/officeDocument/2006/relationships/printerSettings" Target="../printerSettings/printerSettings24.bin"/><Relationship Id="rId4" Type="http://schemas.openxmlformats.org/officeDocument/2006/relationships/comments" Target="../comments16.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7.xml"/><Relationship Id="rId1" Type="http://schemas.openxmlformats.org/officeDocument/2006/relationships/printerSettings" Target="../printerSettings/printerSettings25.bin"/><Relationship Id="rId4" Type="http://schemas.openxmlformats.org/officeDocument/2006/relationships/comments" Target="../comments17.xml"/></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0.xml"/><Relationship Id="rId1" Type="http://schemas.openxmlformats.org/officeDocument/2006/relationships/printerSettings" Target="../printerSettings/printerSettings28.bin"/><Relationship Id="rId4" Type="http://schemas.openxmlformats.org/officeDocument/2006/relationships/comments" Target="../comments18.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2.xml"/><Relationship Id="rId1" Type="http://schemas.openxmlformats.org/officeDocument/2006/relationships/printerSettings" Target="../printerSettings/printerSettings30.bin"/><Relationship Id="rId4" Type="http://schemas.openxmlformats.org/officeDocument/2006/relationships/comments" Target="../comments19.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3.xml"/><Relationship Id="rId1" Type="http://schemas.openxmlformats.org/officeDocument/2006/relationships/printerSettings" Target="../printerSettings/printerSettings31.bin"/><Relationship Id="rId4" Type="http://schemas.openxmlformats.org/officeDocument/2006/relationships/comments" Target="../comments20.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4.xml"/><Relationship Id="rId1" Type="http://schemas.openxmlformats.org/officeDocument/2006/relationships/printerSettings" Target="../printerSettings/printerSettings32.bin"/><Relationship Id="rId4" Type="http://schemas.openxmlformats.org/officeDocument/2006/relationships/comments" Target="../comments21.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6.xml"/><Relationship Id="rId1" Type="http://schemas.openxmlformats.org/officeDocument/2006/relationships/printerSettings" Target="../printerSettings/printerSettings34.bin"/><Relationship Id="rId4" Type="http://schemas.openxmlformats.org/officeDocument/2006/relationships/comments" Target="../comments22.xml"/></Relationships>
</file>

<file path=xl/worksheets/_rels/sheet36.xml.rels><?xml version="1.0" encoding="UTF-8" standalone="yes"?>
<Relationships xmlns="http://schemas.openxmlformats.org/package/2006/relationships"><Relationship Id="rId3" Type="http://schemas.openxmlformats.org/officeDocument/2006/relationships/hyperlink" Target="https://colombiacompra.gov.co/sites/cce_public/files/cce_documents/cce_guia_elaboracion_estudios.pdf" TargetMode="External"/><Relationship Id="rId7" Type="http://schemas.openxmlformats.org/officeDocument/2006/relationships/drawing" Target="../drawings/drawing27.xml"/><Relationship Id="rId2" Type="http://schemas.openxmlformats.org/officeDocument/2006/relationships/hyperlink" Target="https://colombiacompra.gov.co/manuales-guias-y-pliegos-tipo/manuales-y-guias/guia-para-el-manejo-de-ofertas-artificialmente-bajas" TargetMode="External"/><Relationship Id="rId1" Type="http://schemas.openxmlformats.org/officeDocument/2006/relationships/hyperlink" Target="https://colombiacompra.gov.co/manuales-guias-y-pliegos-tipo/manuales-y-guias/manual-para-determinar-y-verificar-los-requisitos" TargetMode="External"/><Relationship Id="rId6" Type="http://schemas.openxmlformats.org/officeDocument/2006/relationships/printerSettings" Target="../printerSettings/printerSettings35.bin"/><Relationship Id="rId5" Type="http://schemas.openxmlformats.org/officeDocument/2006/relationships/hyperlink" Target="https://colombiacompra.gov.co/manuales-guias-y-pliegos-tipo/manuales-y-guias/guia-para-determinar-y-verificar-la-capacidad" TargetMode="External"/><Relationship Id="rId4" Type="http://schemas.openxmlformats.org/officeDocument/2006/relationships/hyperlink" Target="https://colombiacompra.gov.co/sites/cce_public/files/cce_documents/cce_guia_esal.pdf" TargetMode="External"/></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9.xml"/><Relationship Id="rId1" Type="http://schemas.openxmlformats.org/officeDocument/2006/relationships/printerSettings" Target="../printerSettings/printerSettings37.bin"/><Relationship Id="rId4" Type="http://schemas.openxmlformats.org/officeDocument/2006/relationships/comments" Target="../comments23.xml"/></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3" Type="http://schemas.openxmlformats.org/officeDocument/2006/relationships/drawing" Target="../drawings/drawing31.xml"/><Relationship Id="rId2" Type="http://schemas.openxmlformats.org/officeDocument/2006/relationships/printerSettings" Target="../printerSettings/printerSettings39.bin"/><Relationship Id="rId1" Type="http://schemas.openxmlformats.org/officeDocument/2006/relationships/hyperlink" Target="https://www.gerencie.com/impuesto-a-las-ventas." TargetMode="External"/></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0" tint="-0.249977111117893"/>
    <pageSetUpPr fitToPage="1"/>
  </sheetPr>
  <dimension ref="A1:L75"/>
  <sheetViews>
    <sheetView showGridLines="0" zoomScaleNormal="100" workbookViewId="0">
      <selection activeCell="G4" sqref="G4"/>
    </sheetView>
  </sheetViews>
  <sheetFormatPr baseColWidth="10" defaultColWidth="18.83203125" defaultRowHeight="18" customHeight="1" x14ac:dyDescent="0.2"/>
  <cols>
    <col min="1" max="1" width="13.6640625" style="537" customWidth="1"/>
    <col min="2" max="2" width="17.6640625" style="537" customWidth="1"/>
    <col min="3" max="3" width="14" style="537" customWidth="1"/>
    <col min="4" max="8" width="18.83203125" style="537"/>
    <col min="9" max="11" width="16.83203125" style="537" customWidth="1"/>
    <col min="12" max="12" width="38.83203125" style="537" customWidth="1"/>
    <col min="13" max="16384" width="18.83203125" style="537"/>
  </cols>
  <sheetData>
    <row r="1" spans="1:11" ht="18" customHeight="1" x14ac:dyDescent="0.2">
      <c r="A1" s="1006"/>
      <c r="B1" s="1007"/>
      <c r="C1" s="1007" t="s">
        <v>0</v>
      </c>
      <c r="D1" s="1007"/>
      <c r="E1" s="1007"/>
      <c r="F1" s="1007"/>
      <c r="G1" s="1007"/>
      <c r="H1" s="1007"/>
      <c r="I1" s="1007"/>
      <c r="J1" s="1007"/>
      <c r="K1" s="1015"/>
    </row>
    <row r="2" spans="1:11" ht="18" customHeight="1" x14ac:dyDescent="0.2">
      <c r="A2" s="1008"/>
      <c r="B2" s="1009"/>
      <c r="C2" s="1009" t="s">
        <v>1</v>
      </c>
      <c r="D2" s="1009"/>
      <c r="E2" s="1009"/>
      <c r="F2" s="1009"/>
      <c r="G2" s="1009"/>
      <c r="H2" s="1009"/>
      <c r="I2" s="1009"/>
      <c r="J2" s="1009"/>
      <c r="K2" s="1016"/>
    </row>
    <row r="3" spans="1:11" ht="18" customHeight="1" thickBot="1" x14ac:dyDescent="0.25">
      <c r="A3" s="1010"/>
      <c r="B3" s="1011"/>
      <c r="C3" s="1011" t="s">
        <v>2</v>
      </c>
      <c r="D3" s="1011"/>
      <c r="E3" s="1011"/>
      <c r="F3" s="1011"/>
      <c r="G3" s="1011" t="s">
        <v>3</v>
      </c>
      <c r="H3" s="1011"/>
      <c r="I3" s="1011"/>
      <c r="J3" s="1011"/>
      <c r="K3" s="1017"/>
    </row>
    <row r="4" spans="1:11" ht="18" customHeight="1" thickBot="1" x14ac:dyDescent="0.25"/>
    <row r="5" spans="1:11" ht="18" customHeight="1" thickBot="1" x14ac:dyDescent="0.25">
      <c r="A5" s="538" t="s">
        <v>4</v>
      </c>
      <c r="B5" s="539" t="s">
        <v>5</v>
      </c>
      <c r="D5" s="538" t="s">
        <v>4</v>
      </c>
      <c r="E5" s="539" t="s">
        <v>6</v>
      </c>
    </row>
    <row r="6" spans="1:11" ht="18" customHeight="1" thickBot="1" x14ac:dyDescent="0.25">
      <c r="A6" s="721" t="s">
        <v>7</v>
      </c>
      <c r="B6" s="722" t="s">
        <v>8</v>
      </c>
      <c r="D6" s="727" t="s">
        <v>9</v>
      </c>
      <c r="E6" s="728" t="s">
        <v>10</v>
      </c>
    </row>
    <row r="7" spans="1:11" ht="18" customHeight="1" x14ac:dyDescent="0.2">
      <c r="A7" s="723" t="s">
        <v>11</v>
      </c>
      <c r="B7" s="724" t="s">
        <v>12</v>
      </c>
    </row>
    <row r="8" spans="1:11" ht="18" customHeight="1" thickBot="1" x14ac:dyDescent="0.25">
      <c r="A8" s="725" t="s">
        <v>13</v>
      </c>
      <c r="B8" s="726" t="s">
        <v>14</v>
      </c>
    </row>
    <row r="9" spans="1:11" ht="18" customHeight="1" thickBot="1" x14ac:dyDescent="0.25"/>
    <row r="10" spans="1:11" ht="67.5" customHeight="1" thickBot="1" x14ac:dyDescent="0.25">
      <c r="A10" s="1018" t="s">
        <v>15</v>
      </c>
      <c r="B10" s="1019"/>
      <c r="C10" s="1019"/>
      <c r="D10" s="1019"/>
      <c r="E10" s="1019"/>
      <c r="F10" s="1019"/>
      <c r="G10" s="1019"/>
      <c r="H10" s="1019"/>
      <c r="I10" s="1019"/>
      <c r="J10" s="1019"/>
      <c r="K10" s="1020"/>
    </row>
    <row r="11" spans="1:11" ht="18" customHeight="1" thickBot="1" x14ac:dyDescent="0.25"/>
    <row r="12" spans="1:11" ht="20.100000000000001" customHeight="1" x14ac:dyDescent="0.2">
      <c r="A12" s="1021" t="s">
        <v>16</v>
      </c>
      <c r="B12" s="1022"/>
      <c r="C12" s="1022"/>
      <c r="D12" s="1022"/>
      <c r="E12" s="1022"/>
      <c r="F12" s="1022"/>
      <c r="G12" s="1022"/>
      <c r="H12" s="1023"/>
    </row>
    <row r="13" spans="1:11" ht="20.100000000000001" customHeight="1" x14ac:dyDescent="0.2">
      <c r="A13" s="1012" t="s">
        <v>17</v>
      </c>
      <c r="B13" s="1013"/>
      <c r="C13" s="1013"/>
      <c r="D13" s="1013" t="s">
        <v>18</v>
      </c>
      <c r="E13" s="1013"/>
      <c r="F13" s="1013"/>
      <c r="G13" s="1013"/>
      <c r="H13" s="1014"/>
    </row>
    <row r="14" spans="1:11" ht="45.75" customHeight="1" x14ac:dyDescent="0.2">
      <c r="A14" s="973" t="s">
        <v>19</v>
      </c>
      <c r="B14" s="974"/>
      <c r="C14" s="974"/>
      <c r="D14" s="975" t="s">
        <v>20</v>
      </c>
      <c r="E14" s="975"/>
      <c r="F14" s="975"/>
      <c r="G14" s="975"/>
      <c r="H14" s="976"/>
    </row>
    <row r="15" spans="1:11" ht="93" customHeight="1" x14ac:dyDescent="0.2">
      <c r="A15" s="973" t="s">
        <v>21</v>
      </c>
      <c r="B15" s="974"/>
      <c r="C15" s="974"/>
      <c r="D15" s="975" t="s">
        <v>22</v>
      </c>
      <c r="E15" s="975"/>
      <c r="F15" s="975"/>
      <c r="G15" s="975"/>
      <c r="H15" s="976"/>
    </row>
    <row r="16" spans="1:11" ht="44.25" customHeight="1" x14ac:dyDescent="0.2">
      <c r="A16" s="973" t="s">
        <v>23</v>
      </c>
      <c r="B16" s="974"/>
      <c r="C16" s="974"/>
      <c r="D16" s="975" t="s">
        <v>24</v>
      </c>
      <c r="E16" s="975"/>
      <c r="F16" s="975"/>
      <c r="G16" s="975"/>
      <c r="H16" s="976"/>
    </row>
    <row r="17" spans="1:12" ht="54" customHeight="1" x14ac:dyDescent="0.2">
      <c r="A17" s="973" t="s">
        <v>25</v>
      </c>
      <c r="B17" s="974"/>
      <c r="C17" s="974"/>
      <c r="D17" s="975" t="s">
        <v>26</v>
      </c>
      <c r="E17" s="975"/>
      <c r="F17" s="975"/>
      <c r="G17" s="975"/>
      <c r="H17" s="976"/>
    </row>
    <row r="18" spans="1:12" ht="54" customHeight="1" x14ac:dyDescent="0.2">
      <c r="A18" s="988" t="s">
        <v>27</v>
      </c>
      <c r="B18" s="989"/>
      <c r="C18" s="989"/>
      <c r="D18" s="975" t="s">
        <v>28</v>
      </c>
      <c r="E18" s="975"/>
      <c r="F18" s="975"/>
      <c r="G18" s="975"/>
      <c r="H18" s="976"/>
    </row>
    <row r="19" spans="1:12" ht="32.25" customHeight="1" x14ac:dyDescent="0.2">
      <c r="A19" s="973" t="s">
        <v>29</v>
      </c>
      <c r="B19" s="974"/>
      <c r="C19" s="974"/>
      <c r="D19" s="975" t="s">
        <v>30</v>
      </c>
      <c r="E19" s="975"/>
      <c r="F19" s="975"/>
      <c r="G19" s="975"/>
      <c r="H19" s="976"/>
    </row>
    <row r="20" spans="1:12" ht="54.75" customHeight="1" x14ac:dyDescent="0.2">
      <c r="A20" s="986" t="s">
        <v>31</v>
      </c>
      <c r="B20" s="987"/>
      <c r="C20" s="987"/>
      <c r="D20" s="975" t="s">
        <v>32</v>
      </c>
      <c r="E20" s="975"/>
      <c r="F20" s="975"/>
      <c r="G20" s="975"/>
      <c r="H20" s="976"/>
    </row>
    <row r="21" spans="1:12" ht="36" customHeight="1" thickBot="1" x14ac:dyDescent="0.25">
      <c r="A21" s="1002" t="s">
        <v>33</v>
      </c>
      <c r="B21" s="1003"/>
      <c r="C21" s="1003"/>
      <c r="D21" s="980" t="s">
        <v>34</v>
      </c>
      <c r="E21" s="980"/>
      <c r="F21" s="980"/>
      <c r="G21" s="980"/>
      <c r="H21" s="981"/>
    </row>
    <row r="22" spans="1:12" ht="18" customHeight="1" thickBot="1" x14ac:dyDescent="0.25"/>
    <row r="23" spans="1:12" ht="20.100000000000001" customHeight="1" x14ac:dyDescent="0.2">
      <c r="A23" s="1000" t="s">
        <v>35</v>
      </c>
      <c r="B23" s="1001"/>
      <c r="C23" s="1001"/>
      <c r="D23" s="1001"/>
      <c r="E23" s="1001"/>
      <c r="F23" s="1001"/>
      <c r="G23" s="1001"/>
      <c r="H23" s="1001"/>
      <c r="I23" s="1001" t="s">
        <v>36</v>
      </c>
      <c r="J23" s="1001"/>
      <c r="K23" s="1005"/>
    </row>
    <row r="24" spans="1:12" ht="38.25" customHeight="1" thickBot="1" x14ac:dyDescent="0.25">
      <c r="A24" s="1004" t="s">
        <v>17</v>
      </c>
      <c r="B24" s="982"/>
      <c r="C24" s="982"/>
      <c r="D24" s="982" t="s">
        <v>18</v>
      </c>
      <c r="E24" s="982"/>
      <c r="F24" s="982"/>
      <c r="G24" s="982"/>
      <c r="H24" s="982"/>
      <c r="I24" s="540" t="s">
        <v>37</v>
      </c>
      <c r="J24" s="540" t="s">
        <v>38</v>
      </c>
      <c r="K24" s="541" t="s">
        <v>39</v>
      </c>
    </row>
    <row r="25" spans="1:12" ht="20.100000000000001" customHeight="1" x14ac:dyDescent="0.2">
      <c r="A25" s="983" t="s">
        <v>40</v>
      </c>
      <c r="B25" s="984"/>
      <c r="C25" s="984"/>
      <c r="D25" s="984"/>
      <c r="E25" s="984"/>
      <c r="F25" s="984"/>
      <c r="G25" s="984"/>
      <c r="H25" s="984"/>
      <c r="I25" s="984"/>
      <c r="J25" s="984"/>
      <c r="K25" s="985"/>
    </row>
    <row r="26" spans="1:12" ht="78" customHeight="1" x14ac:dyDescent="0.2">
      <c r="A26" s="977" t="s">
        <v>41</v>
      </c>
      <c r="B26" s="978"/>
      <c r="C26" s="978"/>
      <c r="D26" s="978"/>
      <c r="E26" s="978"/>
      <c r="F26" s="978"/>
      <c r="G26" s="978"/>
      <c r="H26" s="978"/>
      <c r="I26" s="978"/>
      <c r="J26" s="978"/>
      <c r="K26" s="979"/>
    </row>
    <row r="27" spans="1:12" ht="42.75" customHeight="1" x14ac:dyDescent="0.2">
      <c r="A27" s="990" t="s">
        <v>42</v>
      </c>
      <c r="B27" s="991"/>
      <c r="C27" s="991"/>
      <c r="D27" s="975" t="s">
        <v>43</v>
      </c>
      <c r="E27" s="975"/>
      <c r="F27" s="975"/>
      <c r="G27" s="975"/>
      <c r="H27" s="975"/>
      <c r="I27" s="542" t="s">
        <v>44</v>
      </c>
      <c r="J27" s="542" t="s">
        <v>44</v>
      </c>
      <c r="K27" s="543" t="s">
        <v>44</v>
      </c>
    </row>
    <row r="28" spans="1:12" ht="66" customHeight="1" x14ac:dyDescent="0.2">
      <c r="A28" s="989" t="s">
        <v>45</v>
      </c>
      <c r="B28" s="989"/>
      <c r="C28" s="989"/>
      <c r="D28" s="975" t="s">
        <v>46</v>
      </c>
      <c r="E28" s="975"/>
      <c r="F28" s="975"/>
      <c r="G28" s="975"/>
      <c r="H28" s="975"/>
      <c r="I28" s="542" t="s">
        <v>44</v>
      </c>
      <c r="J28" s="542"/>
      <c r="K28" s="543"/>
      <c r="L28" s="544"/>
    </row>
    <row r="29" spans="1:12" ht="45" customHeight="1" x14ac:dyDescent="0.2">
      <c r="A29" s="990" t="s">
        <v>47</v>
      </c>
      <c r="B29" s="991"/>
      <c r="C29" s="991"/>
      <c r="D29" s="975" t="s">
        <v>48</v>
      </c>
      <c r="E29" s="975"/>
      <c r="F29" s="975"/>
      <c r="G29" s="975"/>
      <c r="H29" s="975"/>
      <c r="I29" s="542" t="s">
        <v>44</v>
      </c>
      <c r="J29" s="542" t="s">
        <v>44</v>
      </c>
      <c r="K29" s="543"/>
    </row>
    <row r="30" spans="1:12" ht="55.5" customHeight="1" x14ac:dyDescent="0.2">
      <c r="A30" s="989" t="s">
        <v>49</v>
      </c>
      <c r="B30" s="989"/>
      <c r="C30" s="989"/>
      <c r="D30" s="975" t="s">
        <v>50</v>
      </c>
      <c r="E30" s="975"/>
      <c r="F30" s="975"/>
      <c r="G30" s="975"/>
      <c r="H30" s="975"/>
      <c r="I30" s="542" t="s">
        <v>44</v>
      </c>
      <c r="J30" s="542"/>
      <c r="K30" s="543"/>
      <c r="L30" s="544"/>
    </row>
    <row r="31" spans="1:12" ht="42" customHeight="1" x14ac:dyDescent="0.2">
      <c r="A31" s="990" t="s">
        <v>51</v>
      </c>
      <c r="B31" s="991"/>
      <c r="C31" s="991"/>
      <c r="D31" s="975" t="s">
        <v>52</v>
      </c>
      <c r="E31" s="975"/>
      <c r="F31" s="975"/>
      <c r="G31" s="975"/>
      <c r="H31" s="975"/>
      <c r="I31" s="542"/>
      <c r="J31" s="542"/>
      <c r="K31" s="543" t="s">
        <v>44</v>
      </c>
    </row>
    <row r="32" spans="1:12" ht="169.5" customHeight="1" x14ac:dyDescent="0.2">
      <c r="A32" s="990" t="s">
        <v>53</v>
      </c>
      <c r="B32" s="991"/>
      <c r="C32" s="991"/>
      <c r="D32" s="975" t="s">
        <v>54</v>
      </c>
      <c r="E32" s="975"/>
      <c r="F32" s="975"/>
      <c r="G32" s="975"/>
      <c r="H32" s="975"/>
      <c r="I32" s="1031" t="s">
        <v>55</v>
      </c>
      <c r="J32" s="1032"/>
      <c r="K32" s="1033"/>
    </row>
    <row r="33" spans="1:11" ht="133.5" customHeight="1" x14ac:dyDescent="0.2">
      <c r="A33" s="990" t="s">
        <v>56</v>
      </c>
      <c r="B33" s="991"/>
      <c r="C33" s="991"/>
      <c r="D33" s="975" t="s">
        <v>57</v>
      </c>
      <c r="E33" s="975"/>
      <c r="F33" s="975"/>
      <c r="G33" s="975"/>
      <c r="H33" s="975"/>
      <c r="I33" s="1034"/>
      <c r="J33" s="1035"/>
      <c r="K33" s="1036"/>
    </row>
    <row r="34" spans="1:11" ht="162.75" customHeight="1" x14ac:dyDescent="0.2">
      <c r="A34" s="990" t="s">
        <v>58</v>
      </c>
      <c r="B34" s="991"/>
      <c r="C34" s="991"/>
      <c r="D34" s="975" t="s">
        <v>59</v>
      </c>
      <c r="E34" s="975"/>
      <c r="F34" s="975"/>
      <c r="G34" s="975"/>
      <c r="H34" s="975"/>
      <c r="I34" s="1037"/>
      <c r="J34" s="1038"/>
      <c r="K34" s="1039"/>
    </row>
    <row r="35" spans="1:11" ht="225.75" customHeight="1" x14ac:dyDescent="0.2">
      <c r="A35" s="990" t="s">
        <v>60</v>
      </c>
      <c r="B35" s="991"/>
      <c r="C35" s="991"/>
      <c r="D35" s="975" t="s">
        <v>61</v>
      </c>
      <c r="E35" s="975"/>
      <c r="F35" s="975"/>
      <c r="G35" s="975"/>
      <c r="H35" s="975"/>
      <c r="I35" s="542" t="s">
        <v>44</v>
      </c>
      <c r="J35" s="542" t="s">
        <v>44</v>
      </c>
      <c r="K35" s="543" t="s">
        <v>44</v>
      </c>
    </row>
    <row r="36" spans="1:11" ht="42" customHeight="1" x14ac:dyDescent="0.2">
      <c r="A36" s="990" t="s">
        <v>62</v>
      </c>
      <c r="B36" s="991"/>
      <c r="C36" s="991"/>
      <c r="D36" s="975" t="s">
        <v>63</v>
      </c>
      <c r="E36" s="975"/>
      <c r="F36" s="975"/>
      <c r="G36" s="975"/>
      <c r="H36" s="975"/>
      <c r="I36" s="542" t="s">
        <v>44</v>
      </c>
      <c r="J36" s="542" t="s">
        <v>44</v>
      </c>
      <c r="K36" s="543" t="s">
        <v>44</v>
      </c>
    </row>
    <row r="37" spans="1:11" ht="18" customHeight="1" x14ac:dyDescent="0.2">
      <c r="A37" s="998" t="s">
        <v>64</v>
      </c>
      <c r="B37" s="999"/>
      <c r="C37" s="999"/>
      <c r="D37" s="975" t="s">
        <v>65</v>
      </c>
      <c r="E37" s="975"/>
      <c r="F37" s="975"/>
      <c r="G37" s="975"/>
      <c r="H37" s="975"/>
      <c r="I37" s="542"/>
      <c r="J37" s="542" t="s">
        <v>44</v>
      </c>
      <c r="K37" s="543"/>
    </row>
    <row r="38" spans="1:11" ht="20.100000000000001" customHeight="1" x14ac:dyDescent="0.2">
      <c r="A38" s="995" t="s">
        <v>66</v>
      </c>
      <c r="B38" s="996"/>
      <c r="C38" s="996"/>
      <c r="D38" s="996"/>
      <c r="E38" s="996"/>
      <c r="F38" s="996"/>
      <c r="G38" s="996"/>
      <c r="H38" s="996"/>
      <c r="I38" s="996"/>
      <c r="J38" s="996"/>
      <c r="K38" s="997"/>
    </row>
    <row r="39" spans="1:11" ht="45" customHeight="1" x14ac:dyDescent="0.2">
      <c r="A39" s="990" t="s">
        <v>67</v>
      </c>
      <c r="B39" s="991"/>
      <c r="C39" s="991"/>
      <c r="D39" s="975" t="s">
        <v>68</v>
      </c>
      <c r="E39" s="975"/>
      <c r="F39" s="975"/>
      <c r="G39" s="975"/>
      <c r="H39" s="975"/>
      <c r="I39" s="542"/>
      <c r="J39" s="542" t="s">
        <v>44</v>
      </c>
      <c r="K39" s="543"/>
    </row>
    <row r="40" spans="1:11" ht="45" customHeight="1" x14ac:dyDescent="0.2">
      <c r="A40" s="990" t="s">
        <v>69</v>
      </c>
      <c r="B40" s="991"/>
      <c r="C40" s="991"/>
      <c r="D40" s="975" t="s">
        <v>70</v>
      </c>
      <c r="E40" s="975"/>
      <c r="F40" s="975"/>
      <c r="G40" s="975"/>
      <c r="H40" s="975"/>
      <c r="I40" s="542"/>
      <c r="J40" s="542" t="s">
        <v>44</v>
      </c>
      <c r="K40" s="543"/>
    </row>
    <row r="41" spans="1:11" ht="42.75" customHeight="1" x14ac:dyDescent="0.2">
      <c r="A41" s="990" t="s">
        <v>71</v>
      </c>
      <c r="B41" s="991"/>
      <c r="C41" s="991"/>
      <c r="D41" s="975" t="s">
        <v>72</v>
      </c>
      <c r="E41" s="975"/>
      <c r="F41" s="975"/>
      <c r="G41" s="975"/>
      <c r="H41" s="975"/>
      <c r="I41" s="542"/>
      <c r="J41" s="542" t="s">
        <v>44</v>
      </c>
      <c r="K41" s="543"/>
    </row>
    <row r="42" spans="1:11" ht="30" customHeight="1" x14ac:dyDescent="0.2">
      <c r="A42" s="998" t="s">
        <v>73</v>
      </c>
      <c r="B42" s="999"/>
      <c r="C42" s="999"/>
      <c r="D42" s="975" t="s">
        <v>74</v>
      </c>
      <c r="E42" s="975"/>
      <c r="F42" s="975"/>
      <c r="G42" s="975"/>
      <c r="H42" s="975"/>
      <c r="I42" s="542"/>
      <c r="J42" s="542" t="s">
        <v>44</v>
      </c>
      <c r="K42" s="543"/>
    </row>
    <row r="43" spans="1:11" ht="20.100000000000001" customHeight="1" x14ac:dyDescent="0.2">
      <c r="A43" s="995" t="s">
        <v>75</v>
      </c>
      <c r="B43" s="996"/>
      <c r="C43" s="996"/>
      <c r="D43" s="996"/>
      <c r="E43" s="996"/>
      <c r="F43" s="996"/>
      <c r="G43" s="996"/>
      <c r="H43" s="996"/>
      <c r="I43" s="996"/>
      <c r="J43" s="996"/>
      <c r="K43" s="997"/>
    </row>
    <row r="44" spans="1:11" ht="45.75" customHeight="1" x14ac:dyDescent="0.2">
      <c r="A44" s="990" t="s">
        <v>76</v>
      </c>
      <c r="B44" s="991"/>
      <c r="C44" s="991"/>
      <c r="D44" s="975" t="s">
        <v>77</v>
      </c>
      <c r="E44" s="975"/>
      <c r="F44" s="975"/>
      <c r="G44" s="975"/>
      <c r="H44" s="975"/>
      <c r="I44" s="542"/>
      <c r="J44" s="542" t="s">
        <v>44</v>
      </c>
      <c r="K44" s="543"/>
    </row>
    <row r="45" spans="1:11" ht="42" customHeight="1" x14ac:dyDescent="0.2">
      <c r="A45" s="998" t="s">
        <v>78</v>
      </c>
      <c r="B45" s="999"/>
      <c r="C45" s="999"/>
      <c r="D45" s="975" t="s">
        <v>79</v>
      </c>
      <c r="E45" s="975"/>
      <c r="F45" s="975"/>
      <c r="G45" s="975"/>
      <c r="H45" s="975"/>
      <c r="I45" s="542"/>
      <c r="J45" s="542" t="s">
        <v>44</v>
      </c>
      <c r="K45" s="543"/>
    </row>
    <row r="46" spans="1:11" ht="20.100000000000001" customHeight="1" x14ac:dyDescent="0.2">
      <c r="A46" s="995" t="s">
        <v>80</v>
      </c>
      <c r="B46" s="996"/>
      <c r="C46" s="996"/>
      <c r="D46" s="996"/>
      <c r="E46" s="996"/>
      <c r="F46" s="996"/>
      <c r="G46" s="996"/>
      <c r="H46" s="996"/>
      <c r="I46" s="996"/>
      <c r="J46" s="996"/>
      <c r="K46" s="997"/>
    </row>
    <row r="47" spans="1:11" ht="21" customHeight="1" x14ac:dyDescent="0.2">
      <c r="A47" s="990" t="s">
        <v>81</v>
      </c>
      <c r="B47" s="991"/>
      <c r="C47" s="991"/>
      <c r="D47" s="975" t="s">
        <v>82</v>
      </c>
      <c r="E47" s="975"/>
      <c r="F47" s="975"/>
      <c r="G47" s="975"/>
      <c r="H47" s="975"/>
      <c r="I47" s="542"/>
      <c r="J47" s="542" t="s">
        <v>44</v>
      </c>
      <c r="K47" s="543"/>
    </row>
    <row r="48" spans="1:11" ht="20.25" customHeight="1" x14ac:dyDescent="0.2">
      <c r="A48" s="990" t="s">
        <v>83</v>
      </c>
      <c r="B48" s="991"/>
      <c r="C48" s="991"/>
      <c r="D48" s="975" t="s">
        <v>84</v>
      </c>
      <c r="E48" s="975"/>
      <c r="F48" s="975"/>
      <c r="G48" s="975"/>
      <c r="H48" s="975"/>
      <c r="I48" s="542"/>
      <c r="J48" s="542" t="s">
        <v>44</v>
      </c>
      <c r="K48" s="543"/>
    </row>
    <row r="49" spans="1:12" ht="32.25" customHeight="1" x14ac:dyDescent="0.2">
      <c r="A49" s="990" t="s">
        <v>85</v>
      </c>
      <c r="B49" s="991"/>
      <c r="C49" s="991"/>
      <c r="D49" s="975" t="s">
        <v>86</v>
      </c>
      <c r="E49" s="975"/>
      <c r="F49" s="975"/>
      <c r="G49" s="975"/>
      <c r="H49" s="975"/>
      <c r="I49" s="542"/>
      <c r="J49" s="542" t="s">
        <v>44</v>
      </c>
      <c r="K49" s="543"/>
    </row>
    <row r="50" spans="1:12" ht="32.25" customHeight="1" thickBot="1" x14ac:dyDescent="0.25">
      <c r="A50" s="1024" t="s">
        <v>87</v>
      </c>
      <c r="B50" s="1025"/>
      <c r="C50" s="1025"/>
      <c r="D50" s="980" t="s">
        <v>86</v>
      </c>
      <c r="E50" s="980"/>
      <c r="F50" s="980"/>
      <c r="G50" s="980"/>
      <c r="H50" s="980"/>
      <c r="I50" s="545"/>
      <c r="J50" s="545" t="s">
        <v>44</v>
      </c>
      <c r="K50" s="546"/>
    </row>
    <row r="51" spans="1:12" ht="18" customHeight="1" thickBot="1" x14ac:dyDescent="0.25">
      <c r="A51" s="547"/>
      <c r="B51" s="547"/>
      <c r="C51" s="547"/>
    </row>
    <row r="52" spans="1:12" ht="20.100000000000001" customHeight="1" x14ac:dyDescent="0.2">
      <c r="A52" s="1026" t="s">
        <v>88</v>
      </c>
      <c r="B52" s="1027"/>
      <c r="C52" s="1027"/>
      <c r="D52" s="1027"/>
      <c r="E52" s="1027"/>
      <c r="F52" s="1027"/>
      <c r="G52" s="1027"/>
      <c r="H52" s="1028"/>
    </row>
    <row r="53" spans="1:12" ht="20.100000000000001" customHeight="1" thickBot="1" x14ac:dyDescent="0.25">
      <c r="A53" s="1029" t="s">
        <v>17</v>
      </c>
      <c r="B53" s="1030"/>
      <c r="C53" s="1030"/>
      <c r="D53" s="1030" t="s">
        <v>18</v>
      </c>
      <c r="E53" s="1030"/>
      <c r="F53" s="1030"/>
      <c r="G53" s="1030"/>
      <c r="H53" s="1040"/>
    </row>
    <row r="54" spans="1:12" ht="41.25" customHeight="1" x14ac:dyDescent="0.2">
      <c r="A54" s="1041" t="s">
        <v>89</v>
      </c>
      <c r="B54" s="1042"/>
      <c r="C54" s="1042"/>
      <c r="D54" s="1043" t="s">
        <v>90</v>
      </c>
      <c r="E54" s="1043"/>
      <c r="F54" s="1043"/>
      <c r="G54" s="1043"/>
      <c r="H54" s="1044"/>
    </row>
    <row r="55" spans="1:12" ht="33" customHeight="1" x14ac:dyDescent="0.2">
      <c r="A55" s="990" t="s">
        <v>91</v>
      </c>
      <c r="B55" s="991"/>
      <c r="C55" s="991"/>
      <c r="D55" s="975" t="s">
        <v>92</v>
      </c>
      <c r="E55" s="975"/>
      <c r="F55" s="975"/>
      <c r="G55" s="975"/>
      <c r="H55" s="976"/>
    </row>
    <row r="56" spans="1:12" ht="29.25" customHeight="1" x14ac:dyDescent="0.2">
      <c r="A56" s="990" t="s">
        <v>93</v>
      </c>
      <c r="B56" s="991"/>
      <c r="C56" s="991"/>
      <c r="D56" s="975" t="s">
        <v>94</v>
      </c>
      <c r="E56" s="975"/>
      <c r="F56" s="975"/>
      <c r="G56" s="975"/>
      <c r="H56" s="976"/>
    </row>
    <row r="57" spans="1:12" ht="44.25" customHeight="1" x14ac:dyDescent="0.2">
      <c r="A57" s="990" t="s">
        <v>95</v>
      </c>
      <c r="B57" s="991"/>
      <c r="C57" s="991"/>
      <c r="D57" s="975" t="s">
        <v>96</v>
      </c>
      <c r="E57" s="975"/>
      <c r="F57" s="975"/>
      <c r="G57" s="975"/>
      <c r="H57" s="976"/>
    </row>
    <row r="58" spans="1:12" ht="32.25" customHeight="1" x14ac:dyDescent="0.2">
      <c r="A58" s="990" t="s">
        <v>97</v>
      </c>
      <c r="B58" s="991"/>
      <c r="C58" s="991"/>
      <c r="D58" s="975" t="s">
        <v>98</v>
      </c>
      <c r="E58" s="975"/>
      <c r="F58" s="975"/>
      <c r="G58" s="975"/>
      <c r="H58" s="976"/>
    </row>
    <row r="59" spans="1:12" ht="33" customHeight="1" thickBot="1" x14ac:dyDescent="0.25">
      <c r="A59" s="1024" t="s">
        <v>99</v>
      </c>
      <c r="B59" s="1025"/>
      <c r="C59" s="1025"/>
      <c r="D59" s="980" t="s">
        <v>100</v>
      </c>
      <c r="E59" s="980"/>
      <c r="F59" s="980"/>
      <c r="G59" s="980"/>
      <c r="H59" s="981"/>
    </row>
    <row r="60" spans="1:12" ht="18" customHeight="1" thickBot="1" x14ac:dyDescent="0.25">
      <c r="A60" s="544"/>
      <c r="B60" s="544"/>
      <c r="C60" s="544"/>
      <c r="D60" s="544"/>
      <c r="E60" s="544"/>
      <c r="F60" s="544"/>
      <c r="G60" s="544"/>
      <c r="H60" s="544"/>
    </row>
    <row r="61" spans="1:12" ht="67.5" customHeight="1" thickBot="1" x14ac:dyDescent="0.25">
      <c r="A61" s="992" t="s">
        <v>101</v>
      </c>
      <c r="B61" s="993"/>
      <c r="C61" s="993"/>
      <c r="D61" s="993"/>
      <c r="E61" s="993"/>
      <c r="F61" s="993"/>
      <c r="G61" s="993"/>
      <c r="H61" s="993"/>
      <c r="I61" s="993"/>
      <c r="J61" s="993"/>
      <c r="K61" s="994"/>
    </row>
    <row r="62" spans="1:12" ht="126" customHeight="1" thickBot="1" x14ac:dyDescent="0.25">
      <c r="A62" s="992" t="s">
        <v>102</v>
      </c>
      <c r="B62" s="993"/>
      <c r="C62" s="993"/>
      <c r="D62" s="993"/>
      <c r="E62" s="993"/>
      <c r="F62" s="993"/>
      <c r="G62" s="993"/>
      <c r="H62" s="993"/>
      <c r="I62" s="993"/>
      <c r="J62" s="993"/>
      <c r="K62" s="994"/>
      <c r="L62" s="547"/>
    </row>
    <row r="63" spans="1:12" ht="76.5" customHeight="1" thickBot="1" x14ac:dyDescent="0.25">
      <c r="A63" s="992" t="s">
        <v>103</v>
      </c>
      <c r="B63" s="993"/>
      <c r="C63" s="993"/>
      <c r="D63" s="993"/>
      <c r="E63" s="993"/>
      <c r="F63" s="993"/>
      <c r="G63" s="993"/>
      <c r="H63" s="993"/>
      <c r="I63" s="993"/>
      <c r="J63" s="993"/>
      <c r="K63" s="994"/>
    </row>
    <row r="64" spans="1:12" ht="18" customHeight="1" x14ac:dyDescent="0.2">
      <c r="B64" s="544"/>
      <c r="C64" s="544"/>
      <c r="D64" s="544"/>
      <c r="E64" s="544"/>
      <c r="F64" s="544"/>
      <c r="G64" s="544"/>
      <c r="H64" s="544"/>
    </row>
    <row r="65" spans="1:8" ht="18" customHeight="1" x14ac:dyDescent="0.2">
      <c r="A65" s="544"/>
      <c r="B65" s="544"/>
      <c r="C65" s="544"/>
      <c r="D65" s="544"/>
      <c r="E65" s="544"/>
      <c r="F65" s="544"/>
      <c r="G65" s="544"/>
      <c r="H65" s="544"/>
    </row>
    <row r="66" spans="1:8" ht="18" customHeight="1" x14ac:dyDescent="0.2">
      <c r="A66" s="544"/>
      <c r="B66" s="544"/>
      <c r="C66" s="544"/>
      <c r="D66" s="544"/>
      <c r="E66" s="544"/>
      <c r="F66" s="544"/>
      <c r="G66" s="544"/>
      <c r="H66" s="544"/>
    </row>
    <row r="67" spans="1:8" ht="18" customHeight="1" x14ac:dyDescent="0.2">
      <c r="A67" s="544"/>
      <c r="B67" s="544"/>
      <c r="C67" s="544"/>
      <c r="D67" s="544"/>
      <c r="E67" s="544"/>
      <c r="F67" s="544"/>
      <c r="G67" s="544"/>
      <c r="H67" s="544"/>
    </row>
    <row r="68" spans="1:8" ht="18" customHeight="1" x14ac:dyDescent="0.2">
      <c r="A68" s="544"/>
      <c r="B68" s="544"/>
      <c r="C68" s="544"/>
      <c r="D68" s="544"/>
      <c r="E68" s="544"/>
      <c r="F68" s="544"/>
      <c r="G68" s="544"/>
      <c r="H68" s="544"/>
    </row>
    <row r="69" spans="1:8" ht="18" customHeight="1" x14ac:dyDescent="0.2">
      <c r="A69" s="544"/>
      <c r="B69" s="544"/>
      <c r="C69" s="544"/>
      <c r="D69" s="544"/>
      <c r="E69" s="544"/>
      <c r="F69" s="544"/>
      <c r="G69" s="544"/>
      <c r="H69" s="544"/>
    </row>
    <row r="70" spans="1:8" ht="18" customHeight="1" x14ac:dyDescent="0.2">
      <c r="A70" s="544"/>
      <c r="B70" s="544"/>
      <c r="C70" s="544"/>
      <c r="D70" s="544"/>
      <c r="E70" s="544"/>
      <c r="F70" s="544"/>
      <c r="G70" s="544"/>
      <c r="H70" s="544"/>
    </row>
    <row r="71" spans="1:8" ht="18" customHeight="1" x14ac:dyDescent="0.2">
      <c r="A71" s="544"/>
      <c r="B71" s="544"/>
      <c r="C71" s="544"/>
      <c r="D71" s="544"/>
      <c r="E71" s="544"/>
      <c r="F71" s="544"/>
      <c r="G71" s="544"/>
      <c r="H71" s="544"/>
    </row>
    <row r="72" spans="1:8" ht="18" customHeight="1" x14ac:dyDescent="0.2">
      <c r="A72" s="544"/>
      <c r="B72" s="544"/>
      <c r="C72" s="544"/>
      <c r="D72" s="544"/>
      <c r="E72" s="544"/>
      <c r="F72" s="544"/>
      <c r="G72" s="544"/>
      <c r="H72" s="544"/>
    </row>
    <row r="73" spans="1:8" ht="18" customHeight="1" x14ac:dyDescent="0.2">
      <c r="A73" s="544"/>
      <c r="B73" s="544"/>
      <c r="C73" s="544"/>
      <c r="D73" s="544"/>
      <c r="E73" s="544"/>
      <c r="F73" s="544"/>
      <c r="G73" s="544"/>
      <c r="H73" s="544"/>
    </row>
    <row r="74" spans="1:8" ht="18" customHeight="1" x14ac:dyDescent="0.2">
      <c r="A74" s="544"/>
      <c r="B74" s="544"/>
      <c r="C74" s="544"/>
      <c r="D74" s="544"/>
      <c r="E74" s="544"/>
      <c r="F74" s="544"/>
      <c r="G74" s="544"/>
      <c r="H74" s="544"/>
    </row>
    <row r="75" spans="1:8" ht="18" customHeight="1" x14ac:dyDescent="0.2">
      <c r="A75" s="544"/>
      <c r="B75" s="544"/>
      <c r="C75" s="544"/>
      <c r="D75" s="544"/>
      <c r="E75" s="544"/>
      <c r="F75" s="544"/>
      <c r="G75" s="544"/>
      <c r="H75" s="544"/>
    </row>
  </sheetData>
  <sheetProtection formatCells="0" formatColumns="0" formatRows="0" insertColumns="0" insertRows="0" insertHyperlinks="0" deleteColumns="0" deleteRows="0" sort="0" autoFilter="0" pivotTables="0"/>
  <mergeCells count="95">
    <mergeCell ref="A61:K61"/>
    <mergeCell ref="A63:K63"/>
    <mergeCell ref="I32:K34"/>
    <mergeCell ref="A58:C58"/>
    <mergeCell ref="D58:H58"/>
    <mergeCell ref="A59:C59"/>
    <mergeCell ref="D59:H59"/>
    <mergeCell ref="A57:C57"/>
    <mergeCell ref="D57:H57"/>
    <mergeCell ref="D53:H53"/>
    <mergeCell ref="A54:C54"/>
    <mergeCell ref="A40:C40"/>
    <mergeCell ref="D54:H54"/>
    <mergeCell ref="A56:C56"/>
    <mergeCell ref="A55:C55"/>
    <mergeCell ref="D55:H55"/>
    <mergeCell ref="A50:C50"/>
    <mergeCell ref="D50:H50"/>
    <mergeCell ref="D56:H56"/>
    <mergeCell ref="A52:H52"/>
    <mergeCell ref="A53:C53"/>
    <mergeCell ref="A49:C49"/>
    <mergeCell ref="D49:H49"/>
    <mergeCell ref="A41:C41"/>
    <mergeCell ref="A44:C44"/>
    <mergeCell ref="A46:K46"/>
    <mergeCell ref="D44:H44"/>
    <mergeCell ref="A48:C48"/>
    <mergeCell ref="D48:H48"/>
    <mergeCell ref="A47:C47"/>
    <mergeCell ref="D47:H47"/>
    <mergeCell ref="D40:H40"/>
    <mergeCell ref="A1:B3"/>
    <mergeCell ref="A13:C13"/>
    <mergeCell ref="D13:H13"/>
    <mergeCell ref="C1:K1"/>
    <mergeCell ref="C2:K2"/>
    <mergeCell ref="C3:F3"/>
    <mergeCell ref="G3:K3"/>
    <mergeCell ref="A10:K10"/>
    <mergeCell ref="A12:H12"/>
    <mergeCell ref="D34:H34"/>
    <mergeCell ref="A28:C28"/>
    <mergeCell ref="D28:H28"/>
    <mergeCell ref="A30:C30"/>
    <mergeCell ref="D30:H30"/>
    <mergeCell ref="D39:H39"/>
    <mergeCell ref="A38:K38"/>
    <mergeCell ref="A16:C16"/>
    <mergeCell ref="D16:H16"/>
    <mergeCell ref="A45:C45"/>
    <mergeCell ref="D45:H45"/>
    <mergeCell ref="A43:K43"/>
    <mergeCell ref="D42:H42"/>
    <mergeCell ref="A42:C42"/>
    <mergeCell ref="A23:H23"/>
    <mergeCell ref="A21:C21"/>
    <mergeCell ref="A24:C24"/>
    <mergeCell ref="I23:K23"/>
    <mergeCell ref="D41:H41"/>
    <mergeCell ref="A35:C35"/>
    <mergeCell ref="A39:C39"/>
    <mergeCell ref="A37:C37"/>
    <mergeCell ref="A15:C15"/>
    <mergeCell ref="D15:H15"/>
    <mergeCell ref="A62:K62"/>
    <mergeCell ref="A34:C34"/>
    <mergeCell ref="A27:C27"/>
    <mergeCell ref="A29:C29"/>
    <mergeCell ref="A31:C31"/>
    <mergeCell ref="A32:C32"/>
    <mergeCell ref="A33:C33"/>
    <mergeCell ref="D27:H27"/>
    <mergeCell ref="D29:H29"/>
    <mergeCell ref="D31:H31"/>
    <mergeCell ref="D32:H32"/>
    <mergeCell ref="D33:H33"/>
    <mergeCell ref="D36:H36"/>
    <mergeCell ref="D35:H35"/>
    <mergeCell ref="A14:C14"/>
    <mergeCell ref="D14:H14"/>
    <mergeCell ref="D37:H37"/>
    <mergeCell ref="A17:C17"/>
    <mergeCell ref="D17:H17"/>
    <mergeCell ref="A19:C19"/>
    <mergeCell ref="D19:H19"/>
    <mergeCell ref="A26:K26"/>
    <mergeCell ref="D21:H21"/>
    <mergeCell ref="D24:H24"/>
    <mergeCell ref="A25:K25"/>
    <mergeCell ref="A20:C20"/>
    <mergeCell ref="D20:H20"/>
    <mergeCell ref="A18:C18"/>
    <mergeCell ref="D18:H18"/>
    <mergeCell ref="A36:C36"/>
  </mergeCells>
  <hyperlinks>
    <hyperlink ref="A27:C27" location="PEFI" display="Plan de ejecución física y de inversiones" xr:uid="{00000000-0004-0000-0000-000000000000}"/>
    <hyperlink ref="A29:C29" location="PC" display="Presupuesto - modalidad contrato" xr:uid="{00000000-0004-0000-0000-000001000000}"/>
    <hyperlink ref="A31:C31" location="PCV" display="Presupuesto - modalidad convenio" xr:uid="{00000000-0004-0000-0000-000002000000}"/>
    <hyperlink ref="A32:C32" location="MCOP1" display="Memoria de cálculo - opción 1" xr:uid="{00000000-0004-0000-0000-000003000000}"/>
    <hyperlink ref="A33:C33" location="MCCOP2" display="Memoria de cálculo - Opción 2" xr:uid="{00000000-0004-0000-0000-000004000000}"/>
    <hyperlink ref="A34:C34" location="MCCOP3" display="Memoria de cálculo - opción 3" xr:uid="{00000000-0004-0000-0000-000005000000}"/>
    <hyperlink ref="A36:C36" location="gtosadm" display="Determinación de gastos de administración" xr:uid="{00000000-0004-0000-0000-000006000000}"/>
    <hyperlink ref="A35:C35" location="estmercado" display="Estudio de mercado" xr:uid="{00000000-0004-0000-0000-000007000000}"/>
    <hyperlink ref="A39:C39" location="ppta" display="Propuesta económica" xr:uid="{00000000-0004-0000-0000-000008000000}"/>
    <hyperlink ref="A48:C48" location="subasta1" display="Subasta inversa presencial - análisis de lances" xr:uid="{00000000-0004-0000-0000-000009000000}"/>
    <hyperlink ref="A47:C47" location="subasta2" display="Subasta inversa presencial - análisis de habilitados" xr:uid="{00000000-0004-0000-0000-00000A000000}"/>
    <hyperlink ref="A49:C49" location="subasta3" display="Subasta inversa presencial - lances de precios" xr:uid="{00000000-0004-0000-0000-00000B000000}"/>
    <hyperlink ref="A50:C50" location="subasta4" display="Subasta inversa presencial - declinación de lances" xr:uid="{00000000-0004-0000-0000-00000C000000}"/>
    <hyperlink ref="A54:C54" location="gdym" display="Valores de gastos de desplazamiento y manutención" xr:uid="{00000000-0004-0000-0000-00000D000000}"/>
    <hyperlink ref="A55:C55" location="honorarios" display="Valores de honorarios (prestadores de servicios)" xr:uid="{00000000-0004-0000-0000-00000E000000}"/>
    <hyperlink ref="A56:C56" location="jornal" display="Valores de jornales" xr:uid="{00000000-0004-0000-0000-00000F000000}"/>
    <hyperlink ref="A57:C57" location="salarios" display="Valores de salarios" xr:uid="{00000000-0004-0000-0000-000010000000}"/>
    <hyperlink ref="A58:C58" location="alimentación" display="Valores de alimentación" xr:uid="{00000000-0004-0000-0000-000011000000}"/>
    <hyperlink ref="A59:C59" location="distintivos" display="Valores de distintivos corporativos" xr:uid="{00000000-0004-0000-0000-000012000000}"/>
    <hyperlink ref="A40:C41" location="ppta" display="Propuesta económica" xr:uid="{00000000-0004-0000-0000-000013000000}"/>
    <hyperlink ref="A40:C40" location="PPTA2" display="Propuesta económica opción 2" xr:uid="{00000000-0004-0000-0000-000014000000}"/>
    <hyperlink ref="A41:C41" location="ppta3" display="Propuesta económica opción 3" xr:uid="{00000000-0004-0000-0000-000015000000}"/>
    <hyperlink ref="A16:C16" location="impg" display="Impuestos y garantías" xr:uid="{00000000-0004-0000-0000-000016000000}"/>
    <hyperlink ref="A44:C44" location="evafin" display="Verificación de requisitos habilitantes de los proponentes sobre capacidad financiera y organizacional" xr:uid="{00000000-0004-0000-0000-000017000000}"/>
    <hyperlink ref="A42:C42" location="PABCA" display="Estimación PAB comparación absoluta" xr:uid="{00000000-0004-0000-0000-000018000000}"/>
    <hyperlink ref="A45:C45" location="PABCR" display="Estimación PAB comparación relativa" xr:uid="{00000000-0004-0000-0000-000019000000}"/>
    <hyperlink ref="A17:C17" location="ANTI" display="Información anticipos" xr:uid="{00000000-0004-0000-0000-00001A000000}"/>
    <hyperlink ref="A19:C19" location="IVA" display="Información IVA" xr:uid="{00000000-0004-0000-0000-00001B000000}"/>
    <hyperlink ref="A20:C20" location="NPE" display="Notas propuesta económica" xr:uid="{00000000-0004-0000-0000-00001C000000}"/>
    <hyperlink ref="A21:C21" location="RFO" display="Requisitos habilitantes capacidad financiera y organizacional" xr:uid="{00000000-0004-0000-0000-00001D000000}"/>
    <hyperlink ref="A18:C18" location="CRK" display="Información procesos de obra y capacidad residual (K)" xr:uid="{00000000-0004-0000-0000-00001E000000}"/>
    <hyperlink ref="A15:C15" location="APOYO" display="Documentos de apoyo" xr:uid="{00000000-0004-0000-0000-00001F000000}"/>
    <hyperlink ref="A28:C28" location="PEPSP1" display="Plan de ejecución física y de inversiones - Prestación de Servicios Personales" xr:uid="{00000000-0004-0000-0000-000020000000}"/>
    <hyperlink ref="A30:C30" location="PPTOPSP" display="Presupuesto - Modalidad contrato - Prestación de Servicios Personales" xr:uid="{00000000-0004-0000-0000-000021000000}"/>
    <hyperlink ref="A37:C37" location="rele" display="Identificación de bienes nacionales relevantes" xr:uid="{00000000-0004-0000-0000-000022000000}"/>
    <hyperlink ref="A14:C14" location="CUANTIAS" display="Cuantías de contratación (por pluralidad de oferentes)" xr:uid="{00000000-0004-0000-0000-000023000000}"/>
  </hyperlinks>
  <printOptions horizontalCentered="1"/>
  <pageMargins left="0" right="0" top="0" bottom="0" header="0" footer="0"/>
  <pageSetup scale="79" fitToHeight="0" orientation="landscape"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5" tint="0.39997558519241921"/>
    <pageSetUpPr fitToPage="1"/>
  </sheetPr>
  <dimension ref="A1:AQ240"/>
  <sheetViews>
    <sheetView showGridLines="0" tabSelected="1" topLeftCell="A213" zoomScale="80" zoomScaleNormal="80" zoomScaleSheetLayoutView="80" workbookViewId="0">
      <selection activeCell="D244" sqref="D244"/>
    </sheetView>
  </sheetViews>
  <sheetFormatPr baseColWidth="10" defaultColWidth="12" defaultRowHeight="18" customHeight="1" x14ac:dyDescent="0.2"/>
  <cols>
    <col min="1" max="1" width="30.1640625" style="62" customWidth="1"/>
    <col min="2" max="2" width="25.6640625" style="62" customWidth="1"/>
    <col min="3" max="3" width="20.33203125" style="62" customWidth="1"/>
    <col min="4" max="4" width="19.6640625" style="86" customWidth="1"/>
    <col min="5" max="5" width="20.83203125" style="62" customWidth="1"/>
    <col min="6" max="6" width="29" style="62" customWidth="1"/>
    <col min="7" max="7" width="20.83203125" style="62" bestFit="1" customWidth="1"/>
    <col min="8" max="8" width="22.6640625" style="62" bestFit="1" customWidth="1"/>
    <col min="9" max="14" width="20.83203125" style="62" bestFit="1" customWidth="1"/>
    <col min="15" max="18" width="22.83203125" style="62" customWidth="1"/>
    <col min="19" max="27" width="22.83203125" style="62" hidden="1" customWidth="1"/>
    <col min="28" max="30" width="12.5" style="62" hidden="1" customWidth="1"/>
    <col min="31" max="31" width="22.83203125" style="62" customWidth="1"/>
    <col min="32" max="32" width="21" style="62" customWidth="1"/>
    <col min="33" max="268" width="12" style="62"/>
    <col min="269" max="269" width="16.33203125" style="62" customWidth="1"/>
    <col min="270" max="270" width="30.83203125" style="62" customWidth="1"/>
    <col min="271" max="271" width="15.1640625" style="62" customWidth="1"/>
    <col min="272" max="272" width="17" style="62" customWidth="1"/>
    <col min="273" max="273" width="16.33203125" style="62" customWidth="1"/>
    <col min="274" max="277" width="13" style="62" bestFit="1" customWidth="1"/>
    <col min="278" max="284" width="13" style="62" customWidth="1"/>
    <col min="285" max="285" width="13" style="62" bestFit="1" customWidth="1"/>
    <col min="286" max="286" width="17.5" style="62" customWidth="1"/>
    <col min="287" max="524" width="12" style="62"/>
    <col min="525" max="525" width="16.33203125" style="62" customWidth="1"/>
    <col min="526" max="526" width="30.83203125" style="62" customWidth="1"/>
    <col min="527" max="527" width="15.1640625" style="62" customWidth="1"/>
    <col min="528" max="528" width="17" style="62" customWidth="1"/>
    <col min="529" max="529" width="16.33203125" style="62" customWidth="1"/>
    <col min="530" max="533" width="13" style="62" bestFit="1" customWidth="1"/>
    <col min="534" max="540" width="13" style="62" customWidth="1"/>
    <col min="541" max="541" width="13" style="62" bestFit="1" customWidth="1"/>
    <col min="542" max="542" width="17.5" style="62" customWidth="1"/>
    <col min="543" max="780" width="12" style="62"/>
    <col min="781" max="781" width="16.33203125" style="62" customWidth="1"/>
    <col min="782" max="782" width="30.83203125" style="62" customWidth="1"/>
    <col min="783" max="783" width="15.1640625" style="62" customWidth="1"/>
    <col min="784" max="784" width="17" style="62" customWidth="1"/>
    <col min="785" max="785" width="16.33203125" style="62" customWidth="1"/>
    <col min="786" max="789" width="13" style="62" bestFit="1" customWidth="1"/>
    <col min="790" max="796" width="13" style="62" customWidth="1"/>
    <col min="797" max="797" width="13" style="62" bestFit="1" customWidth="1"/>
    <col min="798" max="798" width="17.5" style="62" customWidth="1"/>
    <col min="799" max="1036" width="12" style="62"/>
    <col min="1037" max="1037" width="16.33203125" style="62" customWidth="1"/>
    <col min="1038" max="1038" width="30.83203125" style="62" customWidth="1"/>
    <col min="1039" max="1039" width="15.1640625" style="62" customWidth="1"/>
    <col min="1040" max="1040" width="17" style="62" customWidth="1"/>
    <col min="1041" max="1041" width="16.33203125" style="62" customWidth="1"/>
    <col min="1042" max="1045" width="13" style="62" bestFit="1" customWidth="1"/>
    <col min="1046" max="1052" width="13" style="62" customWidth="1"/>
    <col min="1053" max="1053" width="13" style="62" bestFit="1" customWidth="1"/>
    <col min="1054" max="1054" width="17.5" style="62" customWidth="1"/>
    <col min="1055" max="1292" width="12" style="62"/>
    <col min="1293" max="1293" width="16.33203125" style="62" customWidth="1"/>
    <col min="1294" max="1294" width="30.83203125" style="62" customWidth="1"/>
    <col min="1295" max="1295" width="15.1640625" style="62" customWidth="1"/>
    <col min="1296" max="1296" width="17" style="62" customWidth="1"/>
    <col min="1297" max="1297" width="16.33203125" style="62" customWidth="1"/>
    <col min="1298" max="1301" width="13" style="62" bestFit="1" customWidth="1"/>
    <col min="1302" max="1308" width="13" style="62" customWidth="1"/>
    <col min="1309" max="1309" width="13" style="62" bestFit="1" customWidth="1"/>
    <col min="1310" max="1310" width="17.5" style="62" customWidth="1"/>
    <col min="1311" max="1548" width="12" style="62"/>
    <col min="1549" max="1549" width="16.33203125" style="62" customWidth="1"/>
    <col min="1550" max="1550" width="30.83203125" style="62" customWidth="1"/>
    <col min="1551" max="1551" width="15.1640625" style="62" customWidth="1"/>
    <col min="1552" max="1552" width="17" style="62" customWidth="1"/>
    <col min="1553" max="1553" width="16.33203125" style="62" customWidth="1"/>
    <col min="1554" max="1557" width="13" style="62" bestFit="1" customWidth="1"/>
    <col min="1558" max="1564" width="13" style="62" customWidth="1"/>
    <col min="1565" max="1565" width="13" style="62" bestFit="1" customWidth="1"/>
    <col min="1566" max="1566" width="17.5" style="62" customWidth="1"/>
    <col min="1567" max="1804" width="12" style="62"/>
    <col min="1805" max="1805" width="16.33203125" style="62" customWidth="1"/>
    <col min="1806" max="1806" width="30.83203125" style="62" customWidth="1"/>
    <col min="1807" max="1807" width="15.1640625" style="62" customWidth="1"/>
    <col min="1808" max="1808" width="17" style="62" customWidth="1"/>
    <col min="1809" max="1809" width="16.33203125" style="62" customWidth="1"/>
    <col min="1810" max="1813" width="13" style="62" bestFit="1" customWidth="1"/>
    <col min="1814" max="1820" width="13" style="62" customWidth="1"/>
    <col min="1821" max="1821" width="13" style="62" bestFit="1" customWidth="1"/>
    <col min="1822" max="1822" width="17.5" style="62" customWidth="1"/>
    <col min="1823" max="2060" width="12" style="62"/>
    <col min="2061" max="2061" width="16.33203125" style="62" customWidth="1"/>
    <col min="2062" max="2062" width="30.83203125" style="62" customWidth="1"/>
    <col min="2063" max="2063" width="15.1640625" style="62" customWidth="1"/>
    <col min="2064" max="2064" width="17" style="62" customWidth="1"/>
    <col min="2065" max="2065" width="16.33203125" style="62" customWidth="1"/>
    <col min="2066" max="2069" width="13" style="62" bestFit="1" customWidth="1"/>
    <col min="2070" max="2076" width="13" style="62" customWidth="1"/>
    <col min="2077" max="2077" width="13" style="62" bestFit="1" customWidth="1"/>
    <col min="2078" max="2078" width="17.5" style="62" customWidth="1"/>
    <col min="2079" max="2316" width="12" style="62"/>
    <col min="2317" max="2317" width="16.33203125" style="62" customWidth="1"/>
    <col min="2318" max="2318" width="30.83203125" style="62" customWidth="1"/>
    <col min="2319" max="2319" width="15.1640625" style="62" customWidth="1"/>
    <col min="2320" max="2320" width="17" style="62" customWidth="1"/>
    <col min="2321" max="2321" width="16.33203125" style="62" customWidth="1"/>
    <col min="2322" max="2325" width="13" style="62" bestFit="1" customWidth="1"/>
    <col min="2326" max="2332" width="13" style="62" customWidth="1"/>
    <col min="2333" max="2333" width="13" style="62" bestFit="1" customWidth="1"/>
    <col min="2334" max="2334" width="17.5" style="62" customWidth="1"/>
    <col min="2335" max="2572" width="12" style="62"/>
    <col min="2573" max="2573" width="16.33203125" style="62" customWidth="1"/>
    <col min="2574" max="2574" width="30.83203125" style="62" customWidth="1"/>
    <col min="2575" max="2575" width="15.1640625" style="62" customWidth="1"/>
    <col min="2576" max="2576" width="17" style="62" customWidth="1"/>
    <col min="2577" max="2577" width="16.33203125" style="62" customWidth="1"/>
    <col min="2578" max="2581" width="13" style="62" bestFit="1" customWidth="1"/>
    <col min="2582" max="2588" width="13" style="62" customWidth="1"/>
    <col min="2589" max="2589" width="13" style="62" bestFit="1" customWidth="1"/>
    <col min="2590" max="2590" width="17.5" style="62" customWidth="1"/>
    <col min="2591" max="2828" width="12" style="62"/>
    <col min="2829" max="2829" width="16.33203125" style="62" customWidth="1"/>
    <col min="2830" max="2830" width="30.83203125" style="62" customWidth="1"/>
    <col min="2831" max="2831" width="15.1640625" style="62" customWidth="1"/>
    <col min="2832" max="2832" width="17" style="62" customWidth="1"/>
    <col min="2833" max="2833" width="16.33203125" style="62" customWidth="1"/>
    <col min="2834" max="2837" width="13" style="62" bestFit="1" customWidth="1"/>
    <col min="2838" max="2844" width="13" style="62" customWidth="1"/>
    <col min="2845" max="2845" width="13" style="62" bestFit="1" customWidth="1"/>
    <col min="2846" max="2846" width="17.5" style="62" customWidth="1"/>
    <col min="2847" max="3084" width="12" style="62"/>
    <col min="3085" max="3085" width="16.33203125" style="62" customWidth="1"/>
    <col min="3086" max="3086" width="30.83203125" style="62" customWidth="1"/>
    <col min="3087" max="3087" width="15.1640625" style="62" customWidth="1"/>
    <col min="3088" max="3088" width="17" style="62" customWidth="1"/>
    <col min="3089" max="3089" width="16.33203125" style="62" customWidth="1"/>
    <col min="3090" max="3093" width="13" style="62" bestFit="1" customWidth="1"/>
    <col min="3094" max="3100" width="13" style="62" customWidth="1"/>
    <col min="3101" max="3101" width="13" style="62" bestFit="1" customWidth="1"/>
    <col min="3102" max="3102" width="17.5" style="62" customWidth="1"/>
    <col min="3103" max="3340" width="12" style="62"/>
    <col min="3341" max="3341" width="16.33203125" style="62" customWidth="1"/>
    <col min="3342" max="3342" width="30.83203125" style="62" customWidth="1"/>
    <col min="3343" max="3343" width="15.1640625" style="62" customWidth="1"/>
    <col min="3344" max="3344" width="17" style="62" customWidth="1"/>
    <col min="3345" max="3345" width="16.33203125" style="62" customWidth="1"/>
    <col min="3346" max="3349" width="13" style="62" bestFit="1" customWidth="1"/>
    <col min="3350" max="3356" width="13" style="62" customWidth="1"/>
    <col min="3357" max="3357" width="13" style="62" bestFit="1" customWidth="1"/>
    <col min="3358" max="3358" width="17.5" style="62" customWidth="1"/>
    <col min="3359" max="3596" width="12" style="62"/>
    <col min="3597" max="3597" width="16.33203125" style="62" customWidth="1"/>
    <col min="3598" max="3598" width="30.83203125" style="62" customWidth="1"/>
    <col min="3599" max="3599" width="15.1640625" style="62" customWidth="1"/>
    <col min="3600" max="3600" width="17" style="62" customWidth="1"/>
    <col min="3601" max="3601" width="16.33203125" style="62" customWidth="1"/>
    <col min="3602" max="3605" width="13" style="62" bestFit="1" customWidth="1"/>
    <col min="3606" max="3612" width="13" style="62" customWidth="1"/>
    <col min="3613" max="3613" width="13" style="62" bestFit="1" customWidth="1"/>
    <col min="3614" max="3614" width="17.5" style="62" customWidth="1"/>
    <col min="3615" max="3852" width="12" style="62"/>
    <col min="3853" max="3853" width="16.33203125" style="62" customWidth="1"/>
    <col min="3854" max="3854" width="30.83203125" style="62" customWidth="1"/>
    <col min="3855" max="3855" width="15.1640625" style="62" customWidth="1"/>
    <col min="3856" max="3856" width="17" style="62" customWidth="1"/>
    <col min="3857" max="3857" width="16.33203125" style="62" customWidth="1"/>
    <col min="3858" max="3861" width="13" style="62" bestFit="1" customWidth="1"/>
    <col min="3862" max="3868" width="13" style="62" customWidth="1"/>
    <col min="3869" max="3869" width="13" style="62" bestFit="1" customWidth="1"/>
    <col min="3870" max="3870" width="17.5" style="62" customWidth="1"/>
    <col min="3871" max="4108" width="12" style="62"/>
    <col min="4109" max="4109" width="16.33203125" style="62" customWidth="1"/>
    <col min="4110" max="4110" width="30.83203125" style="62" customWidth="1"/>
    <col min="4111" max="4111" width="15.1640625" style="62" customWidth="1"/>
    <col min="4112" max="4112" width="17" style="62" customWidth="1"/>
    <col min="4113" max="4113" width="16.33203125" style="62" customWidth="1"/>
    <col min="4114" max="4117" width="13" style="62" bestFit="1" customWidth="1"/>
    <col min="4118" max="4124" width="13" style="62" customWidth="1"/>
    <col min="4125" max="4125" width="13" style="62" bestFit="1" customWidth="1"/>
    <col min="4126" max="4126" width="17.5" style="62" customWidth="1"/>
    <col min="4127" max="4364" width="12" style="62"/>
    <col min="4365" max="4365" width="16.33203125" style="62" customWidth="1"/>
    <col min="4366" max="4366" width="30.83203125" style="62" customWidth="1"/>
    <col min="4367" max="4367" width="15.1640625" style="62" customWidth="1"/>
    <col min="4368" max="4368" width="17" style="62" customWidth="1"/>
    <col min="4369" max="4369" width="16.33203125" style="62" customWidth="1"/>
    <col min="4370" max="4373" width="13" style="62" bestFit="1" customWidth="1"/>
    <col min="4374" max="4380" width="13" style="62" customWidth="1"/>
    <col min="4381" max="4381" width="13" style="62" bestFit="1" customWidth="1"/>
    <col min="4382" max="4382" width="17.5" style="62" customWidth="1"/>
    <col min="4383" max="4620" width="12" style="62"/>
    <col min="4621" max="4621" width="16.33203125" style="62" customWidth="1"/>
    <col min="4622" max="4622" width="30.83203125" style="62" customWidth="1"/>
    <col min="4623" max="4623" width="15.1640625" style="62" customWidth="1"/>
    <col min="4624" max="4624" width="17" style="62" customWidth="1"/>
    <col min="4625" max="4625" width="16.33203125" style="62" customWidth="1"/>
    <col min="4626" max="4629" width="13" style="62" bestFit="1" customWidth="1"/>
    <col min="4630" max="4636" width="13" style="62" customWidth="1"/>
    <col min="4637" max="4637" width="13" style="62" bestFit="1" customWidth="1"/>
    <col min="4638" max="4638" width="17.5" style="62" customWidth="1"/>
    <col min="4639" max="4876" width="12" style="62"/>
    <col min="4877" max="4877" width="16.33203125" style="62" customWidth="1"/>
    <col min="4878" max="4878" width="30.83203125" style="62" customWidth="1"/>
    <col min="4879" max="4879" width="15.1640625" style="62" customWidth="1"/>
    <col min="4880" max="4880" width="17" style="62" customWidth="1"/>
    <col min="4881" max="4881" width="16.33203125" style="62" customWidth="1"/>
    <col min="4882" max="4885" width="13" style="62" bestFit="1" customWidth="1"/>
    <col min="4886" max="4892" width="13" style="62" customWidth="1"/>
    <col min="4893" max="4893" width="13" style="62" bestFit="1" customWidth="1"/>
    <col min="4894" max="4894" width="17.5" style="62" customWidth="1"/>
    <col min="4895" max="5132" width="12" style="62"/>
    <col min="5133" max="5133" width="16.33203125" style="62" customWidth="1"/>
    <col min="5134" max="5134" width="30.83203125" style="62" customWidth="1"/>
    <col min="5135" max="5135" width="15.1640625" style="62" customWidth="1"/>
    <col min="5136" max="5136" width="17" style="62" customWidth="1"/>
    <col min="5137" max="5137" width="16.33203125" style="62" customWidth="1"/>
    <col min="5138" max="5141" width="13" style="62" bestFit="1" customWidth="1"/>
    <col min="5142" max="5148" width="13" style="62" customWidth="1"/>
    <col min="5149" max="5149" width="13" style="62" bestFit="1" customWidth="1"/>
    <col min="5150" max="5150" width="17.5" style="62" customWidth="1"/>
    <col min="5151" max="5388" width="12" style="62"/>
    <col min="5389" max="5389" width="16.33203125" style="62" customWidth="1"/>
    <col min="5390" max="5390" width="30.83203125" style="62" customWidth="1"/>
    <col min="5391" max="5391" width="15.1640625" style="62" customWidth="1"/>
    <col min="5392" max="5392" width="17" style="62" customWidth="1"/>
    <col min="5393" max="5393" width="16.33203125" style="62" customWidth="1"/>
    <col min="5394" max="5397" width="13" style="62" bestFit="1" customWidth="1"/>
    <col min="5398" max="5404" width="13" style="62" customWidth="1"/>
    <col min="5405" max="5405" width="13" style="62" bestFit="1" customWidth="1"/>
    <col min="5406" max="5406" width="17.5" style="62" customWidth="1"/>
    <col min="5407" max="5644" width="12" style="62"/>
    <col min="5645" max="5645" width="16.33203125" style="62" customWidth="1"/>
    <col min="5646" max="5646" width="30.83203125" style="62" customWidth="1"/>
    <col min="5647" max="5647" width="15.1640625" style="62" customWidth="1"/>
    <col min="5648" max="5648" width="17" style="62" customWidth="1"/>
    <col min="5649" max="5649" width="16.33203125" style="62" customWidth="1"/>
    <col min="5650" max="5653" width="13" style="62" bestFit="1" customWidth="1"/>
    <col min="5654" max="5660" width="13" style="62" customWidth="1"/>
    <col min="5661" max="5661" width="13" style="62" bestFit="1" customWidth="1"/>
    <col min="5662" max="5662" width="17.5" style="62" customWidth="1"/>
    <col min="5663" max="5900" width="12" style="62"/>
    <col min="5901" max="5901" width="16.33203125" style="62" customWidth="1"/>
    <col min="5902" max="5902" width="30.83203125" style="62" customWidth="1"/>
    <col min="5903" max="5903" width="15.1640625" style="62" customWidth="1"/>
    <col min="5904" max="5904" width="17" style="62" customWidth="1"/>
    <col min="5905" max="5905" width="16.33203125" style="62" customWidth="1"/>
    <col min="5906" max="5909" width="13" style="62" bestFit="1" customWidth="1"/>
    <col min="5910" max="5916" width="13" style="62" customWidth="1"/>
    <col min="5917" max="5917" width="13" style="62" bestFit="1" customWidth="1"/>
    <col min="5918" max="5918" width="17.5" style="62" customWidth="1"/>
    <col min="5919" max="6156" width="12" style="62"/>
    <col min="6157" max="6157" width="16.33203125" style="62" customWidth="1"/>
    <col min="6158" max="6158" width="30.83203125" style="62" customWidth="1"/>
    <col min="6159" max="6159" width="15.1640625" style="62" customWidth="1"/>
    <col min="6160" max="6160" width="17" style="62" customWidth="1"/>
    <col min="6161" max="6161" width="16.33203125" style="62" customWidth="1"/>
    <col min="6162" max="6165" width="13" style="62" bestFit="1" customWidth="1"/>
    <col min="6166" max="6172" width="13" style="62" customWidth="1"/>
    <col min="6173" max="6173" width="13" style="62" bestFit="1" customWidth="1"/>
    <col min="6174" max="6174" width="17.5" style="62" customWidth="1"/>
    <col min="6175" max="6412" width="12" style="62"/>
    <col min="6413" max="6413" width="16.33203125" style="62" customWidth="1"/>
    <col min="6414" max="6414" width="30.83203125" style="62" customWidth="1"/>
    <col min="6415" max="6415" width="15.1640625" style="62" customWidth="1"/>
    <col min="6416" max="6416" width="17" style="62" customWidth="1"/>
    <col min="6417" max="6417" width="16.33203125" style="62" customWidth="1"/>
    <col min="6418" max="6421" width="13" style="62" bestFit="1" customWidth="1"/>
    <col min="6422" max="6428" width="13" style="62" customWidth="1"/>
    <col min="6429" max="6429" width="13" style="62" bestFit="1" customWidth="1"/>
    <col min="6430" max="6430" width="17.5" style="62" customWidth="1"/>
    <col min="6431" max="6668" width="12" style="62"/>
    <col min="6669" max="6669" width="16.33203125" style="62" customWidth="1"/>
    <col min="6670" max="6670" width="30.83203125" style="62" customWidth="1"/>
    <col min="6671" max="6671" width="15.1640625" style="62" customWidth="1"/>
    <col min="6672" max="6672" width="17" style="62" customWidth="1"/>
    <col min="6673" max="6673" width="16.33203125" style="62" customWidth="1"/>
    <col min="6674" max="6677" width="13" style="62" bestFit="1" customWidth="1"/>
    <col min="6678" max="6684" width="13" style="62" customWidth="1"/>
    <col min="6685" max="6685" width="13" style="62" bestFit="1" customWidth="1"/>
    <col min="6686" max="6686" width="17.5" style="62" customWidth="1"/>
    <col min="6687" max="6924" width="12" style="62"/>
    <col min="6925" max="6925" width="16.33203125" style="62" customWidth="1"/>
    <col min="6926" max="6926" width="30.83203125" style="62" customWidth="1"/>
    <col min="6927" max="6927" width="15.1640625" style="62" customWidth="1"/>
    <col min="6928" max="6928" width="17" style="62" customWidth="1"/>
    <col min="6929" max="6929" width="16.33203125" style="62" customWidth="1"/>
    <col min="6930" max="6933" width="13" style="62" bestFit="1" customWidth="1"/>
    <col min="6934" max="6940" width="13" style="62" customWidth="1"/>
    <col min="6941" max="6941" width="13" style="62" bestFit="1" customWidth="1"/>
    <col min="6942" max="6942" width="17.5" style="62" customWidth="1"/>
    <col min="6943" max="7180" width="12" style="62"/>
    <col min="7181" max="7181" width="16.33203125" style="62" customWidth="1"/>
    <col min="7182" max="7182" width="30.83203125" style="62" customWidth="1"/>
    <col min="7183" max="7183" width="15.1640625" style="62" customWidth="1"/>
    <col min="7184" max="7184" width="17" style="62" customWidth="1"/>
    <col min="7185" max="7185" width="16.33203125" style="62" customWidth="1"/>
    <col min="7186" max="7189" width="13" style="62" bestFit="1" customWidth="1"/>
    <col min="7190" max="7196" width="13" style="62" customWidth="1"/>
    <col min="7197" max="7197" width="13" style="62" bestFit="1" customWidth="1"/>
    <col min="7198" max="7198" width="17.5" style="62" customWidth="1"/>
    <col min="7199" max="7436" width="12" style="62"/>
    <col min="7437" max="7437" width="16.33203125" style="62" customWidth="1"/>
    <col min="7438" max="7438" width="30.83203125" style="62" customWidth="1"/>
    <col min="7439" max="7439" width="15.1640625" style="62" customWidth="1"/>
    <col min="7440" max="7440" width="17" style="62" customWidth="1"/>
    <col min="7441" max="7441" width="16.33203125" style="62" customWidth="1"/>
    <col min="7442" max="7445" width="13" style="62" bestFit="1" customWidth="1"/>
    <col min="7446" max="7452" width="13" style="62" customWidth="1"/>
    <col min="7453" max="7453" width="13" style="62" bestFit="1" customWidth="1"/>
    <col min="7454" max="7454" width="17.5" style="62" customWidth="1"/>
    <col min="7455" max="7692" width="12" style="62"/>
    <col min="7693" max="7693" width="16.33203125" style="62" customWidth="1"/>
    <col min="7694" max="7694" width="30.83203125" style="62" customWidth="1"/>
    <col min="7695" max="7695" width="15.1640625" style="62" customWidth="1"/>
    <col min="7696" max="7696" width="17" style="62" customWidth="1"/>
    <col min="7697" max="7697" width="16.33203125" style="62" customWidth="1"/>
    <col min="7698" max="7701" width="13" style="62" bestFit="1" customWidth="1"/>
    <col min="7702" max="7708" width="13" style="62" customWidth="1"/>
    <col min="7709" max="7709" width="13" style="62" bestFit="1" customWidth="1"/>
    <col min="7710" max="7710" width="17.5" style="62" customWidth="1"/>
    <col min="7711" max="7948" width="12" style="62"/>
    <col min="7949" max="7949" width="16.33203125" style="62" customWidth="1"/>
    <col min="7950" max="7950" width="30.83203125" style="62" customWidth="1"/>
    <col min="7951" max="7951" width="15.1640625" style="62" customWidth="1"/>
    <col min="7952" max="7952" width="17" style="62" customWidth="1"/>
    <col min="7953" max="7953" width="16.33203125" style="62" customWidth="1"/>
    <col min="7954" max="7957" width="13" style="62" bestFit="1" customWidth="1"/>
    <col min="7958" max="7964" width="13" style="62" customWidth="1"/>
    <col min="7965" max="7965" width="13" style="62" bestFit="1" customWidth="1"/>
    <col min="7966" max="7966" width="17.5" style="62" customWidth="1"/>
    <col min="7967" max="8204" width="12" style="62"/>
    <col min="8205" max="8205" width="16.33203125" style="62" customWidth="1"/>
    <col min="8206" max="8206" width="30.83203125" style="62" customWidth="1"/>
    <col min="8207" max="8207" width="15.1640625" style="62" customWidth="1"/>
    <col min="8208" max="8208" width="17" style="62" customWidth="1"/>
    <col min="8209" max="8209" width="16.33203125" style="62" customWidth="1"/>
    <col min="8210" max="8213" width="13" style="62" bestFit="1" customWidth="1"/>
    <col min="8214" max="8220" width="13" style="62" customWidth="1"/>
    <col min="8221" max="8221" width="13" style="62" bestFit="1" customWidth="1"/>
    <col min="8222" max="8222" width="17.5" style="62" customWidth="1"/>
    <col min="8223" max="8460" width="12" style="62"/>
    <col min="8461" max="8461" width="16.33203125" style="62" customWidth="1"/>
    <col min="8462" max="8462" width="30.83203125" style="62" customWidth="1"/>
    <col min="8463" max="8463" width="15.1640625" style="62" customWidth="1"/>
    <col min="8464" max="8464" width="17" style="62" customWidth="1"/>
    <col min="8465" max="8465" width="16.33203125" style="62" customWidth="1"/>
    <col min="8466" max="8469" width="13" style="62" bestFit="1" customWidth="1"/>
    <col min="8470" max="8476" width="13" style="62" customWidth="1"/>
    <col min="8477" max="8477" width="13" style="62" bestFit="1" customWidth="1"/>
    <col min="8478" max="8478" width="17.5" style="62" customWidth="1"/>
    <col min="8479" max="8716" width="12" style="62"/>
    <col min="8717" max="8717" width="16.33203125" style="62" customWidth="1"/>
    <col min="8718" max="8718" width="30.83203125" style="62" customWidth="1"/>
    <col min="8719" max="8719" width="15.1640625" style="62" customWidth="1"/>
    <col min="8720" max="8720" width="17" style="62" customWidth="1"/>
    <col min="8721" max="8721" width="16.33203125" style="62" customWidth="1"/>
    <col min="8722" max="8725" width="13" style="62" bestFit="1" customWidth="1"/>
    <col min="8726" max="8732" width="13" style="62" customWidth="1"/>
    <col min="8733" max="8733" width="13" style="62" bestFit="1" customWidth="1"/>
    <col min="8734" max="8734" width="17.5" style="62" customWidth="1"/>
    <col min="8735" max="8972" width="12" style="62"/>
    <col min="8973" max="8973" width="16.33203125" style="62" customWidth="1"/>
    <col min="8974" max="8974" width="30.83203125" style="62" customWidth="1"/>
    <col min="8975" max="8975" width="15.1640625" style="62" customWidth="1"/>
    <col min="8976" max="8976" width="17" style="62" customWidth="1"/>
    <col min="8977" max="8977" width="16.33203125" style="62" customWidth="1"/>
    <col min="8978" max="8981" width="13" style="62" bestFit="1" customWidth="1"/>
    <col min="8982" max="8988" width="13" style="62" customWidth="1"/>
    <col min="8989" max="8989" width="13" style="62" bestFit="1" customWidth="1"/>
    <col min="8990" max="8990" width="17.5" style="62" customWidth="1"/>
    <col min="8991" max="9228" width="12" style="62"/>
    <col min="9229" max="9229" width="16.33203125" style="62" customWidth="1"/>
    <col min="9230" max="9230" width="30.83203125" style="62" customWidth="1"/>
    <col min="9231" max="9231" width="15.1640625" style="62" customWidth="1"/>
    <col min="9232" max="9232" width="17" style="62" customWidth="1"/>
    <col min="9233" max="9233" width="16.33203125" style="62" customWidth="1"/>
    <col min="9234" max="9237" width="13" style="62" bestFit="1" customWidth="1"/>
    <col min="9238" max="9244" width="13" style="62" customWidth="1"/>
    <col min="9245" max="9245" width="13" style="62" bestFit="1" customWidth="1"/>
    <col min="9246" max="9246" width="17.5" style="62" customWidth="1"/>
    <col min="9247" max="9484" width="12" style="62"/>
    <col min="9485" max="9485" width="16.33203125" style="62" customWidth="1"/>
    <col min="9486" max="9486" width="30.83203125" style="62" customWidth="1"/>
    <col min="9487" max="9487" width="15.1640625" style="62" customWidth="1"/>
    <col min="9488" max="9488" width="17" style="62" customWidth="1"/>
    <col min="9489" max="9489" width="16.33203125" style="62" customWidth="1"/>
    <col min="9490" max="9493" width="13" style="62" bestFit="1" customWidth="1"/>
    <col min="9494" max="9500" width="13" style="62" customWidth="1"/>
    <col min="9501" max="9501" width="13" style="62" bestFit="1" customWidth="1"/>
    <col min="9502" max="9502" width="17.5" style="62" customWidth="1"/>
    <col min="9503" max="9740" width="12" style="62"/>
    <col min="9741" max="9741" width="16.33203125" style="62" customWidth="1"/>
    <col min="9742" max="9742" width="30.83203125" style="62" customWidth="1"/>
    <col min="9743" max="9743" width="15.1640625" style="62" customWidth="1"/>
    <col min="9744" max="9744" width="17" style="62" customWidth="1"/>
    <col min="9745" max="9745" width="16.33203125" style="62" customWidth="1"/>
    <col min="9746" max="9749" width="13" style="62" bestFit="1" customWidth="1"/>
    <col min="9750" max="9756" width="13" style="62" customWidth="1"/>
    <col min="9757" max="9757" width="13" style="62" bestFit="1" customWidth="1"/>
    <col min="9758" max="9758" width="17.5" style="62" customWidth="1"/>
    <col min="9759" max="9996" width="12" style="62"/>
    <col min="9997" max="9997" width="16.33203125" style="62" customWidth="1"/>
    <col min="9998" max="9998" width="30.83203125" style="62" customWidth="1"/>
    <col min="9999" max="9999" width="15.1640625" style="62" customWidth="1"/>
    <col min="10000" max="10000" width="17" style="62" customWidth="1"/>
    <col min="10001" max="10001" width="16.33203125" style="62" customWidth="1"/>
    <col min="10002" max="10005" width="13" style="62" bestFit="1" customWidth="1"/>
    <col min="10006" max="10012" width="13" style="62" customWidth="1"/>
    <col min="10013" max="10013" width="13" style="62" bestFit="1" customWidth="1"/>
    <col min="10014" max="10014" width="17.5" style="62" customWidth="1"/>
    <col min="10015" max="10252" width="12" style="62"/>
    <col min="10253" max="10253" width="16.33203125" style="62" customWidth="1"/>
    <col min="10254" max="10254" width="30.83203125" style="62" customWidth="1"/>
    <col min="10255" max="10255" width="15.1640625" style="62" customWidth="1"/>
    <col min="10256" max="10256" width="17" style="62" customWidth="1"/>
    <col min="10257" max="10257" width="16.33203125" style="62" customWidth="1"/>
    <col min="10258" max="10261" width="13" style="62" bestFit="1" customWidth="1"/>
    <col min="10262" max="10268" width="13" style="62" customWidth="1"/>
    <col min="10269" max="10269" width="13" style="62" bestFit="1" customWidth="1"/>
    <col min="10270" max="10270" width="17.5" style="62" customWidth="1"/>
    <col min="10271" max="10508" width="12" style="62"/>
    <col min="10509" max="10509" width="16.33203125" style="62" customWidth="1"/>
    <col min="10510" max="10510" width="30.83203125" style="62" customWidth="1"/>
    <col min="10511" max="10511" width="15.1640625" style="62" customWidth="1"/>
    <col min="10512" max="10512" width="17" style="62" customWidth="1"/>
    <col min="10513" max="10513" width="16.33203125" style="62" customWidth="1"/>
    <col min="10514" max="10517" width="13" style="62" bestFit="1" customWidth="1"/>
    <col min="10518" max="10524" width="13" style="62" customWidth="1"/>
    <col min="10525" max="10525" width="13" style="62" bestFit="1" customWidth="1"/>
    <col min="10526" max="10526" width="17.5" style="62" customWidth="1"/>
    <col min="10527" max="10764" width="12" style="62"/>
    <col min="10765" max="10765" width="16.33203125" style="62" customWidth="1"/>
    <col min="10766" max="10766" width="30.83203125" style="62" customWidth="1"/>
    <col min="10767" max="10767" width="15.1640625" style="62" customWidth="1"/>
    <col min="10768" max="10768" width="17" style="62" customWidth="1"/>
    <col min="10769" max="10769" width="16.33203125" style="62" customWidth="1"/>
    <col min="10770" max="10773" width="13" style="62" bestFit="1" customWidth="1"/>
    <col min="10774" max="10780" width="13" style="62" customWidth="1"/>
    <col min="10781" max="10781" width="13" style="62" bestFit="1" customWidth="1"/>
    <col min="10782" max="10782" width="17.5" style="62" customWidth="1"/>
    <col min="10783" max="11020" width="12" style="62"/>
    <col min="11021" max="11021" width="16.33203125" style="62" customWidth="1"/>
    <col min="11022" max="11022" width="30.83203125" style="62" customWidth="1"/>
    <col min="11023" max="11023" width="15.1640625" style="62" customWidth="1"/>
    <col min="11024" max="11024" width="17" style="62" customWidth="1"/>
    <col min="11025" max="11025" width="16.33203125" style="62" customWidth="1"/>
    <col min="11026" max="11029" width="13" style="62" bestFit="1" customWidth="1"/>
    <col min="11030" max="11036" width="13" style="62" customWidth="1"/>
    <col min="11037" max="11037" width="13" style="62" bestFit="1" customWidth="1"/>
    <col min="11038" max="11038" width="17.5" style="62" customWidth="1"/>
    <col min="11039" max="11276" width="12" style="62"/>
    <col min="11277" max="11277" width="16.33203125" style="62" customWidth="1"/>
    <col min="11278" max="11278" width="30.83203125" style="62" customWidth="1"/>
    <col min="11279" max="11279" width="15.1640625" style="62" customWidth="1"/>
    <col min="11280" max="11280" width="17" style="62" customWidth="1"/>
    <col min="11281" max="11281" width="16.33203125" style="62" customWidth="1"/>
    <col min="11282" max="11285" width="13" style="62" bestFit="1" customWidth="1"/>
    <col min="11286" max="11292" width="13" style="62" customWidth="1"/>
    <col min="11293" max="11293" width="13" style="62" bestFit="1" customWidth="1"/>
    <col min="11294" max="11294" width="17.5" style="62" customWidth="1"/>
    <col min="11295" max="11532" width="12" style="62"/>
    <col min="11533" max="11533" width="16.33203125" style="62" customWidth="1"/>
    <col min="11534" max="11534" width="30.83203125" style="62" customWidth="1"/>
    <col min="11535" max="11535" width="15.1640625" style="62" customWidth="1"/>
    <col min="11536" max="11536" width="17" style="62" customWidth="1"/>
    <col min="11537" max="11537" width="16.33203125" style="62" customWidth="1"/>
    <col min="11538" max="11541" width="13" style="62" bestFit="1" customWidth="1"/>
    <col min="11542" max="11548" width="13" style="62" customWidth="1"/>
    <col min="11549" max="11549" width="13" style="62" bestFit="1" customWidth="1"/>
    <col min="11550" max="11550" width="17.5" style="62" customWidth="1"/>
    <col min="11551" max="11788" width="12" style="62"/>
    <col min="11789" max="11789" width="16.33203125" style="62" customWidth="1"/>
    <col min="11790" max="11790" width="30.83203125" style="62" customWidth="1"/>
    <col min="11791" max="11791" width="15.1640625" style="62" customWidth="1"/>
    <col min="11792" max="11792" width="17" style="62" customWidth="1"/>
    <col min="11793" max="11793" width="16.33203125" style="62" customWidth="1"/>
    <col min="11794" max="11797" width="13" style="62" bestFit="1" customWidth="1"/>
    <col min="11798" max="11804" width="13" style="62" customWidth="1"/>
    <col min="11805" max="11805" width="13" style="62" bestFit="1" customWidth="1"/>
    <col min="11806" max="11806" width="17.5" style="62" customWidth="1"/>
    <col min="11807" max="12044" width="12" style="62"/>
    <col min="12045" max="12045" width="16.33203125" style="62" customWidth="1"/>
    <col min="12046" max="12046" width="30.83203125" style="62" customWidth="1"/>
    <col min="12047" max="12047" width="15.1640625" style="62" customWidth="1"/>
    <col min="12048" max="12048" width="17" style="62" customWidth="1"/>
    <col min="12049" max="12049" width="16.33203125" style="62" customWidth="1"/>
    <col min="12050" max="12053" width="13" style="62" bestFit="1" customWidth="1"/>
    <col min="12054" max="12060" width="13" style="62" customWidth="1"/>
    <col min="12061" max="12061" width="13" style="62" bestFit="1" customWidth="1"/>
    <col min="12062" max="12062" width="17.5" style="62" customWidth="1"/>
    <col min="12063" max="12300" width="12" style="62"/>
    <col min="12301" max="12301" width="16.33203125" style="62" customWidth="1"/>
    <col min="12302" max="12302" width="30.83203125" style="62" customWidth="1"/>
    <col min="12303" max="12303" width="15.1640625" style="62" customWidth="1"/>
    <col min="12304" max="12304" width="17" style="62" customWidth="1"/>
    <col min="12305" max="12305" width="16.33203125" style="62" customWidth="1"/>
    <col min="12306" max="12309" width="13" style="62" bestFit="1" customWidth="1"/>
    <col min="12310" max="12316" width="13" style="62" customWidth="1"/>
    <col min="12317" max="12317" width="13" style="62" bestFit="1" customWidth="1"/>
    <col min="12318" max="12318" width="17.5" style="62" customWidth="1"/>
    <col min="12319" max="12556" width="12" style="62"/>
    <col min="12557" max="12557" width="16.33203125" style="62" customWidth="1"/>
    <col min="12558" max="12558" width="30.83203125" style="62" customWidth="1"/>
    <col min="12559" max="12559" width="15.1640625" style="62" customWidth="1"/>
    <col min="12560" max="12560" width="17" style="62" customWidth="1"/>
    <col min="12561" max="12561" width="16.33203125" style="62" customWidth="1"/>
    <col min="12562" max="12565" width="13" style="62" bestFit="1" customWidth="1"/>
    <col min="12566" max="12572" width="13" style="62" customWidth="1"/>
    <col min="12573" max="12573" width="13" style="62" bestFit="1" customWidth="1"/>
    <col min="12574" max="12574" width="17.5" style="62" customWidth="1"/>
    <col min="12575" max="12812" width="12" style="62"/>
    <col min="12813" max="12813" width="16.33203125" style="62" customWidth="1"/>
    <col min="12814" max="12814" width="30.83203125" style="62" customWidth="1"/>
    <col min="12815" max="12815" width="15.1640625" style="62" customWidth="1"/>
    <col min="12816" max="12816" width="17" style="62" customWidth="1"/>
    <col min="12817" max="12817" width="16.33203125" style="62" customWidth="1"/>
    <col min="12818" max="12821" width="13" style="62" bestFit="1" customWidth="1"/>
    <col min="12822" max="12828" width="13" style="62" customWidth="1"/>
    <col min="12829" max="12829" width="13" style="62" bestFit="1" customWidth="1"/>
    <col min="12830" max="12830" width="17.5" style="62" customWidth="1"/>
    <col min="12831" max="13068" width="12" style="62"/>
    <col min="13069" max="13069" width="16.33203125" style="62" customWidth="1"/>
    <col min="13070" max="13070" width="30.83203125" style="62" customWidth="1"/>
    <col min="13071" max="13071" width="15.1640625" style="62" customWidth="1"/>
    <col min="13072" max="13072" width="17" style="62" customWidth="1"/>
    <col min="13073" max="13073" width="16.33203125" style="62" customWidth="1"/>
    <col min="13074" max="13077" width="13" style="62" bestFit="1" customWidth="1"/>
    <col min="13078" max="13084" width="13" style="62" customWidth="1"/>
    <col min="13085" max="13085" width="13" style="62" bestFit="1" customWidth="1"/>
    <col min="13086" max="13086" width="17.5" style="62" customWidth="1"/>
    <col min="13087" max="13324" width="12" style="62"/>
    <col min="13325" max="13325" width="16.33203125" style="62" customWidth="1"/>
    <col min="13326" max="13326" width="30.83203125" style="62" customWidth="1"/>
    <col min="13327" max="13327" width="15.1640625" style="62" customWidth="1"/>
    <col min="13328" max="13328" width="17" style="62" customWidth="1"/>
    <col min="13329" max="13329" width="16.33203125" style="62" customWidth="1"/>
    <col min="13330" max="13333" width="13" style="62" bestFit="1" customWidth="1"/>
    <col min="13334" max="13340" width="13" style="62" customWidth="1"/>
    <col min="13341" max="13341" width="13" style="62" bestFit="1" customWidth="1"/>
    <col min="13342" max="13342" width="17.5" style="62" customWidth="1"/>
    <col min="13343" max="13580" width="12" style="62"/>
    <col min="13581" max="13581" width="16.33203125" style="62" customWidth="1"/>
    <col min="13582" max="13582" width="30.83203125" style="62" customWidth="1"/>
    <col min="13583" max="13583" width="15.1640625" style="62" customWidth="1"/>
    <col min="13584" max="13584" width="17" style="62" customWidth="1"/>
    <col min="13585" max="13585" width="16.33203125" style="62" customWidth="1"/>
    <col min="13586" max="13589" width="13" style="62" bestFit="1" customWidth="1"/>
    <col min="13590" max="13596" width="13" style="62" customWidth="1"/>
    <col min="13597" max="13597" width="13" style="62" bestFit="1" customWidth="1"/>
    <col min="13598" max="13598" width="17.5" style="62" customWidth="1"/>
    <col min="13599" max="13836" width="12" style="62"/>
    <col min="13837" max="13837" width="16.33203125" style="62" customWidth="1"/>
    <col min="13838" max="13838" width="30.83203125" style="62" customWidth="1"/>
    <col min="13839" max="13839" width="15.1640625" style="62" customWidth="1"/>
    <col min="13840" max="13840" width="17" style="62" customWidth="1"/>
    <col min="13841" max="13841" width="16.33203125" style="62" customWidth="1"/>
    <col min="13842" max="13845" width="13" style="62" bestFit="1" customWidth="1"/>
    <col min="13846" max="13852" width="13" style="62" customWidth="1"/>
    <col min="13853" max="13853" width="13" style="62" bestFit="1" customWidth="1"/>
    <col min="13854" max="13854" width="17.5" style="62" customWidth="1"/>
    <col min="13855" max="14092" width="12" style="62"/>
    <col min="14093" max="14093" width="16.33203125" style="62" customWidth="1"/>
    <col min="14094" max="14094" width="30.83203125" style="62" customWidth="1"/>
    <col min="14095" max="14095" width="15.1640625" style="62" customWidth="1"/>
    <col min="14096" max="14096" width="17" style="62" customWidth="1"/>
    <col min="14097" max="14097" width="16.33203125" style="62" customWidth="1"/>
    <col min="14098" max="14101" width="13" style="62" bestFit="1" customWidth="1"/>
    <col min="14102" max="14108" width="13" style="62" customWidth="1"/>
    <col min="14109" max="14109" width="13" style="62" bestFit="1" customWidth="1"/>
    <col min="14110" max="14110" width="17.5" style="62" customWidth="1"/>
    <col min="14111" max="14348" width="12" style="62"/>
    <col min="14349" max="14349" width="16.33203125" style="62" customWidth="1"/>
    <col min="14350" max="14350" width="30.83203125" style="62" customWidth="1"/>
    <col min="14351" max="14351" width="15.1640625" style="62" customWidth="1"/>
    <col min="14352" max="14352" width="17" style="62" customWidth="1"/>
    <col min="14353" max="14353" width="16.33203125" style="62" customWidth="1"/>
    <col min="14354" max="14357" width="13" style="62" bestFit="1" customWidth="1"/>
    <col min="14358" max="14364" width="13" style="62" customWidth="1"/>
    <col min="14365" max="14365" width="13" style="62" bestFit="1" customWidth="1"/>
    <col min="14366" max="14366" width="17.5" style="62" customWidth="1"/>
    <col min="14367" max="14604" width="12" style="62"/>
    <col min="14605" max="14605" width="16.33203125" style="62" customWidth="1"/>
    <col min="14606" max="14606" width="30.83203125" style="62" customWidth="1"/>
    <col min="14607" max="14607" width="15.1640625" style="62" customWidth="1"/>
    <col min="14608" max="14608" width="17" style="62" customWidth="1"/>
    <col min="14609" max="14609" width="16.33203125" style="62" customWidth="1"/>
    <col min="14610" max="14613" width="13" style="62" bestFit="1" customWidth="1"/>
    <col min="14614" max="14620" width="13" style="62" customWidth="1"/>
    <col min="14621" max="14621" width="13" style="62" bestFit="1" customWidth="1"/>
    <col min="14622" max="14622" width="17.5" style="62" customWidth="1"/>
    <col min="14623" max="14860" width="12" style="62"/>
    <col min="14861" max="14861" width="16.33203125" style="62" customWidth="1"/>
    <col min="14862" max="14862" width="30.83203125" style="62" customWidth="1"/>
    <col min="14863" max="14863" width="15.1640625" style="62" customWidth="1"/>
    <col min="14864" max="14864" width="17" style="62" customWidth="1"/>
    <col min="14865" max="14865" width="16.33203125" style="62" customWidth="1"/>
    <col min="14866" max="14869" width="13" style="62" bestFit="1" customWidth="1"/>
    <col min="14870" max="14876" width="13" style="62" customWidth="1"/>
    <col min="14877" max="14877" width="13" style="62" bestFit="1" customWidth="1"/>
    <col min="14878" max="14878" width="17.5" style="62" customWidth="1"/>
    <col min="14879" max="15116" width="12" style="62"/>
    <col min="15117" max="15117" width="16.33203125" style="62" customWidth="1"/>
    <col min="15118" max="15118" width="30.83203125" style="62" customWidth="1"/>
    <col min="15119" max="15119" width="15.1640625" style="62" customWidth="1"/>
    <col min="15120" max="15120" width="17" style="62" customWidth="1"/>
    <col min="15121" max="15121" width="16.33203125" style="62" customWidth="1"/>
    <col min="15122" max="15125" width="13" style="62" bestFit="1" customWidth="1"/>
    <col min="15126" max="15132" width="13" style="62" customWidth="1"/>
    <col min="15133" max="15133" width="13" style="62" bestFit="1" customWidth="1"/>
    <col min="15134" max="15134" width="17.5" style="62" customWidth="1"/>
    <col min="15135" max="15372" width="12" style="62"/>
    <col min="15373" max="15373" width="16.33203125" style="62" customWidth="1"/>
    <col min="15374" max="15374" width="30.83203125" style="62" customWidth="1"/>
    <col min="15375" max="15375" width="15.1640625" style="62" customWidth="1"/>
    <col min="15376" max="15376" width="17" style="62" customWidth="1"/>
    <col min="15377" max="15377" width="16.33203125" style="62" customWidth="1"/>
    <col min="15378" max="15381" width="13" style="62" bestFit="1" customWidth="1"/>
    <col min="15382" max="15388" width="13" style="62" customWidth="1"/>
    <col min="15389" max="15389" width="13" style="62" bestFit="1" customWidth="1"/>
    <col min="15390" max="15390" width="17.5" style="62" customWidth="1"/>
    <col min="15391" max="15628" width="12" style="62"/>
    <col min="15629" max="15629" width="16.33203125" style="62" customWidth="1"/>
    <col min="15630" max="15630" width="30.83203125" style="62" customWidth="1"/>
    <col min="15631" max="15631" width="15.1640625" style="62" customWidth="1"/>
    <col min="15632" max="15632" width="17" style="62" customWidth="1"/>
    <col min="15633" max="15633" width="16.33203125" style="62" customWidth="1"/>
    <col min="15634" max="15637" width="13" style="62" bestFit="1" customWidth="1"/>
    <col min="15638" max="15644" width="13" style="62" customWidth="1"/>
    <col min="15645" max="15645" width="13" style="62" bestFit="1" customWidth="1"/>
    <col min="15646" max="15646" width="17.5" style="62" customWidth="1"/>
    <col min="15647" max="15884" width="12" style="62"/>
    <col min="15885" max="15885" width="16.33203125" style="62" customWidth="1"/>
    <col min="15886" max="15886" width="30.83203125" style="62" customWidth="1"/>
    <col min="15887" max="15887" width="15.1640625" style="62" customWidth="1"/>
    <col min="15888" max="15888" width="17" style="62" customWidth="1"/>
    <col min="15889" max="15889" width="16.33203125" style="62" customWidth="1"/>
    <col min="15890" max="15893" width="13" style="62" bestFit="1" customWidth="1"/>
    <col min="15894" max="15900" width="13" style="62" customWidth="1"/>
    <col min="15901" max="15901" width="13" style="62" bestFit="1" customWidth="1"/>
    <col min="15902" max="15902" width="17.5" style="62" customWidth="1"/>
    <col min="15903" max="16140" width="12" style="62"/>
    <col min="16141" max="16141" width="16.33203125" style="62" customWidth="1"/>
    <col min="16142" max="16142" width="30.83203125" style="62" customWidth="1"/>
    <col min="16143" max="16143" width="15.1640625" style="62" customWidth="1"/>
    <col min="16144" max="16144" width="17" style="62" customWidth="1"/>
    <col min="16145" max="16145" width="16.33203125" style="62" customWidth="1"/>
    <col min="16146" max="16149" width="13" style="62" bestFit="1" customWidth="1"/>
    <col min="16150" max="16156" width="13" style="62" customWidth="1"/>
    <col min="16157" max="16157" width="13" style="62" bestFit="1" customWidth="1"/>
    <col min="16158" max="16158" width="17.5" style="62" customWidth="1"/>
    <col min="16159" max="16384" width="12" style="62"/>
  </cols>
  <sheetData>
    <row r="1" spans="1:31" ht="18" customHeight="1" x14ac:dyDescent="0.2">
      <c r="A1" s="1006"/>
      <c r="B1" s="1007"/>
      <c r="C1" s="1007" t="s">
        <v>0</v>
      </c>
      <c r="D1" s="1007"/>
      <c r="E1" s="1007"/>
      <c r="F1" s="1007"/>
      <c r="G1" s="1007"/>
      <c r="H1" s="1007"/>
      <c r="I1" s="1007"/>
      <c r="J1" s="1007"/>
      <c r="K1" s="1007"/>
      <c r="L1" s="1007"/>
      <c r="M1" s="1007"/>
      <c r="N1" s="1007"/>
      <c r="O1" s="1007"/>
      <c r="P1" s="1007"/>
      <c r="Q1" s="1007"/>
      <c r="R1" s="1097"/>
      <c r="S1" s="1097"/>
      <c r="T1" s="1097"/>
      <c r="U1" s="1097"/>
      <c r="V1" s="1097"/>
      <c r="W1" s="1097"/>
      <c r="X1" s="1097"/>
      <c r="Y1" s="1097"/>
      <c r="Z1" s="1097"/>
      <c r="AA1" s="1097"/>
      <c r="AB1" s="1097"/>
      <c r="AC1" s="1097"/>
      <c r="AD1" s="1015"/>
      <c r="AE1" s="339" t="s">
        <v>104</v>
      </c>
    </row>
    <row r="2" spans="1:31" ht="23.25" customHeight="1" x14ac:dyDescent="0.2">
      <c r="A2" s="1008"/>
      <c r="B2" s="1009"/>
      <c r="C2" s="1009" t="s">
        <v>105</v>
      </c>
      <c r="D2" s="1009"/>
      <c r="E2" s="1009"/>
      <c r="F2" s="1009"/>
      <c r="G2" s="1009"/>
      <c r="H2" s="1009"/>
      <c r="I2" s="1009"/>
      <c r="J2" s="1009"/>
      <c r="K2" s="1009"/>
      <c r="L2" s="1009"/>
      <c r="M2" s="1009"/>
      <c r="N2" s="1009"/>
      <c r="O2" s="1009"/>
      <c r="P2" s="1009"/>
      <c r="Q2" s="1009"/>
      <c r="R2" s="1098"/>
      <c r="S2" s="1098"/>
      <c r="T2" s="1098"/>
      <c r="U2" s="1098"/>
      <c r="V2" s="1098"/>
      <c r="W2" s="1098"/>
      <c r="X2" s="1098"/>
      <c r="Y2" s="1098"/>
      <c r="Z2" s="1098"/>
      <c r="AA2" s="1098"/>
      <c r="AB2" s="1098"/>
      <c r="AC2" s="1098"/>
      <c r="AD2" s="1016"/>
      <c r="AE2" s="61"/>
    </row>
    <row r="3" spans="1:31" ht="23.25" customHeight="1" thickBot="1" x14ac:dyDescent="0.25">
      <c r="A3" s="1010"/>
      <c r="B3" s="1011"/>
      <c r="C3" s="1011" t="s">
        <v>2</v>
      </c>
      <c r="D3" s="1011"/>
      <c r="E3" s="1011"/>
      <c r="F3" s="1011"/>
      <c r="G3" s="1011"/>
      <c r="H3" s="1011" t="str">
        <f>Instructivo!G3</f>
        <v>VERSIÓN: 04</v>
      </c>
      <c r="I3" s="1011"/>
      <c r="J3" s="1011"/>
      <c r="K3" s="1011"/>
      <c r="L3" s="1011"/>
      <c r="M3" s="1011"/>
      <c r="N3" s="1011"/>
      <c r="O3" s="1011"/>
      <c r="P3" s="1011"/>
      <c r="Q3" s="1011"/>
      <c r="R3" s="1099"/>
      <c r="S3" s="1099"/>
      <c r="T3" s="1099"/>
      <c r="U3" s="1099"/>
      <c r="V3" s="1099"/>
      <c r="W3" s="1099"/>
      <c r="X3" s="1099"/>
      <c r="Y3" s="1099"/>
      <c r="Z3" s="1099"/>
      <c r="AA3" s="1099"/>
      <c r="AB3" s="1099"/>
      <c r="AC3" s="1099"/>
      <c r="AD3" s="1017"/>
      <c r="AE3" s="61"/>
    </row>
    <row r="4" spans="1:31" ht="18" customHeight="1" thickBot="1" x14ac:dyDescent="0.25">
      <c r="A4" s="63"/>
      <c r="B4" s="64"/>
      <c r="C4" s="64"/>
      <c r="D4" s="65"/>
      <c r="E4" s="64"/>
      <c r="F4" s="64"/>
      <c r="G4" s="64"/>
      <c r="H4" s="64"/>
      <c r="I4" s="64"/>
      <c r="J4" s="64"/>
      <c r="K4" s="64"/>
      <c r="L4" s="64"/>
      <c r="M4" s="64"/>
      <c r="N4" s="64"/>
      <c r="O4" s="64"/>
      <c r="P4" s="64"/>
      <c r="Q4" s="64"/>
      <c r="R4" s="64"/>
      <c r="S4" s="64"/>
      <c r="T4" s="64"/>
      <c r="U4" s="64"/>
      <c r="V4" s="64"/>
      <c r="W4" s="64"/>
      <c r="X4" s="64"/>
      <c r="Y4" s="64"/>
      <c r="Z4" s="64"/>
      <c r="AA4" s="64"/>
      <c r="AB4" s="64"/>
      <c r="AC4" s="64"/>
      <c r="AD4" s="64"/>
      <c r="AE4" s="61"/>
    </row>
    <row r="5" spans="1:31" s="61" customFormat="1" ht="18" customHeight="1" thickBot="1" x14ac:dyDescent="0.25">
      <c r="A5" s="1092" t="s">
        <v>106</v>
      </c>
      <c r="B5" s="1093"/>
      <c r="C5" s="1094" t="s">
        <v>107</v>
      </c>
      <c r="D5" s="1095"/>
      <c r="E5" s="1095"/>
      <c r="F5" s="1095"/>
      <c r="G5" s="1095"/>
      <c r="H5" s="1095"/>
      <c r="I5" s="1095"/>
      <c r="J5" s="1095"/>
      <c r="K5" s="1095"/>
      <c r="L5" s="1095"/>
      <c r="M5" s="1095"/>
      <c r="N5" s="1095"/>
      <c r="O5" s="1095"/>
      <c r="P5" s="1095"/>
      <c r="Q5" s="1095"/>
      <c r="R5" s="1095"/>
      <c r="S5" s="1095"/>
      <c r="T5" s="1095"/>
      <c r="U5" s="1095"/>
      <c r="V5" s="1095"/>
      <c r="W5" s="1095"/>
      <c r="X5" s="1095"/>
      <c r="Y5" s="1095"/>
      <c r="Z5" s="1095"/>
      <c r="AA5" s="1095"/>
      <c r="AB5" s="1095"/>
      <c r="AC5" s="1095"/>
      <c r="AD5" s="1096"/>
      <c r="AE5" s="566" t="str">
        <f>C5</f>
        <v>Licitación Pública</v>
      </c>
    </row>
    <row r="6" spans="1:31" s="61" customFormat="1" ht="18" customHeight="1" thickBot="1" x14ac:dyDescent="0.25">
      <c r="A6" s="1092" t="s">
        <v>108</v>
      </c>
      <c r="B6" s="1093"/>
      <c r="C6" s="1094" t="s">
        <v>109</v>
      </c>
      <c r="D6" s="1095"/>
      <c r="E6" s="1095"/>
      <c r="F6" s="1095"/>
      <c r="G6" s="1095"/>
      <c r="H6" s="1095"/>
      <c r="I6" s="1095"/>
      <c r="J6" s="1095"/>
      <c r="K6" s="1095"/>
      <c r="L6" s="1095"/>
      <c r="M6" s="1095"/>
      <c r="N6" s="1095"/>
      <c r="O6" s="1095"/>
      <c r="P6" s="1095"/>
      <c r="Q6" s="1095"/>
      <c r="R6" s="1095"/>
      <c r="S6" s="1095"/>
      <c r="T6" s="1095"/>
      <c r="U6" s="1095"/>
      <c r="V6" s="1095"/>
      <c r="W6" s="1095"/>
      <c r="X6" s="1095"/>
      <c r="Y6" s="1095"/>
      <c r="Z6" s="1095"/>
      <c r="AA6" s="1095"/>
      <c r="AB6" s="1095"/>
      <c r="AC6" s="1095"/>
      <c r="AD6" s="1096"/>
      <c r="AE6" s="566" t="str">
        <f>C6</f>
        <v>“Adquirir el Programa de Seguros para la protección de los bienes e intereses, según los ramos y coberturas que requiera CORANTIOQUIA”.</v>
      </c>
    </row>
    <row r="7" spans="1:31" s="61" customFormat="1" ht="18" customHeight="1" thickBot="1" x14ac:dyDescent="0.25">
      <c r="B7" s="67"/>
      <c r="C7" s="67"/>
      <c r="D7" s="68"/>
      <c r="E7" s="67"/>
      <c r="F7" s="69"/>
      <c r="G7" s="69"/>
      <c r="H7" s="69"/>
      <c r="I7" s="69"/>
      <c r="J7" s="70"/>
      <c r="K7" s="70"/>
      <c r="L7" s="70"/>
      <c r="M7" s="70"/>
      <c r="N7" s="70"/>
      <c r="O7" s="70"/>
      <c r="P7" s="70"/>
      <c r="Q7" s="70"/>
      <c r="R7" s="70"/>
      <c r="S7" s="70"/>
      <c r="T7" s="70"/>
      <c r="U7" s="70"/>
      <c r="V7" s="70"/>
      <c r="W7" s="70"/>
      <c r="X7" s="70"/>
      <c r="Y7" s="70"/>
      <c r="Z7" s="70"/>
      <c r="AA7" s="70"/>
      <c r="AB7" s="70"/>
      <c r="AC7" s="70"/>
      <c r="AD7" s="70"/>
      <c r="AE7" s="66"/>
    </row>
    <row r="8" spans="1:31" ht="18" customHeight="1" thickBot="1" x14ac:dyDescent="0.25">
      <c r="A8" s="1088" t="s">
        <v>110</v>
      </c>
      <c r="B8" s="1088"/>
      <c r="C8" s="1089"/>
      <c r="D8" s="1090"/>
      <c r="E8" s="1090"/>
      <c r="F8" s="1091"/>
      <c r="H8" s="71"/>
      <c r="I8" s="71"/>
      <c r="J8" s="71"/>
      <c r="K8" s="71"/>
      <c r="L8" s="71"/>
      <c r="M8" s="71"/>
      <c r="N8" s="71"/>
      <c r="O8" s="71"/>
      <c r="P8" s="71"/>
      <c r="Q8" s="71"/>
      <c r="R8" s="71"/>
      <c r="S8" s="71"/>
      <c r="T8" s="71"/>
      <c r="U8" s="71"/>
      <c r="V8" s="71"/>
      <c r="W8" s="71"/>
      <c r="X8" s="71"/>
      <c r="Y8" s="71"/>
      <c r="Z8" s="71"/>
      <c r="AA8" s="71"/>
      <c r="AB8" s="71"/>
      <c r="AC8" s="71"/>
    </row>
    <row r="9" spans="1:31" ht="18" customHeight="1" thickBot="1" x14ac:dyDescent="0.25">
      <c r="A9" s="1088" t="s">
        <v>111</v>
      </c>
      <c r="B9" s="1088"/>
      <c r="C9" s="1089"/>
      <c r="D9" s="1090"/>
      <c r="E9" s="1090"/>
      <c r="F9" s="1091"/>
      <c r="H9" s="99"/>
      <c r="I9" s="71"/>
      <c r="J9" s="71"/>
      <c r="K9" s="71"/>
      <c r="L9" s="71"/>
      <c r="M9" s="71"/>
      <c r="N9" s="71"/>
      <c r="O9" s="71"/>
      <c r="P9" s="71"/>
      <c r="Q9" s="71"/>
      <c r="R9" s="71"/>
      <c r="S9" s="71"/>
      <c r="T9" s="71"/>
      <c r="U9" s="71"/>
      <c r="V9" s="71"/>
      <c r="W9" s="71"/>
      <c r="X9" s="71"/>
      <c r="Y9" s="71"/>
      <c r="Z9" s="71"/>
      <c r="AA9" s="71"/>
      <c r="AB9" s="71"/>
      <c r="AC9" s="71"/>
    </row>
    <row r="10" spans="1:31" ht="18" customHeight="1" thickBot="1" x14ac:dyDescent="0.25">
      <c r="A10" s="1061" t="s">
        <v>112</v>
      </c>
      <c r="B10" s="1061"/>
      <c r="C10" s="1089" t="s">
        <v>113</v>
      </c>
      <c r="D10" s="1090"/>
      <c r="E10" s="1090"/>
      <c r="F10" s="1091"/>
      <c r="H10" s="71"/>
      <c r="I10" s="71"/>
      <c r="J10" s="71"/>
      <c r="K10" s="71"/>
      <c r="L10" s="71"/>
      <c r="M10" s="71"/>
      <c r="N10" s="71"/>
      <c r="O10" s="71"/>
      <c r="P10" s="71"/>
      <c r="Q10" s="71"/>
      <c r="R10" s="71"/>
      <c r="S10" s="71"/>
      <c r="T10" s="71"/>
      <c r="U10" s="71"/>
      <c r="V10" s="71"/>
      <c r="W10" s="71"/>
      <c r="X10" s="71"/>
      <c r="Y10" s="71"/>
      <c r="Z10" s="71"/>
      <c r="AA10" s="71"/>
      <c r="AB10" s="71"/>
      <c r="AC10" s="71"/>
    </row>
    <row r="11" spans="1:31" ht="18" customHeight="1" thickBot="1" x14ac:dyDescent="0.25">
      <c r="A11" s="1061" t="s">
        <v>114</v>
      </c>
      <c r="B11" s="1061"/>
      <c r="C11" s="1062" t="s">
        <v>115</v>
      </c>
      <c r="D11" s="1063"/>
      <c r="E11" s="1063"/>
      <c r="F11" s="1064"/>
      <c r="H11" s="71"/>
      <c r="I11" s="71"/>
    </row>
    <row r="12" spans="1:31" ht="18" customHeight="1" thickBot="1" x14ac:dyDescent="0.25">
      <c r="A12" s="72"/>
      <c r="B12" s="73"/>
      <c r="C12" s="73"/>
      <c r="D12" s="74"/>
      <c r="E12" s="73"/>
      <c r="F12" s="73"/>
      <c r="G12" s="75"/>
      <c r="H12" s="75"/>
      <c r="I12" s="75"/>
    </row>
    <row r="13" spans="1:31" ht="18" customHeight="1" x14ac:dyDescent="0.2">
      <c r="A13" s="1065" t="s">
        <v>116</v>
      </c>
      <c r="B13" s="1066"/>
      <c r="C13" s="1066"/>
      <c r="D13" s="1066"/>
      <c r="E13" s="1066"/>
      <c r="F13" s="1066"/>
      <c r="G13" s="1066"/>
      <c r="H13" s="1066"/>
      <c r="I13" s="1066"/>
      <c r="J13" s="1066"/>
      <c r="K13" s="1066"/>
      <c r="L13" s="1066"/>
      <c r="M13" s="1066"/>
      <c r="N13" s="1066"/>
      <c r="O13" s="1066"/>
      <c r="P13" s="1066"/>
      <c r="Q13" s="1066"/>
      <c r="R13" s="1067"/>
      <c r="S13" s="1067"/>
      <c r="T13" s="1067"/>
      <c r="U13" s="1067"/>
      <c r="V13" s="1067"/>
      <c r="W13" s="1067"/>
      <c r="X13" s="1067"/>
      <c r="Y13" s="1067"/>
      <c r="Z13" s="1067"/>
      <c r="AA13" s="1067"/>
      <c r="AB13" s="1067"/>
      <c r="AC13" s="1067"/>
      <c r="AD13" s="1068"/>
    </row>
    <row r="14" spans="1:31" ht="18" customHeight="1" x14ac:dyDescent="0.2">
      <c r="A14" s="1110"/>
      <c r="B14" s="1103" t="s">
        <v>18</v>
      </c>
      <c r="C14" s="1076" t="s">
        <v>117</v>
      </c>
      <c r="D14" s="1075" t="s">
        <v>118</v>
      </c>
      <c r="E14" s="1076" t="s">
        <v>119</v>
      </c>
      <c r="F14" s="1076" t="s">
        <v>120</v>
      </c>
      <c r="G14" s="1103" t="s">
        <v>121</v>
      </c>
      <c r="H14" s="1103"/>
      <c r="I14" s="1103"/>
      <c r="J14" s="1103"/>
      <c r="K14" s="1103"/>
      <c r="L14" s="1103"/>
      <c r="M14" s="1103"/>
      <c r="N14" s="1103"/>
      <c r="O14" s="1103"/>
      <c r="P14" s="1103"/>
      <c r="Q14" s="1103"/>
      <c r="R14" s="1104"/>
      <c r="S14" s="1104"/>
      <c r="T14" s="1104"/>
      <c r="U14" s="1104"/>
      <c r="V14" s="1104"/>
      <c r="W14" s="1104"/>
      <c r="X14" s="1104"/>
      <c r="Y14" s="1104"/>
      <c r="Z14" s="1104"/>
      <c r="AA14" s="1104"/>
      <c r="AB14" s="1104"/>
      <c r="AC14" s="1104"/>
      <c r="AD14" s="1105"/>
    </row>
    <row r="15" spans="1:31" ht="27.75" customHeight="1" x14ac:dyDescent="0.2">
      <c r="A15" s="1110"/>
      <c r="B15" s="1103"/>
      <c r="C15" s="1076"/>
      <c r="D15" s="1075"/>
      <c r="E15" s="1076"/>
      <c r="F15" s="1076"/>
      <c r="G15" s="347" t="s">
        <v>122</v>
      </c>
      <c r="H15" s="347" t="s">
        <v>123</v>
      </c>
      <c r="I15" s="347" t="s">
        <v>124</v>
      </c>
      <c r="J15" s="347" t="s">
        <v>125</v>
      </c>
      <c r="K15" s="347" t="s">
        <v>126</v>
      </c>
      <c r="L15" s="347" t="s">
        <v>127</v>
      </c>
      <c r="M15" s="347" t="s">
        <v>128</v>
      </c>
      <c r="N15" s="347" t="s">
        <v>129</v>
      </c>
      <c r="O15" s="347" t="s">
        <v>130</v>
      </c>
      <c r="P15" s="347" t="s">
        <v>131</v>
      </c>
      <c r="Q15" s="347" t="s">
        <v>132</v>
      </c>
      <c r="R15" s="347" t="s">
        <v>133</v>
      </c>
      <c r="S15" s="347" t="s">
        <v>134</v>
      </c>
      <c r="T15" s="347" t="s">
        <v>135</v>
      </c>
      <c r="U15" s="347" t="s">
        <v>136</v>
      </c>
      <c r="V15" s="347" t="s">
        <v>137</v>
      </c>
      <c r="W15" s="347" t="s">
        <v>138</v>
      </c>
      <c r="X15" s="347" t="s">
        <v>139</v>
      </c>
      <c r="Y15" s="347" t="s">
        <v>140</v>
      </c>
      <c r="Z15" s="347" t="s">
        <v>141</v>
      </c>
      <c r="AA15" s="347" t="s">
        <v>142</v>
      </c>
      <c r="AB15" s="347" t="s">
        <v>143</v>
      </c>
      <c r="AC15" s="347" t="s">
        <v>144</v>
      </c>
      <c r="AD15" s="347" t="s">
        <v>145</v>
      </c>
    </row>
    <row r="16" spans="1:31" s="79" customFormat="1" ht="51" customHeight="1" x14ac:dyDescent="0.2">
      <c r="A16" s="77" t="s">
        <v>146</v>
      </c>
      <c r="B16" s="916" t="s">
        <v>147</v>
      </c>
      <c r="C16" s="598">
        <v>1</v>
      </c>
      <c r="D16" s="919">
        <v>0</v>
      </c>
      <c r="E16" s="599" t="s">
        <v>148</v>
      </c>
      <c r="F16" s="600"/>
      <c r="G16" s="600"/>
      <c r="H16" s="600"/>
      <c r="I16" s="600"/>
      <c r="J16" s="600"/>
      <c r="K16" s="600"/>
      <c r="L16" s="600"/>
      <c r="M16" s="600"/>
      <c r="N16" s="600"/>
      <c r="O16" s="600"/>
      <c r="P16" s="600"/>
      <c r="Q16" s="600"/>
      <c r="R16" s="738"/>
      <c r="S16" s="738"/>
      <c r="T16" s="738"/>
      <c r="U16" s="738"/>
      <c r="V16" s="738"/>
      <c r="W16" s="738"/>
      <c r="X16" s="738"/>
      <c r="Y16" s="738"/>
      <c r="Z16" s="738"/>
      <c r="AA16" s="738"/>
      <c r="AB16" s="738"/>
      <c r="AC16" s="738"/>
      <c r="AD16" s="601"/>
      <c r="AE16" s="78">
        <f>F16-SUM(G16:AD16)</f>
        <v>0</v>
      </c>
    </row>
    <row r="17" spans="1:31" ht="126" customHeight="1" x14ac:dyDescent="0.2">
      <c r="A17" s="80" t="s">
        <v>149</v>
      </c>
      <c r="B17" s="917" t="s">
        <v>150</v>
      </c>
      <c r="C17" s="924">
        <v>0.305392</v>
      </c>
      <c r="D17" s="918"/>
      <c r="E17" s="37"/>
      <c r="F17" s="51">
        <v>1</v>
      </c>
      <c r="G17" s="51">
        <v>0</v>
      </c>
      <c r="H17" s="921">
        <v>0.305392</v>
      </c>
      <c r="I17" s="920">
        <v>0</v>
      </c>
      <c r="J17" s="51">
        <v>0</v>
      </c>
      <c r="K17" s="51">
        <v>0</v>
      </c>
      <c r="L17" s="51">
        <v>0</v>
      </c>
      <c r="M17" s="51">
        <v>0</v>
      </c>
      <c r="N17" s="51">
        <v>0</v>
      </c>
      <c r="O17" s="51">
        <f t="shared" ref="O17:Q17" si="0">O18+O24+O30+O36+O42+O48</f>
        <v>0</v>
      </c>
      <c r="P17" s="51">
        <f t="shared" si="0"/>
        <v>0</v>
      </c>
      <c r="Q17" s="51">
        <f t="shared" si="0"/>
        <v>0</v>
      </c>
      <c r="R17" s="51">
        <f>R18+R24+R30+R36+R42+R48</f>
        <v>0</v>
      </c>
      <c r="S17" s="51">
        <f t="shared" ref="S17:AC17" si="1">S18+S24+S30+S36+S42</f>
        <v>0</v>
      </c>
      <c r="T17" s="51">
        <f t="shared" si="1"/>
        <v>0</v>
      </c>
      <c r="U17" s="51">
        <f t="shared" si="1"/>
        <v>0</v>
      </c>
      <c r="V17" s="51">
        <f t="shared" si="1"/>
        <v>0</v>
      </c>
      <c r="W17" s="51">
        <f t="shared" si="1"/>
        <v>0</v>
      </c>
      <c r="X17" s="51">
        <f t="shared" si="1"/>
        <v>0</v>
      </c>
      <c r="Y17" s="51">
        <f t="shared" si="1"/>
        <v>0</v>
      </c>
      <c r="Z17" s="51">
        <f t="shared" si="1"/>
        <v>0</v>
      </c>
      <c r="AA17" s="51">
        <f t="shared" si="1"/>
        <v>0</v>
      </c>
      <c r="AB17" s="51">
        <f t="shared" si="1"/>
        <v>0</v>
      </c>
      <c r="AC17" s="51">
        <f t="shared" si="1"/>
        <v>0</v>
      </c>
      <c r="AD17" s="51">
        <f>AD18+AD24+AD30+AD36+AD42</f>
        <v>0</v>
      </c>
      <c r="AE17" s="78">
        <f t="shared" ref="AE17:AE86" si="2">F17-SUM(G17:AD17)</f>
        <v>0.694608</v>
      </c>
    </row>
    <row r="18" spans="1:31" ht="150.75" customHeight="1" x14ac:dyDescent="0.2">
      <c r="A18" s="80" t="s">
        <v>151</v>
      </c>
      <c r="B18" s="917" t="s">
        <v>152</v>
      </c>
      <c r="C18" s="924">
        <v>0.40665099999999998</v>
      </c>
      <c r="D18" s="918"/>
      <c r="E18" s="37"/>
      <c r="F18" s="51">
        <v>1</v>
      </c>
      <c r="G18" s="51">
        <v>0</v>
      </c>
      <c r="H18" s="921">
        <v>0.40665099999999998</v>
      </c>
      <c r="I18" s="51">
        <v>0</v>
      </c>
      <c r="J18" s="51">
        <v>0</v>
      </c>
      <c r="K18" s="51">
        <v>0</v>
      </c>
      <c r="L18" s="51">
        <v>0</v>
      </c>
      <c r="M18" s="51">
        <v>0</v>
      </c>
      <c r="N18" s="51">
        <v>0</v>
      </c>
      <c r="O18" s="51">
        <v>0</v>
      </c>
      <c r="P18" s="51">
        <v>0</v>
      </c>
      <c r="Q18" s="51">
        <v>0</v>
      </c>
      <c r="R18" s="51">
        <f t="shared" ref="R18:AC18" si="3">SUM(R19:R23)</f>
        <v>0</v>
      </c>
      <c r="S18" s="51">
        <f t="shared" si="3"/>
        <v>0</v>
      </c>
      <c r="T18" s="51">
        <f t="shared" si="3"/>
        <v>0</v>
      </c>
      <c r="U18" s="51">
        <f t="shared" si="3"/>
        <v>0</v>
      </c>
      <c r="V18" s="51">
        <f t="shared" si="3"/>
        <v>0</v>
      </c>
      <c r="W18" s="51">
        <f t="shared" si="3"/>
        <v>0</v>
      </c>
      <c r="X18" s="51">
        <f t="shared" si="3"/>
        <v>0</v>
      </c>
      <c r="Y18" s="51">
        <f t="shared" si="3"/>
        <v>0</v>
      </c>
      <c r="Z18" s="51">
        <f t="shared" si="3"/>
        <v>0</v>
      </c>
      <c r="AA18" s="51">
        <f t="shared" si="3"/>
        <v>0</v>
      </c>
      <c r="AB18" s="51">
        <f t="shared" si="3"/>
        <v>0</v>
      </c>
      <c r="AC18" s="51">
        <f t="shared" si="3"/>
        <v>0</v>
      </c>
      <c r="AD18" s="51">
        <f>SUM(AD19:AD23)</f>
        <v>0</v>
      </c>
      <c r="AE18" s="78">
        <f t="shared" si="2"/>
        <v>0.59334900000000002</v>
      </c>
    </row>
    <row r="19" spans="1:31" ht="159" customHeight="1" x14ac:dyDescent="0.2">
      <c r="A19" s="80" t="s">
        <v>153</v>
      </c>
      <c r="B19" s="917" t="s">
        <v>154</v>
      </c>
      <c r="C19" s="924">
        <v>0.219892</v>
      </c>
      <c r="D19" s="918"/>
      <c r="E19" s="37"/>
      <c r="F19" s="51">
        <v>1</v>
      </c>
      <c r="G19" s="51">
        <v>0</v>
      </c>
      <c r="H19" s="921">
        <v>0.219892</v>
      </c>
      <c r="I19" s="51">
        <v>0</v>
      </c>
      <c r="J19" s="51">
        <v>0</v>
      </c>
      <c r="K19" s="51">
        <v>0</v>
      </c>
      <c r="L19" s="51">
        <v>0</v>
      </c>
      <c r="M19" s="51">
        <v>0</v>
      </c>
      <c r="N19" s="51">
        <v>0</v>
      </c>
      <c r="O19" s="51">
        <v>0</v>
      </c>
      <c r="P19" s="51">
        <v>0</v>
      </c>
      <c r="Q19" s="51">
        <v>0</v>
      </c>
      <c r="R19" s="51">
        <v>0</v>
      </c>
      <c r="S19" s="51"/>
      <c r="T19" s="51"/>
      <c r="U19" s="51"/>
      <c r="V19" s="51"/>
      <c r="W19" s="51"/>
      <c r="X19" s="51"/>
      <c r="Y19" s="51"/>
      <c r="Z19" s="51"/>
      <c r="AA19" s="51"/>
      <c r="AB19" s="51"/>
      <c r="AC19" s="51"/>
      <c r="AD19" s="51"/>
      <c r="AE19" s="78">
        <f t="shared" si="2"/>
        <v>0.78010800000000002</v>
      </c>
    </row>
    <row r="20" spans="1:31" ht="150.75" customHeight="1" x14ac:dyDescent="0.2">
      <c r="A20" s="80" t="s">
        <v>155</v>
      </c>
      <c r="B20" s="917" t="s">
        <v>156</v>
      </c>
      <c r="C20" s="924">
        <v>5.4595999999999999E-2</v>
      </c>
      <c r="D20" s="918"/>
      <c r="E20" s="37"/>
      <c r="F20" s="51">
        <v>1</v>
      </c>
      <c r="G20" s="51">
        <v>0</v>
      </c>
      <c r="H20" s="51">
        <v>0</v>
      </c>
      <c r="I20" s="51">
        <v>0</v>
      </c>
      <c r="J20" s="921">
        <v>5.4595999999999999E-2</v>
      </c>
      <c r="K20" s="51">
        <v>5.4595999999999999E-2</v>
      </c>
      <c r="L20" s="51">
        <v>0</v>
      </c>
      <c r="M20" s="51">
        <v>0</v>
      </c>
      <c r="N20" s="51">
        <v>0</v>
      </c>
      <c r="O20" s="51">
        <v>0</v>
      </c>
      <c r="P20" s="51">
        <v>0</v>
      </c>
      <c r="Q20" s="51">
        <v>0</v>
      </c>
      <c r="R20" s="51">
        <v>0</v>
      </c>
      <c r="S20" s="51"/>
      <c r="T20" s="51"/>
      <c r="U20" s="51"/>
      <c r="V20" s="51"/>
      <c r="W20" s="51"/>
      <c r="X20" s="51"/>
      <c r="Y20" s="51"/>
      <c r="Z20" s="51"/>
      <c r="AA20" s="51"/>
      <c r="AB20" s="51"/>
      <c r="AC20" s="51"/>
      <c r="AD20" s="51"/>
      <c r="AE20" s="78">
        <f t="shared" si="2"/>
        <v>0.89080800000000004</v>
      </c>
    </row>
    <row r="21" spans="1:31" ht="137.25" customHeight="1" x14ac:dyDescent="0.2">
      <c r="A21" s="80" t="s">
        <v>157</v>
      </c>
      <c r="B21" s="917" t="s">
        <v>158</v>
      </c>
      <c r="C21" s="924">
        <v>1.3469E-2</v>
      </c>
      <c r="D21" s="918"/>
      <c r="E21" s="37"/>
      <c r="F21" s="51">
        <v>1</v>
      </c>
      <c r="G21" s="51">
        <v>0</v>
      </c>
      <c r="H21" s="51">
        <v>0</v>
      </c>
      <c r="I21" s="51">
        <v>0</v>
      </c>
      <c r="J21" s="51">
        <v>0</v>
      </c>
      <c r="K21" s="51">
        <v>0</v>
      </c>
      <c r="L21" s="51">
        <v>0</v>
      </c>
      <c r="M21" s="51">
        <v>0</v>
      </c>
      <c r="N21" s="51">
        <v>0</v>
      </c>
      <c r="O21" s="51">
        <v>0</v>
      </c>
      <c r="P21" s="51">
        <v>0</v>
      </c>
      <c r="Q21" s="921">
        <v>1.3469E-2</v>
      </c>
      <c r="R21" s="51">
        <v>0</v>
      </c>
      <c r="S21" s="51"/>
      <c r="T21" s="51"/>
      <c r="U21" s="51"/>
      <c r="V21" s="51"/>
      <c r="W21" s="51"/>
      <c r="X21" s="51"/>
      <c r="Y21" s="51"/>
      <c r="Z21" s="51"/>
      <c r="AA21" s="51"/>
      <c r="AB21" s="51"/>
      <c r="AC21" s="51"/>
      <c r="AD21" s="51"/>
      <c r="AE21" s="78">
        <f t="shared" si="2"/>
        <v>0.98653100000000005</v>
      </c>
    </row>
    <row r="22" spans="1:31" ht="18" hidden="1" customHeight="1" x14ac:dyDescent="0.2">
      <c r="A22" s="82" t="s">
        <v>159</v>
      </c>
      <c r="B22" s="48"/>
      <c r="C22" s="598"/>
      <c r="D22" s="743">
        <f t="shared" ref="D22:D23" si="4">C22*$C$18*$C$17</f>
        <v>0</v>
      </c>
      <c r="E22" s="599"/>
      <c r="F22" s="602"/>
      <c r="G22" s="602"/>
      <c r="H22" s="602"/>
      <c r="I22" s="602"/>
      <c r="J22" s="602"/>
      <c r="K22" s="602"/>
      <c r="L22" s="602"/>
      <c r="M22" s="602"/>
      <c r="N22" s="602"/>
      <c r="O22" s="602"/>
      <c r="P22" s="602"/>
      <c r="Q22" s="602"/>
      <c r="R22" s="602"/>
      <c r="S22" s="602"/>
      <c r="T22" s="602"/>
      <c r="U22" s="602"/>
      <c r="V22" s="602"/>
      <c r="W22" s="602"/>
      <c r="X22" s="602"/>
      <c r="Y22" s="602"/>
      <c r="Z22" s="602"/>
      <c r="AA22" s="602"/>
      <c r="AB22" s="602"/>
      <c r="AC22" s="602"/>
      <c r="AD22" s="602"/>
      <c r="AE22" s="78">
        <f t="shared" si="2"/>
        <v>0</v>
      </c>
    </row>
    <row r="23" spans="1:31" ht="18" hidden="1" customHeight="1" x14ac:dyDescent="0.2">
      <c r="A23" s="82" t="s">
        <v>160</v>
      </c>
      <c r="B23" s="48"/>
      <c r="C23" s="598"/>
      <c r="D23" s="743">
        <f t="shared" si="4"/>
        <v>0</v>
      </c>
      <c r="E23" s="599"/>
      <c r="F23" s="602"/>
      <c r="G23" s="602"/>
      <c r="H23" s="602"/>
      <c r="I23" s="602"/>
      <c r="J23" s="602"/>
      <c r="K23" s="602"/>
      <c r="L23" s="602"/>
      <c r="M23" s="602"/>
      <c r="N23" s="602"/>
      <c r="O23" s="602"/>
      <c r="P23" s="602"/>
      <c r="Q23" s="602"/>
      <c r="R23" s="602"/>
      <c r="S23" s="602"/>
      <c r="T23" s="602"/>
      <c r="U23" s="602"/>
      <c r="V23" s="602"/>
      <c r="W23" s="602"/>
      <c r="X23" s="602"/>
      <c r="Y23" s="602"/>
      <c r="Z23" s="602"/>
      <c r="AA23" s="602"/>
      <c r="AB23" s="602"/>
      <c r="AC23" s="602"/>
      <c r="AD23" s="602"/>
      <c r="AE23" s="78">
        <f t="shared" si="2"/>
        <v>0</v>
      </c>
    </row>
    <row r="24" spans="1:31" ht="18" hidden="1" customHeight="1" x14ac:dyDescent="0.2">
      <c r="A24" s="81" t="s">
        <v>161</v>
      </c>
      <c r="B24" s="32"/>
      <c r="C24" s="33"/>
      <c r="D24" s="745"/>
      <c r="E24" s="34"/>
      <c r="F24" s="52"/>
      <c r="G24" s="52">
        <f>SUM(G25:G29)</f>
        <v>0</v>
      </c>
      <c r="H24" s="52">
        <f t="shared" ref="H24" si="5">SUM(H25:H29)</f>
        <v>0</v>
      </c>
      <c r="I24" s="52">
        <f t="shared" ref="I24" si="6">SUM(I25:I29)</f>
        <v>0</v>
      </c>
      <c r="J24" s="52">
        <f t="shared" ref="J24" si="7">SUM(J25:J29)</f>
        <v>0</v>
      </c>
      <c r="K24" s="52">
        <f t="shared" ref="K24" si="8">SUM(K25:K29)</f>
        <v>0</v>
      </c>
      <c r="L24" s="52">
        <f t="shared" ref="L24" si="9">SUM(L25:L29)</f>
        <v>0</v>
      </c>
      <c r="M24" s="52">
        <f t="shared" ref="M24" si="10">SUM(M25:M29)</f>
        <v>0</v>
      </c>
      <c r="N24" s="52">
        <f t="shared" ref="N24" si="11">SUM(N25:N29)</f>
        <v>0</v>
      </c>
      <c r="O24" s="52">
        <f t="shared" ref="O24" si="12">SUM(O25:O29)</f>
        <v>0</v>
      </c>
      <c r="P24" s="52">
        <f t="shared" ref="P24" si="13">SUM(P25:P29)</f>
        <v>0</v>
      </c>
      <c r="Q24" s="52">
        <f t="shared" ref="Q24:AD24" si="14">SUM(Q25:Q29)</f>
        <v>0</v>
      </c>
      <c r="R24" s="52">
        <f t="shared" si="14"/>
        <v>0</v>
      </c>
      <c r="S24" s="52">
        <f t="shared" si="14"/>
        <v>0</v>
      </c>
      <c r="T24" s="52">
        <f t="shared" si="14"/>
        <v>0</v>
      </c>
      <c r="U24" s="52">
        <f t="shared" si="14"/>
        <v>0</v>
      </c>
      <c r="V24" s="52">
        <f t="shared" si="14"/>
        <v>0</v>
      </c>
      <c r="W24" s="52">
        <f t="shared" si="14"/>
        <v>0</v>
      </c>
      <c r="X24" s="52">
        <f t="shared" si="14"/>
        <v>0</v>
      </c>
      <c r="Y24" s="52">
        <f t="shared" si="14"/>
        <v>0</v>
      </c>
      <c r="Z24" s="52">
        <f t="shared" si="14"/>
        <v>0</v>
      </c>
      <c r="AA24" s="52">
        <f t="shared" si="14"/>
        <v>0</v>
      </c>
      <c r="AB24" s="52">
        <f t="shared" si="14"/>
        <v>0</v>
      </c>
      <c r="AC24" s="52">
        <f t="shared" si="14"/>
        <v>0</v>
      </c>
      <c r="AD24" s="52">
        <f t="shared" si="14"/>
        <v>0</v>
      </c>
      <c r="AE24" s="78">
        <f t="shared" si="2"/>
        <v>0</v>
      </c>
    </row>
    <row r="25" spans="1:31" ht="18" hidden="1" customHeight="1" x14ac:dyDescent="0.2">
      <c r="A25" s="82" t="s">
        <v>162</v>
      </c>
      <c r="B25" s="48"/>
      <c r="C25" s="598"/>
      <c r="D25" s="743">
        <f>C25*$C$24*$C$17</f>
        <v>0</v>
      </c>
      <c r="E25" s="599"/>
      <c r="F25" s="602"/>
      <c r="G25" s="602"/>
      <c r="H25" s="602"/>
      <c r="I25" s="602"/>
      <c r="J25" s="602"/>
      <c r="K25" s="602"/>
      <c r="L25" s="602"/>
      <c r="M25" s="602"/>
      <c r="N25" s="602"/>
      <c r="O25" s="602"/>
      <c r="P25" s="602"/>
      <c r="Q25" s="602"/>
      <c r="R25" s="602"/>
      <c r="S25" s="602"/>
      <c r="T25" s="602"/>
      <c r="U25" s="602"/>
      <c r="V25" s="602"/>
      <c r="W25" s="602"/>
      <c r="X25" s="602"/>
      <c r="Y25" s="602"/>
      <c r="Z25" s="602"/>
      <c r="AA25" s="602"/>
      <c r="AB25" s="602"/>
      <c r="AC25" s="602"/>
      <c r="AD25" s="602"/>
      <c r="AE25" s="78">
        <f t="shared" si="2"/>
        <v>0</v>
      </c>
    </row>
    <row r="26" spans="1:31" ht="18" hidden="1" customHeight="1" x14ac:dyDescent="0.2">
      <c r="A26" s="82" t="s">
        <v>163</v>
      </c>
      <c r="B26" s="48"/>
      <c r="C26" s="598"/>
      <c r="D26" s="743">
        <f>C26*$C$24*$C$17</f>
        <v>0</v>
      </c>
      <c r="E26" s="599"/>
      <c r="F26" s="602"/>
      <c r="G26" s="602"/>
      <c r="H26" s="602"/>
      <c r="I26" s="602"/>
      <c r="J26" s="602"/>
      <c r="K26" s="602"/>
      <c r="L26" s="602"/>
      <c r="M26" s="602"/>
      <c r="N26" s="602"/>
      <c r="O26" s="602"/>
      <c r="P26" s="602"/>
      <c r="Q26" s="602"/>
      <c r="R26" s="602"/>
      <c r="S26" s="602"/>
      <c r="T26" s="602"/>
      <c r="U26" s="602"/>
      <c r="V26" s="602"/>
      <c r="W26" s="602"/>
      <c r="X26" s="602"/>
      <c r="Y26" s="602"/>
      <c r="Z26" s="602"/>
      <c r="AA26" s="602"/>
      <c r="AB26" s="602"/>
      <c r="AC26" s="602"/>
      <c r="AD26" s="602"/>
      <c r="AE26" s="78">
        <f t="shared" si="2"/>
        <v>0</v>
      </c>
    </row>
    <row r="27" spans="1:31" ht="18" hidden="1" customHeight="1" x14ac:dyDescent="0.2">
      <c r="A27" s="82" t="s">
        <v>164</v>
      </c>
      <c r="B27" s="48"/>
      <c r="C27" s="598"/>
      <c r="D27" s="743">
        <f>C27*$C$24*$C$17</f>
        <v>0</v>
      </c>
      <c r="E27" s="599"/>
      <c r="F27" s="602"/>
      <c r="G27" s="602"/>
      <c r="H27" s="602"/>
      <c r="I27" s="602"/>
      <c r="J27" s="602"/>
      <c r="K27" s="602"/>
      <c r="L27" s="602"/>
      <c r="M27" s="602"/>
      <c r="N27" s="602"/>
      <c r="O27" s="602"/>
      <c r="P27" s="602"/>
      <c r="Q27" s="602"/>
      <c r="R27" s="602"/>
      <c r="S27" s="602"/>
      <c r="T27" s="602"/>
      <c r="U27" s="602"/>
      <c r="V27" s="602"/>
      <c r="W27" s="602"/>
      <c r="X27" s="602"/>
      <c r="Y27" s="602"/>
      <c r="Z27" s="602"/>
      <c r="AA27" s="602"/>
      <c r="AB27" s="602"/>
      <c r="AC27" s="602"/>
      <c r="AD27" s="602"/>
      <c r="AE27" s="78">
        <f t="shared" si="2"/>
        <v>0</v>
      </c>
    </row>
    <row r="28" spans="1:31" ht="18" hidden="1" customHeight="1" x14ac:dyDescent="0.2">
      <c r="A28" s="82" t="s">
        <v>165</v>
      </c>
      <c r="B28" s="48"/>
      <c r="C28" s="598"/>
      <c r="D28" s="743">
        <f>C28*$C$24*$C$17</f>
        <v>0</v>
      </c>
      <c r="E28" s="599"/>
      <c r="F28" s="602"/>
      <c r="G28" s="602"/>
      <c r="H28" s="602"/>
      <c r="I28" s="602"/>
      <c r="J28" s="602"/>
      <c r="K28" s="602"/>
      <c r="L28" s="602"/>
      <c r="M28" s="602"/>
      <c r="N28" s="602"/>
      <c r="O28" s="602"/>
      <c r="P28" s="602"/>
      <c r="Q28" s="602"/>
      <c r="R28" s="602"/>
      <c r="S28" s="602"/>
      <c r="T28" s="602"/>
      <c r="U28" s="602"/>
      <c r="V28" s="602"/>
      <c r="W28" s="602"/>
      <c r="X28" s="602"/>
      <c r="Y28" s="602"/>
      <c r="Z28" s="602"/>
      <c r="AA28" s="602"/>
      <c r="AB28" s="602"/>
      <c r="AC28" s="602"/>
      <c r="AD28" s="602"/>
      <c r="AE28" s="78">
        <f t="shared" si="2"/>
        <v>0</v>
      </c>
    </row>
    <row r="29" spans="1:31" ht="18" hidden="1" customHeight="1" x14ac:dyDescent="0.2">
      <c r="A29" s="82" t="s">
        <v>166</v>
      </c>
      <c r="B29" s="48"/>
      <c r="C29" s="598"/>
      <c r="D29" s="743">
        <f>C29*$C$24*$C$17</f>
        <v>0</v>
      </c>
      <c r="E29" s="599"/>
      <c r="F29" s="602"/>
      <c r="G29" s="602"/>
      <c r="H29" s="602"/>
      <c r="I29" s="602"/>
      <c r="J29" s="602"/>
      <c r="K29" s="602"/>
      <c r="L29" s="602"/>
      <c r="M29" s="602"/>
      <c r="N29" s="602"/>
      <c r="O29" s="602"/>
      <c r="P29" s="602"/>
      <c r="Q29" s="602"/>
      <c r="R29" s="602"/>
      <c r="S29" s="602"/>
      <c r="T29" s="602"/>
      <c r="U29" s="602"/>
      <c r="V29" s="602"/>
      <c r="W29" s="602"/>
      <c r="X29" s="602"/>
      <c r="Y29" s="602"/>
      <c r="Z29" s="602"/>
      <c r="AA29" s="602"/>
      <c r="AB29" s="602"/>
      <c r="AC29" s="602"/>
      <c r="AD29" s="602"/>
      <c r="AE29" s="78">
        <f t="shared" si="2"/>
        <v>0</v>
      </c>
    </row>
    <row r="30" spans="1:31" ht="18" hidden="1" customHeight="1" x14ac:dyDescent="0.2">
      <c r="A30" s="81" t="s">
        <v>167</v>
      </c>
      <c r="B30" s="32"/>
      <c r="C30" s="33"/>
      <c r="D30" s="745"/>
      <c r="E30" s="34"/>
      <c r="F30" s="52"/>
      <c r="G30" s="52">
        <f>SUM(G31:G35)</f>
        <v>0</v>
      </c>
      <c r="H30" s="52">
        <f t="shared" ref="H30" si="15">SUM(H31:H35)</f>
        <v>0</v>
      </c>
      <c r="I30" s="52">
        <f t="shared" ref="I30" si="16">SUM(I31:I35)</f>
        <v>0</v>
      </c>
      <c r="J30" s="52">
        <f t="shared" ref="J30" si="17">SUM(J31:J35)</f>
        <v>0</v>
      </c>
      <c r="K30" s="52">
        <f t="shared" ref="K30" si="18">SUM(K31:K35)</f>
        <v>0</v>
      </c>
      <c r="L30" s="52">
        <f t="shared" ref="L30" si="19">SUM(L31:L35)</f>
        <v>0</v>
      </c>
      <c r="M30" s="52">
        <f t="shared" ref="M30" si="20">SUM(M31:M35)</f>
        <v>0</v>
      </c>
      <c r="N30" s="52">
        <f t="shared" ref="N30" si="21">SUM(N31:N35)</f>
        <v>0</v>
      </c>
      <c r="O30" s="52">
        <f t="shared" ref="O30" si="22">SUM(O31:O35)</f>
        <v>0</v>
      </c>
      <c r="P30" s="52">
        <f t="shared" ref="P30" si="23">SUM(P31:P35)</f>
        <v>0</v>
      </c>
      <c r="Q30" s="52">
        <f t="shared" ref="Q30:AD30" si="24">SUM(Q31:Q35)</f>
        <v>0</v>
      </c>
      <c r="R30" s="52">
        <f t="shared" si="24"/>
        <v>0</v>
      </c>
      <c r="S30" s="52">
        <f t="shared" si="24"/>
        <v>0</v>
      </c>
      <c r="T30" s="52">
        <f t="shared" si="24"/>
        <v>0</v>
      </c>
      <c r="U30" s="52">
        <f t="shared" si="24"/>
        <v>0</v>
      </c>
      <c r="V30" s="52">
        <f t="shared" si="24"/>
        <v>0</v>
      </c>
      <c r="W30" s="52">
        <f t="shared" si="24"/>
        <v>0</v>
      </c>
      <c r="X30" s="52">
        <f t="shared" si="24"/>
        <v>0</v>
      </c>
      <c r="Y30" s="52">
        <f t="shared" si="24"/>
        <v>0</v>
      </c>
      <c r="Z30" s="52">
        <f t="shared" si="24"/>
        <v>0</v>
      </c>
      <c r="AA30" s="52">
        <f t="shared" si="24"/>
        <v>0</v>
      </c>
      <c r="AB30" s="52">
        <f t="shared" si="24"/>
        <v>0</v>
      </c>
      <c r="AC30" s="52">
        <f t="shared" si="24"/>
        <v>0</v>
      </c>
      <c r="AD30" s="52">
        <f t="shared" si="24"/>
        <v>0</v>
      </c>
      <c r="AE30" s="78">
        <f t="shared" si="2"/>
        <v>0</v>
      </c>
    </row>
    <row r="31" spans="1:31" ht="18" hidden="1" customHeight="1" x14ac:dyDescent="0.2">
      <c r="A31" s="82" t="s">
        <v>168</v>
      </c>
      <c r="B31" s="48"/>
      <c r="C31" s="598"/>
      <c r="D31" s="743">
        <f>C31*$C$30*$C$17</f>
        <v>0</v>
      </c>
      <c r="E31" s="599"/>
      <c r="F31" s="602"/>
      <c r="G31" s="602"/>
      <c r="H31" s="602"/>
      <c r="I31" s="602"/>
      <c r="J31" s="602"/>
      <c r="K31" s="602"/>
      <c r="L31" s="602"/>
      <c r="M31" s="602"/>
      <c r="N31" s="602"/>
      <c r="O31" s="602"/>
      <c r="P31" s="602"/>
      <c r="Q31" s="602"/>
      <c r="R31" s="602"/>
      <c r="S31" s="602"/>
      <c r="T31" s="602"/>
      <c r="U31" s="602"/>
      <c r="V31" s="602"/>
      <c r="W31" s="602"/>
      <c r="X31" s="602"/>
      <c r="Y31" s="602"/>
      <c r="Z31" s="602"/>
      <c r="AA31" s="602"/>
      <c r="AB31" s="602"/>
      <c r="AC31" s="602"/>
      <c r="AD31" s="602"/>
      <c r="AE31" s="78">
        <f t="shared" si="2"/>
        <v>0</v>
      </c>
    </row>
    <row r="32" spans="1:31" ht="18" hidden="1" customHeight="1" x14ac:dyDescent="0.2">
      <c r="A32" s="82" t="s">
        <v>169</v>
      </c>
      <c r="B32" s="48"/>
      <c r="C32" s="598"/>
      <c r="D32" s="743">
        <f>C32*$C$30*$C$17</f>
        <v>0</v>
      </c>
      <c r="E32" s="599"/>
      <c r="F32" s="602"/>
      <c r="G32" s="602"/>
      <c r="H32" s="602"/>
      <c r="I32" s="602"/>
      <c r="J32" s="602"/>
      <c r="K32" s="602"/>
      <c r="L32" s="602"/>
      <c r="M32" s="602"/>
      <c r="N32" s="602"/>
      <c r="O32" s="602"/>
      <c r="P32" s="602"/>
      <c r="Q32" s="602"/>
      <c r="R32" s="602"/>
      <c r="S32" s="602"/>
      <c r="T32" s="602"/>
      <c r="U32" s="602"/>
      <c r="V32" s="602"/>
      <c r="W32" s="602"/>
      <c r="X32" s="602"/>
      <c r="Y32" s="602"/>
      <c r="Z32" s="602"/>
      <c r="AA32" s="602"/>
      <c r="AB32" s="602"/>
      <c r="AC32" s="602"/>
      <c r="AD32" s="602"/>
      <c r="AE32" s="78">
        <f t="shared" si="2"/>
        <v>0</v>
      </c>
    </row>
    <row r="33" spans="1:31" ht="18" hidden="1" customHeight="1" x14ac:dyDescent="0.2">
      <c r="A33" s="82" t="s">
        <v>170</v>
      </c>
      <c r="B33" s="48"/>
      <c r="C33" s="598"/>
      <c r="D33" s="743">
        <f>C33*$C$30*$C$17</f>
        <v>0</v>
      </c>
      <c r="E33" s="599"/>
      <c r="F33" s="602"/>
      <c r="G33" s="602"/>
      <c r="H33" s="602"/>
      <c r="I33" s="602"/>
      <c r="J33" s="602"/>
      <c r="K33" s="602"/>
      <c r="L33" s="602"/>
      <c r="M33" s="602"/>
      <c r="N33" s="602"/>
      <c r="O33" s="602"/>
      <c r="P33" s="602"/>
      <c r="Q33" s="602"/>
      <c r="R33" s="602"/>
      <c r="S33" s="602"/>
      <c r="T33" s="602"/>
      <c r="U33" s="602"/>
      <c r="V33" s="602"/>
      <c r="W33" s="602"/>
      <c r="X33" s="602"/>
      <c r="Y33" s="602"/>
      <c r="Z33" s="602"/>
      <c r="AA33" s="602"/>
      <c r="AB33" s="602"/>
      <c r="AC33" s="602"/>
      <c r="AD33" s="602"/>
      <c r="AE33" s="78">
        <f t="shared" si="2"/>
        <v>0</v>
      </c>
    </row>
    <row r="34" spans="1:31" ht="18" hidden="1" customHeight="1" x14ac:dyDescent="0.2">
      <c r="A34" s="82" t="s">
        <v>171</v>
      </c>
      <c r="B34" s="48"/>
      <c r="C34" s="598"/>
      <c r="D34" s="743">
        <f t="shared" ref="D34" si="25">C34*$C$30*$C$17</f>
        <v>0</v>
      </c>
      <c r="E34" s="599"/>
      <c r="F34" s="602"/>
      <c r="G34" s="602"/>
      <c r="H34" s="602"/>
      <c r="I34" s="602"/>
      <c r="J34" s="602"/>
      <c r="K34" s="602"/>
      <c r="L34" s="602"/>
      <c r="M34" s="602"/>
      <c r="N34" s="602"/>
      <c r="O34" s="602"/>
      <c r="P34" s="602"/>
      <c r="Q34" s="602"/>
      <c r="R34" s="602"/>
      <c r="S34" s="602"/>
      <c r="T34" s="602"/>
      <c r="U34" s="602"/>
      <c r="V34" s="602"/>
      <c r="W34" s="602"/>
      <c r="X34" s="602"/>
      <c r="Y34" s="602"/>
      <c r="Z34" s="602"/>
      <c r="AA34" s="602"/>
      <c r="AB34" s="602"/>
      <c r="AC34" s="602"/>
      <c r="AD34" s="602"/>
      <c r="AE34" s="78">
        <f t="shared" si="2"/>
        <v>0</v>
      </c>
    </row>
    <row r="35" spans="1:31" ht="18" hidden="1" customHeight="1" x14ac:dyDescent="0.2">
      <c r="A35" s="82" t="s">
        <v>172</v>
      </c>
      <c r="B35" s="48"/>
      <c r="C35" s="598"/>
      <c r="D35" s="743">
        <f>C35*$C$30*$C$17</f>
        <v>0</v>
      </c>
      <c r="E35" s="599"/>
      <c r="F35" s="602"/>
      <c r="G35" s="602"/>
      <c r="H35" s="602"/>
      <c r="I35" s="602"/>
      <c r="J35" s="602"/>
      <c r="K35" s="602"/>
      <c r="L35" s="602"/>
      <c r="M35" s="602"/>
      <c r="N35" s="602"/>
      <c r="O35" s="602"/>
      <c r="P35" s="602"/>
      <c r="Q35" s="602"/>
      <c r="R35" s="602"/>
      <c r="S35" s="602"/>
      <c r="T35" s="602"/>
      <c r="U35" s="602"/>
      <c r="V35" s="602"/>
      <c r="W35" s="602"/>
      <c r="X35" s="602"/>
      <c r="Y35" s="602"/>
      <c r="Z35" s="602"/>
      <c r="AA35" s="602"/>
      <c r="AB35" s="602"/>
      <c r="AC35" s="602"/>
      <c r="AD35" s="602"/>
      <c r="AE35" s="78">
        <f t="shared" si="2"/>
        <v>0</v>
      </c>
    </row>
    <row r="36" spans="1:31" ht="18" hidden="1" customHeight="1" x14ac:dyDescent="0.2">
      <c r="A36" s="81" t="s">
        <v>173</v>
      </c>
      <c r="B36" s="32"/>
      <c r="C36" s="33"/>
      <c r="D36" s="745"/>
      <c r="E36" s="34"/>
      <c r="F36" s="52"/>
      <c r="G36" s="52">
        <f>SUM(G37:G41)</f>
        <v>0</v>
      </c>
      <c r="H36" s="52">
        <f t="shared" ref="H36:AD36" si="26">SUM(H37:H41)</f>
        <v>0</v>
      </c>
      <c r="I36" s="52">
        <f t="shared" si="26"/>
        <v>0</v>
      </c>
      <c r="J36" s="52">
        <f t="shared" si="26"/>
        <v>0</v>
      </c>
      <c r="K36" s="52">
        <f t="shared" si="26"/>
        <v>0</v>
      </c>
      <c r="L36" s="52">
        <f t="shared" si="26"/>
        <v>0</v>
      </c>
      <c r="M36" s="52">
        <f t="shared" si="26"/>
        <v>0</v>
      </c>
      <c r="N36" s="52">
        <f t="shared" si="26"/>
        <v>0</v>
      </c>
      <c r="O36" s="52">
        <f t="shared" si="26"/>
        <v>0</v>
      </c>
      <c r="P36" s="52">
        <f t="shared" si="26"/>
        <v>0</v>
      </c>
      <c r="Q36" s="52">
        <f t="shared" si="26"/>
        <v>0</v>
      </c>
      <c r="R36" s="52">
        <f t="shared" si="26"/>
        <v>0</v>
      </c>
      <c r="S36" s="52">
        <f t="shared" si="26"/>
        <v>0</v>
      </c>
      <c r="T36" s="52">
        <f t="shared" si="26"/>
        <v>0</v>
      </c>
      <c r="U36" s="52">
        <f t="shared" si="26"/>
        <v>0</v>
      </c>
      <c r="V36" s="52">
        <f t="shared" si="26"/>
        <v>0</v>
      </c>
      <c r="W36" s="52">
        <f t="shared" si="26"/>
        <v>0</v>
      </c>
      <c r="X36" s="52">
        <f t="shared" si="26"/>
        <v>0</v>
      </c>
      <c r="Y36" s="52">
        <f t="shared" si="26"/>
        <v>0</v>
      </c>
      <c r="Z36" s="52">
        <f t="shared" si="26"/>
        <v>0</v>
      </c>
      <c r="AA36" s="52">
        <f t="shared" si="26"/>
        <v>0</v>
      </c>
      <c r="AB36" s="52">
        <f t="shared" si="26"/>
        <v>0</v>
      </c>
      <c r="AC36" s="52">
        <f t="shared" si="26"/>
        <v>0</v>
      </c>
      <c r="AD36" s="52">
        <f t="shared" si="26"/>
        <v>0</v>
      </c>
      <c r="AE36" s="78">
        <f t="shared" si="2"/>
        <v>0</v>
      </c>
    </row>
    <row r="37" spans="1:31" ht="18" hidden="1" customHeight="1" x14ac:dyDescent="0.2">
      <c r="A37" s="82" t="s">
        <v>174</v>
      </c>
      <c r="B37" s="48"/>
      <c r="C37" s="598"/>
      <c r="D37" s="743">
        <f>C37*$C$36*$C$17</f>
        <v>0</v>
      </c>
      <c r="E37" s="599"/>
      <c r="F37" s="602"/>
      <c r="G37" s="602"/>
      <c r="H37" s="602"/>
      <c r="I37" s="602"/>
      <c r="J37" s="602"/>
      <c r="K37" s="602"/>
      <c r="L37" s="602"/>
      <c r="M37" s="602"/>
      <c r="N37" s="602"/>
      <c r="O37" s="602"/>
      <c r="P37" s="602"/>
      <c r="Q37" s="602"/>
      <c r="R37" s="602"/>
      <c r="S37" s="602"/>
      <c r="T37" s="602"/>
      <c r="U37" s="602"/>
      <c r="V37" s="602"/>
      <c r="W37" s="602"/>
      <c r="X37" s="602"/>
      <c r="Y37" s="602"/>
      <c r="Z37" s="602"/>
      <c r="AA37" s="602"/>
      <c r="AB37" s="602"/>
      <c r="AC37" s="602"/>
      <c r="AD37" s="602"/>
      <c r="AE37" s="78">
        <f t="shared" si="2"/>
        <v>0</v>
      </c>
    </row>
    <row r="38" spans="1:31" ht="18" hidden="1" customHeight="1" x14ac:dyDescent="0.2">
      <c r="A38" s="82" t="s">
        <v>175</v>
      </c>
      <c r="B38" s="48"/>
      <c r="C38" s="598"/>
      <c r="D38" s="743">
        <f>C38*$C$36*$C$17</f>
        <v>0</v>
      </c>
      <c r="E38" s="599"/>
      <c r="F38" s="602"/>
      <c r="G38" s="602"/>
      <c r="H38" s="602"/>
      <c r="I38" s="602"/>
      <c r="J38" s="602"/>
      <c r="K38" s="602"/>
      <c r="L38" s="602"/>
      <c r="M38" s="602"/>
      <c r="N38" s="602"/>
      <c r="O38" s="602"/>
      <c r="P38" s="602"/>
      <c r="Q38" s="602"/>
      <c r="R38" s="602"/>
      <c r="S38" s="602"/>
      <c r="T38" s="602"/>
      <c r="U38" s="602"/>
      <c r="V38" s="602"/>
      <c r="W38" s="602"/>
      <c r="X38" s="602"/>
      <c r="Y38" s="602"/>
      <c r="Z38" s="602"/>
      <c r="AA38" s="602"/>
      <c r="AB38" s="602"/>
      <c r="AC38" s="602"/>
      <c r="AD38" s="602"/>
      <c r="AE38" s="78">
        <f t="shared" si="2"/>
        <v>0</v>
      </c>
    </row>
    <row r="39" spans="1:31" ht="18" hidden="1" customHeight="1" x14ac:dyDescent="0.2">
      <c r="A39" s="82" t="s">
        <v>176</v>
      </c>
      <c r="B39" s="48"/>
      <c r="C39" s="598"/>
      <c r="D39" s="743">
        <f>C39*$C$36*$C$17</f>
        <v>0</v>
      </c>
      <c r="E39" s="599"/>
      <c r="F39" s="602"/>
      <c r="G39" s="602"/>
      <c r="H39" s="602"/>
      <c r="I39" s="602"/>
      <c r="J39" s="602"/>
      <c r="K39" s="602"/>
      <c r="L39" s="602"/>
      <c r="M39" s="602"/>
      <c r="N39" s="602"/>
      <c r="O39" s="602"/>
      <c r="P39" s="602"/>
      <c r="Q39" s="602"/>
      <c r="R39" s="602"/>
      <c r="S39" s="602"/>
      <c r="T39" s="602"/>
      <c r="U39" s="602"/>
      <c r="V39" s="602"/>
      <c r="W39" s="602"/>
      <c r="X39" s="602"/>
      <c r="Y39" s="602"/>
      <c r="Z39" s="602"/>
      <c r="AA39" s="602"/>
      <c r="AB39" s="602"/>
      <c r="AC39" s="602"/>
      <c r="AD39" s="602"/>
      <c r="AE39" s="78">
        <f t="shared" si="2"/>
        <v>0</v>
      </c>
    </row>
    <row r="40" spans="1:31" ht="18" hidden="1" customHeight="1" x14ac:dyDescent="0.2">
      <c r="A40" s="82" t="s">
        <v>177</v>
      </c>
      <c r="B40" s="48"/>
      <c r="C40" s="598"/>
      <c r="D40" s="743">
        <f>C40*$C$36*$C$17</f>
        <v>0</v>
      </c>
      <c r="E40" s="599"/>
      <c r="F40" s="602"/>
      <c r="G40" s="602"/>
      <c r="H40" s="602"/>
      <c r="I40" s="602"/>
      <c r="J40" s="602"/>
      <c r="K40" s="602"/>
      <c r="L40" s="602"/>
      <c r="M40" s="602"/>
      <c r="N40" s="602"/>
      <c r="O40" s="602"/>
      <c r="P40" s="602"/>
      <c r="Q40" s="602"/>
      <c r="R40" s="602"/>
      <c r="S40" s="602"/>
      <c r="T40" s="602"/>
      <c r="U40" s="602"/>
      <c r="V40" s="602"/>
      <c r="W40" s="602"/>
      <c r="X40" s="602"/>
      <c r="Y40" s="602"/>
      <c r="Z40" s="602"/>
      <c r="AA40" s="602"/>
      <c r="AB40" s="602"/>
      <c r="AC40" s="602"/>
      <c r="AD40" s="602"/>
      <c r="AE40" s="78">
        <f t="shared" si="2"/>
        <v>0</v>
      </c>
    </row>
    <row r="41" spans="1:31" ht="18" hidden="1" customHeight="1" x14ac:dyDescent="0.2">
      <c r="A41" s="82" t="s">
        <v>178</v>
      </c>
      <c r="B41" s="48"/>
      <c r="C41" s="598"/>
      <c r="D41" s="743">
        <f t="shared" ref="D41" si="27">C41*$C$36*$C$17</f>
        <v>0</v>
      </c>
      <c r="E41" s="599"/>
      <c r="F41" s="602"/>
      <c r="G41" s="602"/>
      <c r="H41" s="602"/>
      <c r="I41" s="602"/>
      <c r="J41" s="602"/>
      <c r="K41" s="602"/>
      <c r="L41" s="602"/>
      <c r="M41" s="602"/>
      <c r="N41" s="602"/>
      <c r="O41" s="602"/>
      <c r="P41" s="602"/>
      <c r="Q41" s="602"/>
      <c r="R41" s="602"/>
      <c r="S41" s="602"/>
      <c r="T41" s="602"/>
      <c r="U41" s="602"/>
      <c r="V41" s="602"/>
      <c r="W41" s="602"/>
      <c r="X41" s="602"/>
      <c r="Y41" s="602"/>
      <c r="Z41" s="602"/>
      <c r="AA41" s="602"/>
      <c r="AB41" s="602"/>
      <c r="AC41" s="602"/>
      <c r="AD41" s="602"/>
      <c r="AE41" s="78">
        <f t="shared" si="2"/>
        <v>0</v>
      </c>
    </row>
    <row r="42" spans="1:31" ht="18" hidden="1" customHeight="1" x14ac:dyDescent="0.2">
      <c r="A42" s="81" t="s">
        <v>179</v>
      </c>
      <c r="B42" s="32"/>
      <c r="C42" s="33"/>
      <c r="D42" s="745"/>
      <c r="E42" s="34"/>
      <c r="F42" s="52"/>
      <c r="G42" s="52">
        <f>SUM(G43:G47)</f>
        <v>0</v>
      </c>
      <c r="H42" s="52">
        <f t="shared" ref="H42:AD42" si="28">SUM(H43:H47)</f>
        <v>0</v>
      </c>
      <c r="I42" s="52">
        <f>SUM(I43:I47)</f>
        <v>0</v>
      </c>
      <c r="J42" s="52">
        <f t="shared" si="28"/>
        <v>0</v>
      </c>
      <c r="K42" s="52">
        <f t="shared" si="28"/>
        <v>0</v>
      </c>
      <c r="L42" s="52">
        <f t="shared" si="28"/>
        <v>0</v>
      </c>
      <c r="M42" s="52">
        <f t="shared" si="28"/>
        <v>0</v>
      </c>
      <c r="N42" s="52">
        <f t="shared" si="28"/>
        <v>0</v>
      </c>
      <c r="O42" s="52">
        <f t="shared" si="28"/>
        <v>0</v>
      </c>
      <c r="P42" s="52">
        <f t="shared" si="28"/>
        <v>0</v>
      </c>
      <c r="Q42" s="52">
        <f t="shared" si="28"/>
        <v>0</v>
      </c>
      <c r="R42" s="52">
        <f t="shared" si="28"/>
        <v>0</v>
      </c>
      <c r="S42" s="52">
        <f t="shared" si="28"/>
        <v>0</v>
      </c>
      <c r="T42" s="52">
        <f t="shared" si="28"/>
        <v>0</v>
      </c>
      <c r="U42" s="52">
        <f t="shared" si="28"/>
        <v>0</v>
      </c>
      <c r="V42" s="52">
        <f t="shared" si="28"/>
        <v>0</v>
      </c>
      <c r="W42" s="52">
        <f t="shared" si="28"/>
        <v>0</v>
      </c>
      <c r="X42" s="52">
        <f t="shared" si="28"/>
        <v>0</v>
      </c>
      <c r="Y42" s="52">
        <f t="shared" si="28"/>
        <v>0</v>
      </c>
      <c r="Z42" s="52">
        <f>SUM(Z43:Z47)</f>
        <v>0</v>
      </c>
      <c r="AA42" s="52">
        <f t="shared" si="28"/>
        <v>0</v>
      </c>
      <c r="AB42" s="52">
        <f t="shared" si="28"/>
        <v>0</v>
      </c>
      <c r="AC42" s="52">
        <f t="shared" si="28"/>
        <v>0</v>
      </c>
      <c r="AD42" s="52">
        <f t="shared" si="28"/>
        <v>0</v>
      </c>
      <c r="AE42" s="78">
        <f t="shared" si="2"/>
        <v>0</v>
      </c>
    </row>
    <row r="43" spans="1:31" ht="18" hidden="1" customHeight="1" x14ac:dyDescent="0.2">
      <c r="A43" s="82" t="s">
        <v>180</v>
      </c>
      <c r="B43" s="48"/>
      <c r="C43" s="598"/>
      <c r="D43" s="743">
        <f>C43*$C$42*$C$17</f>
        <v>0</v>
      </c>
      <c r="E43" s="599"/>
      <c r="F43" s="602"/>
      <c r="G43" s="602"/>
      <c r="H43" s="602"/>
      <c r="I43" s="602"/>
      <c r="J43" s="602"/>
      <c r="K43" s="602"/>
      <c r="L43" s="602"/>
      <c r="M43" s="602"/>
      <c r="N43" s="602"/>
      <c r="O43" s="602"/>
      <c r="P43" s="602"/>
      <c r="Q43" s="602"/>
      <c r="R43" s="602"/>
      <c r="S43" s="602"/>
      <c r="T43" s="602"/>
      <c r="U43" s="602"/>
      <c r="V43" s="602"/>
      <c r="W43" s="602"/>
      <c r="X43" s="602"/>
      <c r="Y43" s="602"/>
      <c r="Z43" s="602"/>
      <c r="AA43" s="602"/>
      <c r="AB43" s="602"/>
      <c r="AC43" s="602"/>
      <c r="AD43" s="602"/>
      <c r="AE43" s="78">
        <f t="shared" si="2"/>
        <v>0</v>
      </c>
    </row>
    <row r="44" spans="1:31" ht="18" hidden="1" customHeight="1" x14ac:dyDescent="0.2">
      <c r="A44" s="82" t="s">
        <v>181</v>
      </c>
      <c r="B44" s="48"/>
      <c r="C44" s="598"/>
      <c r="D44" s="743">
        <f t="shared" ref="D44:D46" si="29">C44*$C$42*$C$17</f>
        <v>0</v>
      </c>
      <c r="E44" s="599"/>
      <c r="F44" s="602"/>
      <c r="G44" s="602"/>
      <c r="H44" s="602"/>
      <c r="I44" s="602"/>
      <c r="J44" s="602"/>
      <c r="K44" s="602"/>
      <c r="L44" s="602"/>
      <c r="M44" s="602"/>
      <c r="N44" s="602"/>
      <c r="O44" s="602"/>
      <c r="P44" s="602"/>
      <c r="Q44" s="602"/>
      <c r="R44" s="602"/>
      <c r="S44" s="602"/>
      <c r="T44" s="602"/>
      <c r="U44" s="602"/>
      <c r="V44" s="602"/>
      <c r="W44" s="602"/>
      <c r="X44" s="602"/>
      <c r="Y44" s="602"/>
      <c r="Z44" s="602"/>
      <c r="AA44" s="602"/>
      <c r="AB44" s="602"/>
      <c r="AC44" s="602"/>
      <c r="AD44" s="602"/>
      <c r="AE44" s="78">
        <f t="shared" si="2"/>
        <v>0</v>
      </c>
    </row>
    <row r="45" spans="1:31" ht="18" hidden="1" customHeight="1" x14ac:dyDescent="0.2">
      <c r="A45" s="82" t="s">
        <v>182</v>
      </c>
      <c r="B45" s="48"/>
      <c r="C45" s="598"/>
      <c r="D45" s="743">
        <f t="shared" si="29"/>
        <v>0</v>
      </c>
      <c r="E45" s="599"/>
      <c r="F45" s="602"/>
      <c r="G45" s="602"/>
      <c r="H45" s="602"/>
      <c r="I45" s="602"/>
      <c r="J45" s="602"/>
      <c r="K45" s="602"/>
      <c r="L45" s="602"/>
      <c r="M45" s="602"/>
      <c r="N45" s="602"/>
      <c r="O45" s="602"/>
      <c r="P45" s="602"/>
      <c r="Q45" s="602"/>
      <c r="R45" s="602"/>
      <c r="S45" s="602"/>
      <c r="T45" s="602"/>
      <c r="U45" s="602"/>
      <c r="V45" s="602"/>
      <c r="W45" s="602"/>
      <c r="X45" s="602"/>
      <c r="Y45" s="602"/>
      <c r="Z45" s="602"/>
      <c r="AA45" s="602"/>
      <c r="AB45" s="602"/>
      <c r="AC45" s="602"/>
      <c r="AD45" s="602"/>
      <c r="AE45" s="78">
        <f t="shared" si="2"/>
        <v>0</v>
      </c>
    </row>
    <row r="46" spans="1:31" ht="18" hidden="1" customHeight="1" x14ac:dyDescent="0.2">
      <c r="A46" s="82" t="s">
        <v>183</v>
      </c>
      <c r="B46" s="48"/>
      <c r="C46" s="598"/>
      <c r="D46" s="743">
        <f t="shared" si="29"/>
        <v>0</v>
      </c>
      <c r="E46" s="599"/>
      <c r="F46" s="602"/>
      <c r="G46" s="602"/>
      <c r="H46" s="602"/>
      <c r="I46" s="602"/>
      <c r="J46" s="602"/>
      <c r="K46" s="602"/>
      <c r="L46" s="602"/>
      <c r="M46" s="602"/>
      <c r="N46" s="602"/>
      <c r="O46" s="602"/>
      <c r="P46" s="602"/>
      <c r="Q46" s="602"/>
      <c r="R46" s="602"/>
      <c r="S46" s="602"/>
      <c r="T46" s="602"/>
      <c r="U46" s="602"/>
      <c r="V46" s="602"/>
      <c r="W46" s="602"/>
      <c r="X46" s="602"/>
      <c r="Y46" s="602"/>
      <c r="Z46" s="602"/>
      <c r="AA46" s="602"/>
      <c r="AB46" s="602"/>
      <c r="AC46" s="602"/>
      <c r="AD46" s="602"/>
      <c r="AE46" s="78">
        <f t="shared" si="2"/>
        <v>0</v>
      </c>
    </row>
    <row r="47" spans="1:31" ht="18" hidden="1" customHeight="1" x14ac:dyDescent="0.2">
      <c r="A47" s="82" t="s">
        <v>184</v>
      </c>
      <c r="B47" s="48"/>
      <c r="C47" s="598"/>
      <c r="D47" s="743">
        <f>C47*$C$42*$C$17</f>
        <v>0</v>
      </c>
      <c r="E47" s="599"/>
      <c r="F47" s="602"/>
      <c r="G47" s="602"/>
      <c r="H47" s="602"/>
      <c r="I47" s="602"/>
      <c r="J47" s="602"/>
      <c r="K47" s="602"/>
      <c r="L47" s="602"/>
      <c r="M47" s="602"/>
      <c r="N47" s="602"/>
      <c r="O47" s="602"/>
      <c r="P47" s="602"/>
      <c r="Q47" s="602"/>
      <c r="R47" s="602"/>
      <c r="S47" s="602"/>
      <c r="T47" s="602"/>
      <c r="U47" s="602"/>
      <c r="V47" s="602"/>
      <c r="W47" s="602"/>
      <c r="X47" s="602"/>
      <c r="Y47" s="602"/>
      <c r="Z47" s="602"/>
      <c r="AA47" s="602"/>
      <c r="AB47" s="602"/>
      <c r="AC47" s="602"/>
      <c r="AD47" s="602"/>
      <c r="AE47" s="78">
        <f t="shared" si="2"/>
        <v>0</v>
      </c>
    </row>
    <row r="48" spans="1:31" ht="18" hidden="1" customHeight="1" x14ac:dyDescent="0.2">
      <c r="A48" s="81" t="s">
        <v>185</v>
      </c>
      <c r="B48" s="32"/>
      <c r="C48" s="33"/>
      <c r="D48" s="745"/>
      <c r="E48" s="34"/>
      <c r="F48" s="52"/>
      <c r="G48" s="52">
        <f>SUM(G49:G53)</f>
        <v>0</v>
      </c>
      <c r="H48" s="52">
        <f t="shared" ref="H48" si="30">SUM(H49:H53)</f>
        <v>0</v>
      </c>
      <c r="I48" s="52">
        <f>SUM(I49:I53)</f>
        <v>0</v>
      </c>
      <c r="J48" s="52">
        <f t="shared" ref="J48:Y48" si="31">SUM(J49:J53)</f>
        <v>0</v>
      </c>
      <c r="K48" s="52">
        <f t="shared" si="31"/>
        <v>0</v>
      </c>
      <c r="L48" s="52">
        <f t="shared" si="31"/>
        <v>0</v>
      </c>
      <c r="M48" s="52">
        <f t="shared" si="31"/>
        <v>0</v>
      </c>
      <c r="N48" s="52">
        <f t="shared" si="31"/>
        <v>0</v>
      </c>
      <c r="O48" s="52">
        <f t="shared" si="31"/>
        <v>0</v>
      </c>
      <c r="P48" s="52">
        <f t="shared" si="31"/>
        <v>0</v>
      </c>
      <c r="Q48" s="52">
        <f t="shared" si="31"/>
        <v>0</v>
      </c>
      <c r="R48" s="52">
        <f t="shared" si="31"/>
        <v>0</v>
      </c>
      <c r="S48" s="52">
        <f t="shared" si="31"/>
        <v>0</v>
      </c>
      <c r="T48" s="52">
        <f t="shared" si="31"/>
        <v>0</v>
      </c>
      <c r="U48" s="52">
        <f t="shared" si="31"/>
        <v>0</v>
      </c>
      <c r="V48" s="52">
        <f t="shared" si="31"/>
        <v>0</v>
      </c>
      <c r="W48" s="52">
        <f t="shared" si="31"/>
        <v>0</v>
      </c>
      <c r="X48" s="52">
        <f t="shared" si="31"/>
        <v>0</v>
      </c>
      <c r="Y48" s="52">
        <f t="shared" si="31"/>
        <v>0</v>
      </c>
      <c r="Z48" s="52">
        <f>SUM(Z49:Z53)</f>
        <v>0</v>
      </c>
      <c r="AA48" s="52">
        <f t="shared" ref="AA48:AD48" si="32">SUM(AA49:AA53)</f>
        <v>0</v>
      </c>
      <c r="AB48" s="52">
        <f t="shared" si="32"/>
        <v>0</v>
      </c>
      <c r="AC48" s="52">
        <f t="shared" si="32"/>
        <v>0</v>
      </c>
      <c r="AD48" s="52">
        <f t="shared" si="32"/>
        <v>0</v>
      </c>
      <c r="AE48" s="78">
        <f>F48-SUM(G48:AD48)</f>
        <v>0</v>
      </c>
    </row>
    <row r="49" spans="1:31" ht="18" hidden="1" customHeight="1" x14ac:dyDescent="0.2">
      <c r="A49" s="82" t="s">
        <v>186</v>
      </c>
      <c r="B49" s="48"/>
      <c r="C49" s="598"/>
      <c r="D49" s="743">
        <f>C49*$C$42*$C$17</f>
        <v>0</v>
      </c>
      <c r="E49" s="599"/>
      <c r="F49" s="602"/>
      <c r="G49" s="602"/>
      <c r="H49" s="602"/>
      <c r="I49" s="602"/>
      <c r="J49" s="602"/>
      <c r="K49" s="602"/>
      <c r="L49" s="602"/>
      <c r="M49" s="602"/>
      <c r="N49" s="602"/>
      <c r="O49" s="602"/>
      <c r="P49" s="602"/>
      <c r="Q49" s="602"/>
      <c r="R49" s="602"/>
      <c r="S49" s="602"/>
      <c r="T49" s="602"/>
      <c r="U49" s="602"/>
      <c r="V49" s="602"/>
      <c r="W49" s="602"/>
      <c r="X49" s="602"/>
      <c r="Y49" s="602"/>
      <c r="Z49" s="602"/>
      <c r="AA49" s="602"/>
      <c r="AB49" s="602"/>
      <c r="AC49" s="602"/>
      <c r="AD49" s="602"/>
      <c r="AE49" s="78">
        <f t="shared" ref="AE49:AE53" si="33">F49-SUM(G49:AD49)</f>
        <v>0</v>
      </c>
    </row>
    <row r="50" spans="1:31" ht="18" hidden="1" customHeight="1" x14ac:dyDescent="0.2">
      <c r="A50" s="82" t="s">
        <v>187</v>
      </c>
      <c r="B50" s="48"/>
      <c r="C50" s="598"/>
      <c r="D50" s="743">
        <f t="shared" ref="D50:D52" si="34">C50*$C$42*$C$17</f>
        <v>0</v>
      </c>
      <c r="E50" s="599"/>
      <c r="F50" s="602"/>
      <c r="G50" s="602"/>
      <c r="H50" s="602"/>
      <c r="I50" s="602"/>
      <c r="J50" s="602"/>
      <c r="K50" s="602"/>
      <c r="L50" s="602"/>
      <c r="M50" s="602"/>
      <c r="N50" s="602"/>
      <c r="O50" s="602"/>
      <c r="P50" s="602"/>
      <c r="Q50" s="602"/>
      <c r="R50" s="602"/>
      <c r="S50" s="602"/>
      <c r="T50" s="602"/>
      <c r="U50" s="602"/>
      <c r="V50" s="602"/>
      <c r="W50" s="602"/>
      <c r="X50" s="602"/>
      <c r="Y50" s="602"/>
      <c r="Z50" s="602"/>
      <c r="AA50" s="602"/>
      <c r="AB50" s="602"/>
      <c r="AC50" s="602"/>
      <c r="AD50" s="602"/>
      <c r="AE50" s="78">
        <f t="shared" si="33"/>
        <v>0</v>
      </c>
    </row>
    <row r="51" spans="1:31" ht="18" hidden="1" customHeight="1" x14ac:dyDescent="0.2">
      <c r="A51" s="82" t="s">
        <v>188</v>
      </c>
      <c r="B51" s="48"/>
      <c r="C51" s="598"/>
      <c r="D51" s="743">
        <f t="shared" si="34"/>
        <v>0</v>
      </c>
      <c r="E51" s="599"/>
      <c r="F51" s="602"/>
      <c r="G51" s="602"/>
      <c r="H51" s="602"/>
      <c r="I51" s="602"/>
      <c r="J51" s="602"/>
      <c r="K51" s="602"/>
      <c r="L51" s="602"/>
      <c r="M51" s="602"/>
      <c r="N51" s="602"/>
      <c r="O51" s="602"/>
      <c r="P51" s="602"/>
      <c r="Q51" s="602"/>
      <c r="R51" s="602"/>
      <c r="S51" s="602"/>
      <c r="T51" s="602"/>
      <c r="U51" s="602"/>
      <c r="V51" s="602"/>
      <c r="W51" s="602"/>
      <c r="X51" s="602"/>
      <c r="Y51" s="602"/>
      <c r="Z51" s="602"/>
      <c r="AA51" s="602"/>
      <c r="AB51" s="602"/>
      <c r="AC51" s="602"/>
      <c r="AD51" s="602"/>
      <c r="AE51" s="78">
        <f t="shared" si="33"/>
        <v>0</v>
      </c>
    </row>
    <row r="52" spans="1:31" ht="18" hidden="1" customHeight="1" x14ac:dyDescent="0.2">
      <c r="A52" s="82" t="s">
        <v>189</v>
      </c>
      <c r="B52" s="48"/>
      <c r="C52" s="598"/>
      <c r="D52" s="743">
        <f t="shared" si="34"/>
        <v>0</v>
      </c>
      <c r="E52" s="599"/>
      <c r="F52" s="602"/>
      <c r="G52" s="602"/>
      <c r="H52" s="602"/>
      <c r="I52" s="602"/>
      <c r="J52" s="602"/>
      <c r="K52" s="602"/>
      <c r="L52" s="602"/>
      <c r="M52" s="602"/>
      <c r="N52" s="602"/>
      <c r="O52" s="602"/>
      <c r="P52" s="602"/>
      <c r="Q52" s="602"/>
      <c r="R52" s="602"/>
      <c r="S52" s="602"/>
      <c r="T52" s="602"/>
      <c r="U52" s="602"/>
      <c r="V52" s="602"/>
      <c r="W52" s="602"/>
      <c r="X52" s="602"/>
      <c r="Y52" s="602"/>
      <c r="Z52" s="602"/>
      <c r="AA52" s="602"/>
      <c r="AB52" s="602"/>
      <c r="AC52" s="602"/>
      <c r="AD52" s="602"/>
      <c r="AE52" s="78">
        <f t="shared" si="33"/>
        <v>0</v>
      </c>
    </row>
    <row r="53" spans="1:31" ht="18" hidden="1" customHeight="1" x14ac:dyDescent="0.2">
      <c r="A53" s="82" t="s">
        <v>190</v>
      </c>
      <c r="B53" s="48"/>
      <c r="C53" s="598"/>
      <c r="D53" s="743">
        <f>C53*$C$42*$C$17</f>
        <v>0</v>
      </c>
      <c r="E53" s="599"/>
      <c r="F53" s="602"/>
      <c r="G53" s="602"/>
      <c r="H53" s="602"/>
      <c r="I53" s="602"/>
      <c r="J53" s="602"/>
      <c r="K53" s="602"/>
      <c r="L53" s="602"/>
      <c r="M53" s="602"/>
      <c r="N53" s="602"/>
      <c r="O53" s="602"/>
      <c r="P53" s="602"/>
      <c r="Q53" s="602"/>
      <c r="R53" s="602"/>
      <c r="S53" s="602"/>
      <c r="T53" s="602"/>
      <c r="U53" s="602"/>
      <c r="V53" s="602"/>
      <c r="W53" s="602"/>
      <c r="X53" s="602"/>
      <c r="Y53" s="602"/>
      <c r="Z53" s="602"/>
      <c r="AA53" s="602"/>
      <c r="AB53" s="602"/>
      <c r="AC53" s="602"/>
      <c r="AD53" s="602"/>
      <c r="AE53" s="78">
        <f t="shared" si="33"/>
        <v>0</v>
      </c>
    </row>
    <row r="54" spans="1:31" ht="18" hidden="1" customHeight="1" x14ac:dyDescent="0.2">
      <c r="A54" s="80" t="s">
        <v>151</v>
      </c>
      <c r="B54" s="35"/>
      <c r="C54" s="36"/>
      <c r="D54" s="744"/>
      <c r="E54" s="37"/>
      <c r="F54" s="51"/>
      <c r="G54" s="51">
        <f>G55+G61+G67+G73+G79</f>
        <v>0</v>
      </c>
      <c r="H54" s="51">
        <f t="shared" ref="H54:AC54" si="35">H55+H61+H67+H73+H79</f>
        <v>0</v>
      </c>
      <c r="I54" s="51">
        <f t="shared" si="35"/>
        <v>0</v>
      </c>
      <c r="J54" s="51">
        <f t="shared" si="35"/>
        <v>0</v>
      </c>
      <c r="K54" s="51">
        <f t="shared" si="35"/>
        <v>0</v>
      </c>
      <c r="L54" s="51">
        <f t="shared" si="35"/>
        <v>0</v>
      </c>
      <c r="M54" s="51">
        <f t="shared" si="35"/>
        <v>0</v>
      </c>
      <c r="N54" s="51">
        <f t="shared" si="35"/>
        <v>0</v>
      </c>
      <c r="O54" s="51">
        <f t="shared" si="35"/>
        <v>0</v>
      </c>
      <c r="P54" s="51">
        <f t="shared" si="35"/>
        <v>0</v>
      </c>
      <c r="Q54" s="51">
        <f t="shared" si="35"/>
        <v>0</v>
      </c>
      <c r="R54" s="51">
        <f t="shared" si="35"/>
        <v>0</v>
      </c>
      <c r="S54" s="51">
        <f t="shared" si="35"/>
        <v>0</v>
      </c>
      <c r="T54" s="51">
        <f t="shared" si="35"/>
        <v>0</v>
      </c>
      <c r="U54" s="51">
        <f t="shared" si="35"/>
        <v>0</v>
      </c>
      <c r="V54" s="51">
        <f t="shared" si="35"/>
        <v>0</v>
      </c>
      <c r="W54" s="51">
        <f t="shared" si="35"/>
        <v>0</v>
      </c>
      <c r="X54" s="51">
        <f t="shared" si="35"/>
        <v>0</v>
      </c>
      <c r="Y54" s="51">
        <f t="shared" si="35"/>
        <v>0</v>
      </c>
      <c r="Z54" s="51">
        <f t="shared" si="35"/>
        <v>0</v>
      </c>
      <c r="AA54" s="51">
        <f t="shared" si="35"/>
        <v>0</v>
      </c>
      <c r="AB54" s="51">
        <f t="shared" si="35"/>
        <v>0</v>
      </c>
      <c r="AC54" s="51">
        <f t="shared" si="35"/>
        <v>0</v>
      </c>
      <c r="AD54" s="51">
        <f>AD55+AD61+AD67+AD73+AD79</f>
        <v>0</v>
      </c>
      <c r="AE54" s="78">
        <f t="shared" si="2"/>
        <v>0</v>
      </c>
    </row>
    <row r="55" spans="1:31" ht="18" hidden="1" customHeight="1" x14ac:dyDescent="0.2">
      <c r="A55" s="81" t="s">
        <v>191</v>
      </c>
      <c r="B55" s="32"/>
      <c r="C55" s="33"/>
      <c r="D55" s="745"/>
      <c r="E55" s="34"/>
      <c r="F55" s="52"/>
      <c r="G55" s="52">
        <f>SUM(G56:G60)</f>
        <v>0</v>
      </c>
      <c r="H55" s="52">
        <f t="shared" ref="H55" si="36">SUM(H56:H60)</f>
        <v>0</v>
      </c>
      <c r="I55" s="52">
        <f>SUM(I56:I60)</f>
        <v>0</v>
      </c>
      <c r="J55" s="52">
        <f t="shared" ref="J55" si="37">SUM(J56:J60)</f>
        <v>0</v>
      </c>
      <c r="K55" s="52">
        <f t="shared" ref="K55" si="38">SUM(K56:K60)</f>
        <v>0</v>
      </c>
      <c r="L55" s="52">
        <f t="shared" ref="L55" si="39">SUM(L56:L60)</f>
        <v>0</v>
      </c>
      <c r="M55" s="52">
        <f t="shared" ref="M55" si="40">SUM(M56:M60)</f>
        <v>0</v>
      </c>
      <c r="N55" s="52">
        <f t="shared" ref="N55" si="41">SUM(N56:N60)</f>
        <v>0</v>
      </c>
      <c r="O55" s="52">
        <f t="shared" ref="O55" si="42">SUM(O56:O60)</f>
        <v>0</v>
      </c>
      <c r="P55" s="52">
        <f t="shared" ref="P55" si="43">SUM(P56:P60)</f>
        <v>0</v>
      </c>
      <c r="Q55" s="52">
        <f t="shared" ref="Q55:AD55" si="44">SUM(Q56:Q60)</f>
        <v>0</v>
      </c>
      <c r="R55" s="52">
        <f t="shared" si="44"/>
        <v>0</v>
      </c>
      <c r="S55" s="52">
        <f t="shared" si="44"/>
        <v>0</v>
      </c>
      <c r="T55" s="52">
        <f t="shared" si="44"/>
        <v>0</v>
      </c>
      <c r="U55" s="52">
        <f t="shared" si="44"/>
        <v>0</v>
      </c>
      <c r="V55" s="52">
        <f t="shared" si="44"/>
        <v>0</v>
      </c>
      <c r="W55" s="52">
        <f t="shared" si="44"/>
        <v>0</v>
      </c>
      <c r="X55" s="52">
        <f t="shared" si="44"/>
        <v>0</v>
      </c>
      <c r="Y55" s="52">
        <f t="shared" si="44"/>
        <v>0</v>
      </c>
      <c r="Z55" s="52">
        <f t="shared" si="44"/>
        <v>0</v>
      </c>
      <c r="AA55" s="52">
        <f t="shared" si="44"/>
        <v>0</v>
      </c>
      <c r="AB55" s="52">
        <f t="shared" si="44"/>
        <v>0</v>
      </c>
      <c r="AC55" s="52">
        <f t="shared" si="44"/>
        <v>0</v>
      </c>
      <c r="AD55" s="52">
        <f t="shared" si="44"/>
        <v>0</v>
      </c>
      <c r="AE55" s="78">
        <f t="shared" si="2"/>
        <v>0</v>
      </c>
    </row>
    <row r="56" spans="1:31" ht="18" hidden="1" customHeight="1" x14ac:dyDescent="0.2">
      <c r="A56" s="82" t="s">
        <v>192</v>
      </c>
      <c r="B56" s="48"/>
      <c r="C56" s="598"/>
      <c r="D56" s="743">
        <f>C56*$C$55*$C$54</f>
        <v>0</v>
      </c>
      <c r="E56" s="599"/>
      <c r="F56" s="602"/>
      <c r="G56" s="602"/>
      <c r="H56" s="602"/>
      <c r="I56" s="602"/>
      <c r="J56" s="602"/>
      <c r="K56" s="602"/>
      <c r="L56" s="602"/>
      <c r="M56" s="602"/>
      <c r="N56" s="602"/>
      <c r="O56" s="602"/>
      <c r="P56" s="602"/>
      <c r="Q56" s="602"/>
      <c r="R56" s="602"/>
      <c r="S56" s="602"/>
      <c r="T56" s="602"/>
      <c r="U56" s="602"/>
      <c r="V56" s="602"/>
      <c r="W56" s="602"/>
      <c r="X56" s="602"/>
      <c r="Y56" s="602"/>
      <c r="Z56" s="602"/>
      <c r="AA56" s="602"/>
      <c r="AB56" s="602"/>
      <c r="AC56" s="602"/>
      <c r="AD56" s="602"/>
      <c r="AE56" s="78">
        <f t="shared" si="2"/>
        <v>0</v>
      </c>
    </row>
    <row r="57" spans="1:31" ht="18" hidden="1" customHeight="1" x14ac:dyDescent="0.2">
      <c r="A57" s="82" t="s">
        <v>193</v>
      </c>
      <c r="B57" s="48"/>
      <c r="C57" s="598"/>
      <c r="D57" s="743">
        <f t="shared" ref="D57:D58" si="45">C57*$C$55*$C$54</f>
        <v>0</v>
      </c>
      <c r="E57" s="599"/>
      <c r="F57" s="602"/>
      <c r="G57" s="602"/>
      <c r="H57" s="602"/>
      <c r="I57" s="602"/>
      <c r="J57" s="602"/>
      <c r="K57" s="602"/>
      <c r="L57" s="602"/>
      <c r="M57" s="602"/>
      <c r="N57" s="602"/>
      <c r="O57" s="602"/>
      <c r="P57" s="602"/>
      <c r="Q57" s="602"/>
      <c r="R57" s="602"/>
      <c r="S57" s="602"/>
      <c r="T57" s="602"/>
      <c r="U57" s="602"/>
      <c r="V57" s="602"/>
      <c r="W57" s="602"/>
      <c r="X57" s="602"/>
      <c r="Y57" s="602"/>
      <c r="Z57" s="602"/>
      <c r="AA57" s="602"/>
      <c r="AB57" s="602"/>
      <c r="AC57" s="602"/>
      <c r="AD57" s="602"/>
      <c r="AE57" s="78">
        <f t="shared" si="2"/>
        <v>0</v>
      </c>
    </row>
    <row r="58" spans="1:31" ht="18" hidden="1" customHeight="1" x14ac:dyDescent="0.2">
      <c r="A58" s="82" t="s">
        <v>194</v>
      </c>
      <c r="B58" s="48"/>
      <c r="C58" s="598"/>
      <c r="D58" s="743">
        <f t="shared" si="45"/>
        <v>0</v>
      </c>
      <c r="E58" s="599"/>
      <c r="F58" s="602"/>
      <c r="G58" s="602"/>
      <c r="H58" s="602"/>
      <c r="I58" s="602"/>
      <c r="J58" s="602"/>
      <c r="K58" s="602"/>
      <c r="L58" s="602"/>
      <c r="M58" s="602"/>
      <c r="N58" s="602"/>
      <c r="O58" s="602"/>
      <c r="P58" s="602"/>
      <c r="Q58" s="602"/>
      <c r="R58" s="602"/>
      <c r="S58" s="602"/>
      <c r="T58" s="602"/>
      <c r="U58" s="602"/>
      <c r="V58" s="602"/>
      <c r="W58" s="602"/>
      <c r="X58" s="602"/>
      <c r="Y58" s="602"/>
      <c r="Z58" s="602"/>
      <c r="AA58" s="602"/>
      <c r="AB58" s="602"/>
      <c r="AC58" s="602"/>
      <c r="AD58" s="602"/>
      <c r="AE58" s="78">
        <f t="shared" si="2"/>
        <v>0</v>
      </c>
    </row>
    <row r="59" spans="1:31" ht="18" hidden="1" customHeight="1" x14ac:dyDescent="0.2">
      <c r="A59" s="82" t="s">
        <v>195</v>
      </c>
      <c r="B59" s="48"/>
      <c r="C59" s="598"/>
      <c r="D59" s="743">
        <f>C59*$C$55*$C$54</f>
        <v>0</v>
      </c>
      <c r="E59" s="599"/>
      <c r="F59" s="602"/>
      <c r="G59" s="602"/>
      <c r="H59" s="602"/>
      <c r="I59" s="602"/>
      <c r="J59" s="602"/>
      <c r="K59" s="602"/>
      <c r="L59" s="602"/>
      <c r="M59" s="602"/>
      <c r="N59" s="602"/>
      <c r="O59" s="602"/>
      <c r="P59" s="602"/>
      <c r="Q59" s="602"/>
      <c r="R59" s="602"/>
      <c r="S59" s="602"/>
      <c r="T59" s="602"/>
      <c r="U59" s="602"/>
      <c r="V59" s="602"/>
      <c r="W59" s="602"/>
      <c r="X59" s="602"/>
      <c r="Y59" s="602"/>
      <c r="Z59" s="602"/>
      <c r="AA59" s="602"/>
      <c r="AB59" s="602"/>
      <c r="AC59" s="602"/>
      <c r="AD59" s="602"/>
      <c r="AE59" s="78">
        <f t="shared" si="2"/>
        <v>0</v>
      </c>
    </row>
    <row r="60" spans="1:31" ht="18" hidden="1" customHeight="1" x14ac:dyDescent="0.2">
      <c r="A60" s="82" t="s">
        <v>196</v>
      </c>
      <c r="B60" s="48"/>
      <c r="C60" s="598"/>
      <c r="D60" s="743">
        <f>C60*$C$55*$C$54</f>
        <v>0</v>
      </c>
      <c r="E60" s="599"/>
      <c r="F60" s="602"/>
      <c r="G60" s="602"/>
      <c r="H60" s="602"/>
      <c r="I60" s="602"/>
      <c r="J60" s="602"/>
      <c r="K60" s="602"/>
      <c r="L60" s="602"/>
      <c r="M60" s="602"/>
      <c r="N60" s="602"/>
      <c r="O60" s="602"/>
      <c r="P60" s="602"/>
      <c r="Q60" s="602"/>
      <c r="R60" s="602"/>
      <c r="S60" s="602"/>
      <c r="T60" s="602"/>
      <c r="U60" s="602"/>
      <c r="V60" s="602"/>
      <c r="W60" s="602"/>
      <c r="X60" s="602"/>
      <c r="Y60" s="602"/>
      <c r="Z60" s="602"/>
      <c r="AA60" s="602"/>
      <c r="AB60" s="602"/>
      <c r="AC60" s="602"/>
      <c r="AD60" s="602"/>
      <c r="AE60" s="78">
        <f t="shared" si="2"/>
        <v>0</v>
      </c>
    </row>
    <row r="61" spans="1:31" ht="18" hidden="1" customHeight="1" x14ac:dyDescent="0.2">
      <c r="A61" s="81" t="s">
        <v>197</v>
      </c>
      <c r="B61" s="32"/>
      <c r="C61" s="33"/>
      <c r="D61" s="745"/>
      <c r="E61" s="34"/>
      <c r="F61" s="52"/>
      <c r="G61" s="52">
        <f>SUM(G62:G66)</f>
        <v>0</v>
      </c>
      <c r="H61" s="52">
        <f t="shared" ref="H61" si="46">SUM(H62:H66)</f>
        <v>0</v>
      </c>
      <c r="I61" s="52">
        <f t="shared" ref="I61" si="47">SUM(I62:I66)</f>
        <v>0</v>
      </c>
      <c r="J61" s="52">
        <f>SUM(J62:J66)</f>
        <v>0</v>
      </c>
      <c r="K61" s="52">
        <f t="shared" ref="K61" si="48">SUM(K62:K66)</f>
        <v>0</v>
      </c>
      <c r="L61" s="52">
        <f t="shared" ref="L61" si="49">SUM(L62:L66)</f>
        <v>0</v>
      </c>
      <c r="M61" s="52">
        <f t="shared" ref="M61" si="50">SUM(M62:M66)</f>
        <v>0</v>
      </c>
      <c r="N61" s="52">
        <f t="shared" ref="N61" si="51">SUM(N62:N66)</f>
        <v>0</v>
      </c>
      <c r="O61" s="52">
        <f t="shared" ref="O61" si="52">SUM(O62:O66)</f>
        <v>0</v>
      </c>
      <c r="P61" s="52">
        <f t="shared" ref="P61" si="53">SUM(P62:P66)</f>
        <v>0</v>
      </c>
      <c r="Q61" s="52">
        <f t="shared" ref="Q61:AD61" si="54">SUM(Q62:Q66)</f>
        <v>0</v>
      </c>
      <c r="R61" s="52">
        <f t="shared" si="54"/>
        <v>0</v>
      </c>
      <c r="S61" s="52">
        <f t="shared" si="54"/>
        <v>0</v>
      </c>
      <c r="T61" s="52">
        <f t="shared" si="54"/>
        <v>0</v>
      </c>
      <c r="U61" s="52">
        <f t="shared" si="54"/>
        <v>0</v>
      </c>
      <c r="V61" s="52">
        <f t="shared" si="54"/>
        <v>0</v>
      </c>
      <c r="W61" s="52">
        <f t="shared" si="54"/>
        <v>0</v>
      </c>
      <c r="X61" s="52">
        <f t="shared" si="54"/>
        <v>0</v>
      </c>
      <c r="Y61" s="52">
        <f t="shared" si="54"/>
        <v>0</v>
      </c>
      <c r="Z61" s="52">
        <f t="shared" si="54"/>
        <v>0</v>
      </c>
      <c r="AA61" s="52">
        <f t="shared" si="54"/>
        <v>0</v>
      </c>
      <c r="AB61" s="52">
        <f t="shared" si="54"/>
        <v>0</v>
      </c>
      <c r="AC61" s="52">
        <f t="shared" si="54"/>
        <v>0</v>
      </c>
      <c r="AD61" s="52">
        <f t="shared" si="54"/>
        <v>0</v>
      </c>
      <c r="AE61" s="78">
        <f t="shared" si="2"/>
        <v>0</v>
      </c>
    </row>
    <row r="62" spans="1:31" ht="18" hidden="1" customHeight="1" x14ac:dyDescent="0.2">
      <c r="A62" s="82" t="s">
        <v>198</v>
      </c>
      <c r="B62" s="48"/>
      <c r="C62" s="598"/>
      <c r="D62" s="743">
        <f>C62*$C$61*$C$54</f>
        <v>0</v>
      </c>
      <c r="E62" s="599"/>
      <c r="F62" s="602"/>
      <c r="G62" s="602"/>
      <c r="H62" s="602"/>
      <c r="I62" s="602"/>
      <c r="J62" s="602"/>
      <c r="K62" s="602"/>
      <c r="L62" s="602"/>
      <c r="M62" s="602"/>
      <c r="N62" s="602"/>
      <c r="O62" s="602"/>
      <c r="P62" s="602"/>
      <c r="Q62" s="602"/>
      <c r="R62" s="602"/>
      <c r="S62" s="602"/>
      <c r="T62" s="602"/>
      <c r="U62" s="602"/>
      <c r="V62" s="602"/>
      <c r="W62" s="602"/>
      <c r="X62" s="602"/>
      <c r="Y62" s="602"/>
      <c r="Z62" s="602"/>
      <c r="AA62" s="602"/>
      <c r="AB62" s="602"/>
      <c r="AC62" s="602"/>
      <c r="AD62" s="602"/>
      <c r="AE62" s="78">
        <f t="shared" si="2"/>
        <v>0</v>
      </c>
    </row>
    <row r="63" spans="1:31" ht="18" hidden="1" customHeight="1" x14ac:dyDescent="0.2">
      <c r="A63" s="82" t="s">
        <v>199</v>
      </c>
      <c r="B63" s="48"/>
      <c r="C63" s="598"/>
      <c r="D63" s="743">
        <f t="shared" ref="D63:D65" si="55">C63*$C$61*$C$54</f>
        <v>0</v>
      </c>
      <c r="E63" s="599"/>
      <c r="F63" s="602"/>
      <c r="G63" s="602"/>
      <c r="H63" s="602"/>
      <c r="I63" s="602"/>
      <c r="J63" s="602"/>
      <c r="K63" s="602"/>
      <c r="L63" s="602"/>
      <c r="M63" s="602"/>
      <c r="N63" s="602"/>
      <c r="O63" s="602"/>
      <c r="P63" s="602"/>
      <c r="Q63" s="602"/>
      <c r="R63" s="602"/>
      <c r="S63" s="602"/>
      <c r="T63" s="602"/>
      <c r="U63" s="602"/>
      <c r="V63" s="602"/>
      <c r="W63" s="602"/>
      <c r="X63" s="602"/>
      <c r="Y63" s="602"/>
      <c r="Z63" s="602"/>
      <c r="AA63" s="602"/>
      <c r="AB63" s="602"/>
      <c r="AC63" s="602"/>
      <c r="AD63" s="602"/>
      <c r="AE63" s="78">
        <f t="shared" si="2"/>
        <v>0</v>
      </c>
    </row>
    <row r="64" spans="1:31" ht="18" hidden="1" customHeight="1" x14ac:dyDescent="0.2">
      <c r="A64" s="82" t="s">
        <v>200</v>
      </c>
      <c r="B64" s="48"/>
      <c r="C64" s="598"/>
      <c r="D64" s="743">
        <f t="shared" si="55"/>
        <v>0</v>
      </c>
      <c r="E64" s="599"/>
      <c r="F64" s="602"/>
      <c r="G64" s="602"/>
      <c r="H64" s="602"/>
      <c r="I64" s="602"/>
      <c r="J64" s="602"/>
      <c r="K64" s="602"/>
      <c r="L64" s="602"/>
      <c r="M64" s="602"/>
      <c r="N64" s="602"/>
      <c r="O64" s="602"/>
      <c r="P64" s="602"/>
      <c r="Q64" s="602"/>
      <c r="R64" s="602"/>
      <c r="S64" s="602"/>
      <c r="T64" s="602"/>
      <c r="U64" s="602"/>
      <c r="V64" s="602"/>
      <c r="W64" s="602"/>
      <c r="X64" s="602"/>
      <c r="Y64" s="602"/>
      <c r="Z64" s="602"/>
      <c r="AA64" s="602"/>
      <c r="AB64" s="602"/>
      <c r="AC64" s="602"/>
      <c r="AD64" s="602"/>
      <c r="AE64" s="78">
        <f t="shared" si="2"/>
        <v>0</v>
      </c>
    </row>
    <row r="65" spans="1:31" ht="18" hidden="1" customHeight="1" x14ac:dyDescent="0.2">
      <c r="A65" s="82" t="s">
        <v>201</v>
      </c>
      <c r="B65" s="48"/>
      <c r="C65" s="598"/>
      <c r="D65" s="743">
        <f t="shared" si="55"/>
        <v>0</v>
      </c>
      <c r="E65" s="599"/>
      <c r="F65" s="602"/>
      <c r="G65" s="602"/>
      <c r="H65" s="602"/>
      <c r="I65" s="602"/>
      <c r="J65" s="602"/>
      <c r="K65" s="602"/>
      <c r="L65" s="602"/>
      <c r="M65" s="602"/>
      <c r="N65" s="602"/>
      <c r="O65" s="602"/>
      <c r="P65" s="602"/>
      <c r="Q65" s="602"/>
      <c r="R65" s="602"/>
      <c r="S65" s="602"/>
      <c r="T65" s="602"/>
      <c r="U65" s="602"/>
      <c r="V65" s="602"/>
      <c r="W65" s="602"/>
      <c r="X65" s="602"/>
      <c r="Y65" s="602"/>
      <c r="Z65" s="602"/>
      <c r="AA65" s="602"/>
      <c r="AB65" s="602"/>
      <c r="AC65" s="602"/>
      <c r="AD65" s="602"/>
      <c r="AE65" s="78">
        <f t="shared" si="2"/>
        <v>0</v>
      </c>
    </row>
    <row r="66" spans="1:31" ht="18" hidden="1" customHeight="1" x14ac:dyDescent="0.2">
      <c r="A66" s="82" t="s">
        <v>202</v>
      </c>
      <c r="B66" s="48"/>
      <c r="C66" s="598"/>
      <c r="D66" s="743">
        <f>C66*$C$61*$C$54</f>
        <v>0</v>
      </c>
      <c r="E66" s="599"/>
      <c r="F66" s="602"/>
      <c r="G66" s="602"/>
      <c r="H66" s="602"/>
      <c r="I66" s="602"/>
      <c r="J66" s="602"/>
      <c r="K66" s="602"/>
      <c r="L66" s="602"/>
      <c r="M66" s="602"/>
      <c r="N66" s="602"/>
      <c r="O66" s="602"/>
      <c r="P66" s="602"/>
      <c r="Q66" s="602"/>
      <c r="R66" s="602"/>
      <c r="S66" s="602"/>
      <c r="T66" s="602"/>
      <c r="U66" s="602"/>
      <c r="V66" s="602"/>
      <c r="W66" s="602"/>
      <c r="X66" s="602"/>
      <c r="Y66" s="602"/>
      <c r="Z66" s="602"/>
      <c r="AA66" s="602"/>
      <c r="AB66" s="602"/>
      <c r="AC66" s="602"/>
      <c r="AD66" s="602"/>
      <c r="AE66" s="78">
        <f t="shared" si="2"/>
        <v>0</v>
      </c>
    </row>
    <row r="67" spans="1:31" ht="18" hidden="1" customHeight="1" x14ac:dyDescent="0.2">
      <c r="A67" s="81" t="s">
        <v>203</v>
      </c>
      <c r="B67" s="32"/>
      <c r="C67" s="33"/>
      <c r="D67" s="745"/>
      <c r="E67" s="34"/>
      <c r="F67" s="52"/>
      <c r="G67" s="52">
        <f>SUM(G68:G72)</f>
        <v>0</v>
      </c>
      <c r="H67" s="52">
        <f>SUM(H68:H72)</f>
        <v>0</v>
      </c>
      <c r="I67" s="52">
        <f t="shared" ref="I67" si="56">SUM(I68:I72)</f>
        <v>0</v>
      </c>
      <c r="J67" s="52">
        <f t="shared" ref="J67" si="57">SUM(J68:J72)</f>
        <v>0</v>
      </c>
      <c r="K67" s="52">
        <f>SUM(K68:K72)</f>
        <v>0</v>
      </c>
      <c r="L67" s="52">
        <f t="shared" ref="L67" si="58">SUM(L68:L72)</f>
        <v>0</v>
      </c>
      <c r="M67" s="52">
        <f t="shared" ref="M67" si="59">SUM(M68:M72)</f>
        <v>0</v>
      </c>
      <c r="N67" s="52">
        <f t="shared" ref="N67" si="60">SUM(N68:N72)</f>
        <v>0</v>
      </c>
      <c r="O67" s="52">
        <f t="shared" ref="O67" si="61">SUM(O68:O72)</f>
        <v>0</v>
      </c>
      <c r="P67" s="52">
        <f t="shared" ref="P67" si="62">SUM(P68:P72)</f>
        <v>0</v>
      </c>
      <c r="Q67" s="52">
        <f t="shared" ref="Q67:AD67" si="63">SUM(Q68:Q72)</f>
        <v>0</v>
      </c>
      <c r="R67" s="52">
        <f t="shared" si="63"/>
        <v>0</v>
      </c>
      <c r="S67" s="52">
        <f t="shared" si="63"/>
        <v>0</v>
      </c>
      <c r="T67" s="52">
        <f t="shared" si="63"/>
        <v>0</v>
      </c>
      <c r="U67" s="52">
        <f t="shared" si="63"/>
        <v>0</v>
      </c>
      <c r="V67" s="52">
        <f t="shared" si="63"/>
        <v>0</v>
      </c>
      <c r="W67" s="52">
        <f t="shared" si="63"/>
        <v>0</v>
      </c>
      <c r="X67" s="52">
        <f t="shared" si="63"/>
        <v>0</v>
      </c>
      <c r="Y67" s="52">
        <f t="shared" si="63"/>
        <v>0</v>
      </c>
      <c r="Z67" s="52">
        <f t="shared" si="63"/>
        <v>0</v>
      </c>
      <c r="AA67" s="52">
        <f t="shared" si="63"/>
        <v>0</v>
      </c>
      <c r="AB67" s="52">
        <f t="shared" si="63"/>
        <v>0</v>
      </c>
      <c r="AC67" s="52">
        <f t="shared" si="63"/>
        <v>0</v>
      </c>
      <c r="AD67" s="52">
        <f t="shared" si="63"/>
        <v>0</v>
      </c>
      <c r="AE67" s="78">
        <f t="shared" si="2"/>
        <v>0</v>
      </c>
    </row>
    <row r="68" spans="1:31" ht="18" hidden="1" customHeight="1" x14ac:dyDescent="0.2">
      <c r="A68" s="82" t="s">
        <v>204</v>
      </c>
      <c r="B68" s="48"/>
      <c r="C68" s="598"/>
      <c r="D68" s="743">
        <f>C68*$C$67*$C$54</f>
        <v>0</v>
      </c>
      <c r="E68" s="599"/>
      <c r="F68" s="602"/>
      <c r="G68" s="602"/>
      <c r="H68" s="602"/>
      <c r="I68" s="602"/>
      <c r="J68" s="602"/>
      <c r="K68" s="602"/>
      <c r="L68" s="602"/>
      <c r="M68" s="602"/>
      <c r="N68" s="602"/>
      <c r="O68" s="602"/>
      <c r="P68" s="602"/>
      <c r="Q68" s="602"/>
      <c r="R68" s="602"/>
      <c r="S68" s="602"/>
      <c r="T68" s="602"/>
      <c r="U68" s="602"/>
      <c r="V68" s="602"/>
      <c r="W68" s="602"/>
      <c r="X68" s="602"/>
      <c r="Y68" s="602"/>
      <c r="Z68" s="602"/>
      <c r="AA68" s="602"/>
      <c r="AB68" s="602"/>
      <c r="AC68" s="602"/>
      <c r="AD68" s="602"/>
      <c r="AE68" s="78">
        <f t="shared" si="2"/>
        <v>0</v>
      </c>
    </row>
    <row r="69" spans="1:31" ht="18" hidden="1" customHeight="1" x14ac:dyDescent="0.2">
      <c r="A69" s="82" t="s">
        <v>205</v>
      </c>
      <c r="B69" s="48"/>
      <c r="C69" s="598"/>
      <c r="D69" s="743">
        <f t="shared" ref="D69:D70" si="64">C69*$C$67*$C$54</f>
        <v>0</v>
      </c>
      <c r="E69" s="599"/>
      <c r="F69" s="602"/>
      <c r="G69" s="602"/>
      <c r="H69" s="602"/>
      <c r="I69" s="602"/>
      <c r="J69" s="602"/>
      <c r="K69" s="602"/>
      <c r="L69" s="602"/>
      <c r="M69" s="602"/>
      <c r="N69" s="602"/>
      <c r="O69" s="602"/>
      <c r="P69" s="602"/>
      <c r="Q69" s="602"/>
      <c r="R69" s="602"/>
      <c r="S69" s="602"/>
      <c r="T69" s="602"/>
      <c r="U69" s="602"/>
      <c r="V69" s="602"/>
      <c r="W69" s="602"/>
      <c r="X69" s="602"/>
      <c r="Y69" s="602"/>
      <c r="Z69" s="602"/>
      <c r="AA69" s="602"/>
      <c r="AB69" s="602"/>
      <c r="AC69" s="602"/>
      <c r="AD69" s="602"/>
      <c r="AE69" s="78">
        <f t="shared" si="2"/>
        <v>0</v>
      </c>
    </row>
    <row r="70" spans="1:31" ht="18" hidden="1" customHeight="1" x14ac:dyDescent="0.2">
      <c r="A70" s="82" t="s">
        <v>206</v>
      </c>
      <c r="B70" s="48"/>
      <c r="C70" s="598"/>
      <c r="D70" s="743">
        <f t="shared" si="64"/>
        <v>0</v>
      </c>
      <c r="E70" s="599"/>
      <c r="F70" s="602"/>
      <c r="G70" s="602"/>
      <c r="H70" s="602"/>
      <c r="I70" s="602"/>
      <c r="J70" s="602"/>
      <c r="K70" s="602"/>
      <c r="L70" s="602"/>
      <c r="M70" s="602"/>
      <c r="N70" s="602"/>
      <c r="O70" s="602"/>
      <c r="P70" s="602"/>
      <c r="Q70" s="602"/>
      <c r="R70" s="602"/>
      <c r="S70" s="602"/>
      <c r="T70" s="602"/>
      <c r="U70" s="602"/>
      <c r="V70" s="602"/>
      <c r="W70" s="602"/>
      <c r="X70" s="602"/>
      <c r="Y70" s="602"/>
      <c r="Z70" s="602"/>
      <c r="AA70" s="602"/>
      <c r="AB70" s="602"/>
      <c r="AC70" s="602"/>
      <c r="AD70" s="602"/>
      <c r="AE70" s="78">
        <f t="shared" si="2"/>
        <v>0</v>
      </c>
    </row>
    <row r="71" spans="1:31" ht="18" hidden="1" customHeight="1" x14ac:dyDescent="0.2">
      <c r="A71" s="82" t="s">
        <v>207</v>
      </c>
      <c r="B71" s="48"/>
      <c r="C71" s="598"/>
      <c r="D71" s="743">
        <f>C71*$C$67*$C$54</f>
        <v>0</v>
      </c>
      <c r="E71" s="599"/>
      <c r="F71" s="602"/>
      <c r="G71" s="602"/>
      <c r="H71" s="602"/>
      <c r="I71" s="602"/>
      <c r="J71" s="602"/>
      <c r="K71" s="602"/>
      <c r="L71" s="602"/>
      <c r="M71" s="602"/>
      <c r="N71" s="602"/>
      <c r="O71" s="602"/>
      <c r="P71" s="602"/>
      <c r="Q71" s="602"/>
      <c r="R71" s="602"/>
      <c r="S71" s="602"/>
      <c r="T71" s="602"/>
      <c r="U71" s="602"/>
      <c r="V71" s="602"/>
      <c r="W71" s="602"/>
      <c r="X71" s="602"/>
      <c r="Y71" s="602"/>
      <c r="Z71" s="602"/>
      <c r="AA71" s="602"/>
      <c r="AB71" s="602"/>
      <c r="AC71" s="602"/>
      <c r="AD71" s="602"/>
      <c r="AE71" s="78">
        <f t="shared" si="2"/>
        <v>0</v>
      </c>
    </row>
    <row r="72" spans="1:31" ht="18" hidden="1" customHeight="1" x14ac:dyDescent="0.2">
      <c r="A72" s="82" t="s">
        <v>208</v>
      </c>
      <c r="B72" s="48"/>
      <c r="C72" s="598"/>
      <c r="D72" s="743">
        <f>C72*$C$67*$C$54</f>
        <v>0</v>
      </c>
      <c r="E72" s="599"/>
      <c r="F72" s="602"/>
      <c r="G72" s="602"/>
      <c r="H72" s="602"/>
      <c r="I72" s="602"/>
      <c r="J72" s="602"/>
      <c r="K72" s="602"/>
      <c r="L72" s="602"/>
      <c r="M72" s="602"/>
      <c r="N72" s="602"/>
      <c r="O72" s="602"/>
      <c r="P72" s="602"/>
      <c r="Q72" s="602"/>
      <c r="R72" s="602"/>
      <c r="S72" s="602"/>
      <c r="T72" s="602"/>
      <c r="U72" s="602"/>
      <c r="V72" s="602"/>
      <c r="W72" s="602"/>
      <c r="X72" s="602"/>
      <c r="Y72" s="602"/>
      <c r="Z72" s="602"/>
      <c r="AA72" s="602"/>
      <c r="AB72" s="602"/>
      <c r="AC72" s="602"/>
      <c r="AD72" s="602"/>
      <c r="AE72" s="78">
        <f t="shared" si="2"/>
        <v>0</v>
      </c>
    </row>
    <row r="73" spans="1:31" ht="18" hidden="1" customHeight="1" x14ac:dyDescent="0.2">
      <c r="A73" s="81" t="s">
        <v>209</v>
      </c>
      <c r="B73" s="32"/>
      <c r="C73" s="33"/>
      <c r="D73" s="745"/>
      <c r="E73" s="34"/>
      <c r="F73" s="52"/>
      <c r="G73" s="52">
        <f>SUM(G74:G78)</f>
        <v>0</v>
      </c>
      <c r="H73" s="52">
        <f>SUM(H74:H78)</f>
        <v>0</v>
      </c>
      <c r="I73" s="52">
        <f t="shared" ref="I73" si="65">SUM(I74:I78)</f>
        <v>0</v>
      </c>
      <c r="J73" s="52">
        <f>SUM(J74:J78)</f>
        <v>0</v>
      </c>
      <c r="K73" s="52">
        <f>SUM(K74:K78)</f>
        <v>0</v>
      </c>
      <c r="L73" s="52">
        <f t="shared" ref="L73:AD73" si="66">SUM(L74:L78)</f>
        <v>0</v>
      </c>
      <c r="M73" s="52">
        <f t="shared" si="66"/>
        <v>0</v>
      </c>
      <c r="N73" s="52">
        <f t="shared" si="66"/>
        <v>0</v>
      </c>
      <c r="O73" s="52">
        <f t="shared" si="66"/>
        <v>0</v>
      </c>
      <c r="P73" s="52">
        <f t="shared" si="66"/>
        <v>0</v>
      </c>
      <c r="Q73" s="52">
        <f t="shared" si="66"/>
        <v>0</v>
      </c>
      <c r="R73" s="52">
        <f t="shared" si="66"/>
        <v>0</v>
      </c>
      <c r="S73" s="52">
        <f t="shared" si="66"/>
        <v>0</v>
      </c>
      <c r="T73" s="52">
        <f t="shared" si="66"/>
        <v>0</v>
      </c>
      <c r="U73" s="52">
        <f t="shared" si="66"/>
        <v>0</v>
      </c>
      <c r="V73" s="52">
        <f t="shared" si="66"/>
        <v>0</v>
      </c>
      <c r="W73" s="52">
        <f t="shared" si="66"/>
        <v>0</v>
      </c>
      <c r="X73" s="52">
        <f t="shared" si="66"/>
        <v>0</v>
      </c>
      <c r="Y73" s="52">
        <f t="shared" si="66"/>
        <v>0</v>
      </c>
      <c r="Z73" s="52">
        <f t="shared" si="66"/>
        <v>0</v>
      </c>
      <c r="AA73" s="52">
        <f t="shared" si="66"/>
        <v>0</v>
      </c>
      <c r="AB73" s="52">
        <f t="shared" si="66"/>
        <v>0</v>
      </c>
      <c r="AC73" s="52">
        <f t="shared" si="66"/>
        <v>0</v>
      </c>
      <c r="AD73" s="52">
        <f t="shared" si="66"/>
        <v>0</v>
      </c>
      <c r="AE73" s="78">
        <f t="shared" si="2"/>
        <v>0</v>
      </c>
    </row>
    <row r="74" spans="1:31" ht="18" hidden="1" customHeight="1" x14ac:dyDescent="0.2">
      <c r="A74" s="82" t="s">
        <v>210</v>
      </c>
      <c r="B74" s="48"/>
      <c r="C74" s="598"/>
      <c r="D74" s="743">
        <f>C74*$C$73*$C$54</f>
        <v>0</v>
      </c>
      <c r="E74" s="599"/>
      <c r="F74" s="602"/>
      <c r="G74" s="602"/>
      <c r="H74" s="602"/>
      <c r="I74" s="602"/>
      <c r="J74" s="602"/>
      <c r="K74" s="602"/>
      <c r="L74" s="602"/>
      <c r="M74" s="602"/>
      <c r="N74" s="602"/>
      <c r="O74" s="602"/>
      <c r="P74" s="602"/>
      <c r="Q74" s="602"/>
      <c r="R74" s="602"/>
      <c r="S74" s="602"/>
      <c r="T74" s="602"/>
      <c r="U74" s="602"/>
      <c r="V74" s="602"/>
      <c r="W74" s="602"/>
      <c r="X74" s="602"/>
      <c r="Y74" s="602"/>
      <c r="Z74" s="602"/>
      <c r="AA74" s="602"/>
      <c r="AB74" s="602"/>
      <c r="AC74" s="602"/>
      <c r="AD74" s="602"/>
      <c r="AE74" s="78">
        <f t="shared" si="2"/>
        <v>0</v>
      </c>
    </row>
    <row r="75" spans="1:31" ht="18" hidden="1" customHeight="1" x14ac:dyDescent="0.2">
      <c r="A75" s="82" t="s">
        <v>211</v>
      </c>
      <c r="B75" s="48"/>
      <c r="C75" s="598"/>
      <c r="D75" s="743">
        <f t="shared" ref="D75:D77" si="67">C75*$C$73*$C$54</f>
        <v>0</v>
      </c>
      <c r="E75" s="599"/>
      <c r="F75" s="602"/>
      <c r="G75" s="602"/>
      <c r="H75" s="602"/>
      <c r="I75" s="602"/>
      <c r="J75" s="602"/>
      <c r="K75" s="602"/>
      <c r="L75" s="602"/>
      <c r="M75" s="602"/>
      <c r="N75" s="602"/>
      <c r="O75" s="602"/>
      <c r="P75" s="602"/>
      <c r="Q75" s="602"/>
      <c r="R75" s="602"/>
      <c r="S75" s="602"/>
      <c r="T75" s="602"/>
      <c r="U75" s="602"/>
      <c r="V75" s="602"/>
      <c r="W75" s="602"/>
      <c r="X75" s="602"/>
      <c r="Y75" s="602"/>
      <c r="Z75" s="602"/>
      <c r="AA75" s="602"/>
      <c r="AB75" s="602"/>
      <c r="AC75" s="602"/>
      <c r="AD75" s="602"/>
      <c r="AE75" s="78">
        <f t="shared" si="2"/>
        <v>0</v>
      </c>
    </row>
    <row r="76" spans="1:31" ht="18" hidden="1" customHeight="1" x14ac:dyDescent="0.2">
      <c r="A76" s="82" t="s">
        <v>212</v>
      </c>
      <c r="B76" s="48"/>
      <c r="C76" s="598"/>
      <c r="D76" s="743">
        <f t="shared" si="67"/>
        <v>0</v>
      </c>
      <c r="E76" s="599"/>
      <c r="F76" s="602"/>
      <c r="G76" s="602"/>
      <c r="H76" s="602"/>
      <c r="I76" s="602"/>
      <c r="J76" s="602"/>
      <c r="K76" s="602"/>
      <c r="L76" s="602"/>
      <c r="M76" s="602"/>
      <c r="N76" s="602"/>
      <c r="O76" s="602"/>
      <c r="P76" s="602"/>
      <c r="Q76" s="602"/>
      <c r="R76" s="602"/>
      <c r="S76" s="602"/>
      <c r="T76" s="602"/>
      <c r="U76" s="602"/>
      <c r="V76" s="602"/>
      <c r="W76" s="602"/>
      <c r="X76" s="602"/>
      <c r="Y76" s="602"/>
      <c r="Z76" s="602"/>
      <c r="AA76" s="602"/>
      <c r="AB76" s="602"/>
      <c r="AC76" s="602"/>
      <c r="AD76" s="602"/>
      <c r="AE76" s="78">
        <f t="shared" si="2"/>
        <v>0</v>
      </c>
    </row>
    <row r="77" spans="1:31" ht="18" hidden="1" customHeight="1" x14ac:dyDescent="0.2">
      <c r="A77" s="82" t="s">
        <v>213</v>
      </c>
      <c r="B77" s="48"/>
      <c r="C77" s="598"/>
      <c r="D77" s="743">
        <f t="shared" si="67"/>
        <v>0</v>
      </c>
      <c r="E77" s="599"/>
      <c r="F77" s="602"/>
      <c r="G77" s="602"/>
      <c r="H77" s="602"/>
      <c r="I77" s="602"/>
      <c r="J77" s="602"/>
      <c r="K77" s="602"/>
      <c r="L77" s="602"/>
      <c r="M77" s="602"/>
      <c r="N77" s="602"/>
      <c r="O77" s="602"/>
      <c r="P77" s="602"/>
      <c r="Q77" s="602"/>
      <c r="R77" s="602"/>
      <c r="S77" s="602"/>
      <c r="T77" s="602"/>
      <c r="U77" s="602"/>
      <c r="V77" s="602"/>
      <c r="W77" s="602"/>
      <c r="X77" s="602"/>
      <c r="Y77" s="602"/>
      <c r="Z77" s="602"/>
      <c r="AA77" s="602"/>
      <c r="AB77" s="602"/>
      <c r="AC77" s="602"/>
      <c r="AD77" s="602"/>
      <c r="AE77" s="78">
        <f t="shared" si="2"/>
        <v>0</v>
      </c>
    </row>
    <row r="78" spans="1:31" ht="18" hidden="1" customHeight="1" x14ac:dyDescent="0.2">
      <c r="A78" s="82" t="s">
        <v>214</v>
      </c>
      <c r="B78" s="48"/>
      <c r="C78" s="598"/>
      <c r="D78" s="743">
        <f>C78*$C$73*$C$54</f>
        <v>0</v>
      </c>
      <c r="E78" s="599"/>
      <c r="F78" s="602"/>
      <c r="G78" s="602"/>
      <c r="H78" s="602"/>
      <c r="I78" s="602"/>
      <c r="J78" s="602"/>
      <c r="K78" s="602"/>
      <c r="L78" s="602"/>
      <c r="M78" s="602"/>
      <c r="N78" s="602"/>
      <c r="O78" s="602"/>
      <c r="P78" s="602"/>
      <c r="Q78" s="602"/>
      <c r="R78" s="602"/>
      <c r="S78" s="602"/>
      <c r="T78" s="602"/>
      <c r="U78" s="602"/>
      <c r="V78" s="602"/>
      <c r="W78" s="602"/>
      <c r="X78" s="602"/>
      <c r="Y78" s="602"/>
      <c r="Z78" s="602"/>
      <c r="AA78" s="602"/>
      <c r="AB78" s="602"/>
      <c r="AC78" s="602"/>
      <c r="AD78" s="602"/>
      <c r="AE78" s="78">
        <f t="shared" si="2"/>
        <v>0</v>
      </c>
    </row>
    <row r="79" spans="1:31" ht="18" hidden="1" customHeight="1" x14ac:dyDescent="0.2">
      <c r="A79" s="81" t="s">
        <v>215</v>
      </c>
      <c r="B79" s="32"/>
      <c r="C79" s="33"/>
      <c r="D79" s="745"/>
      <c r="E79" s="34"/>
      <c r="F79" s="52"/>
      <c r="G79" s="52">
        <f>SUM(G80:G84)</f>
        <v>0</v>
      </c>
      <c r="H79" s="52">
        <f>SUM(H80:H84)</f>
        <v>0</v>
      </c>
      <c r="I79" s="52">
        <f t="shared" ref="I79" si="68">SUM(I80:I84)</f>
        <v>0</v>
      </c>
      <c r="J79" s="52">
        <f>SUM(J80:J84)</f>
        <v>0</v>
      </c>
      <c r="K79" s="52">
        <f>SUM(K80:K84)</f>
        <v>0</v>
      </c>
      <c r="L79" s="52">
        <f t="shared" ref="L79:AD79" si="69">SUM(L80:L84)</f>
        <v>0</v>
      </c>
      <c r="M79" s="52">
        <f t="shared" si="69"/>
        <v>0</v>
      </c>
      <c r="N79" s="52">
        <f t="shared" si="69"/>
        <v>0</v>
      </c>
      <c r="O79" s="52">
        <f t="shared" si="69"/>
        <v>0</v>
      </c>
      <c r="P79" s="52">
        <f t="shared" si="69"/>
        <v>0</v>
      </c>
      <c r="Q79" s="52">
        <f t="shared" si="69"/>
        <v>0</v>
      </c>
      <c r="R79" s="52">
        <f t="shared" si="69"/>
        <v>0</v>
      </c>
      <c r="S79" s="52">
        <f t="shared" si="69"/>
        <v>0</v>
      </c>
      <c r="T79" s="52">
        <f t="shared" si="69"/>
        <v>0</v>
      </c>
      <c r="U79" s="52">
        <f t="shared" si="69"/>
        <v>0</v>
      </c>
      <c r="V79" s="52">
        <f t="shared" si="69"/>
        <v>0</v>
      </c>
      <c r="W79" s="52">
        <f t="shared" si="69"/>
        <v>0</v>
      </c>
      <c r="X79" s="52">
        <f t="shared" si="69"/>
        <v>0</v>
      </c>
      <c r="Y79" s="52">
        <f t="shared" si="69"/>
        <v>0</v>
      </c>
      <c r="Z79" s="52">
        <f t="shared" si="69"/>
        <v>0</v>
      </c>
      <c r="AA79" s="52">
        <f t="shared" si="69"/>
        <v>0</v>
      </c>
      <c r="AB79" s="52">
        <f t="shared" si="69"/>
        <v>0</v>
      </c>
      <c r="AC79" s="52">
        <f t="shared" si="69"/>
        <v>0</v>
      </c>
      <c r="AD79" s="52">
        <f t="shared" si="69"/>
        <v>0</v>
      </c>
      <c r="AE79" s="78">
        <f t="shared" si="2"/>
        <v>0</v>
      </c>
    </row>
    <row r="80" spans="1:31" ht="18" hidden="1" customHeight="1" x14ac:dyDescent="0.2">
      <c r="A80" s="82" t="s">
        <v>216</v>
      </c>
      <c r="B80" s="48"/>
      <c r="C80" s="598"/>
      <c r="D80" s="743">
        <f>C80*$C$79*$C$54</f>
        <v>0</v>
      </c>
      <c r="E80" s="599"/>
      <c r="F80" s="602"/>
      <c r="G80" s="602"/>
      <c r="H80" s="602"/>
      <c r="I80" s="602"/>
      <c r="J80" s="602"/>
      <c r="K80" s="602"/>
      <c r="L80" s="602"/>
      <c r="M80" s="602"/>
      <c r="N80" s="602"/>
      <c r="O80" s="602"/>
      <c r="P80" s="602"/>
      <c r="Q80" s="602"/>
      <c r="R80" s="602"/>
      <c r="S80" s="602"/>
      <c r="T80" s="602"/>
      <c r="U80" s="602"/>
      <c r="V80" s="602"/>
      <c r="W80" s="602"/>
      <c r="X80" s="602"/>
      <c r="Y80" s="602"/>
      <c r="Z80" s="602"/>
      <c r="AA80" s="602"/>
      <c r="AB80" s="602"/>
      <c r="AC80" s="602"/>
      <c r="AD80" s="602"/>
      <c r="AE80" s="78">
        <f t="shared" si="2"/>
        <v>0</v>
      </c>
    </row>
    <row r="81" spans="1:31" ht="18" hidden="1" customHeight="1" x14ac:dyDescent="0.2">
      <c r="A81" s="82" t="s">
        <v>217</v>
      </c>
      <c r="B81" s="48"/>
      <c r="C81" s="598"/>
      <c r="D81" s="743">
        <f t="shared" ref="D81:D82" si="70">C81*$C$79*$C$54</f>
        <v>0</v>
      </c>
      <c r="E81" s="599"/>
      <c r="F81" s="602"/>
      <c r="G81" s="602"/>
      <c r="H81" s="602"/>
      <c r="I81" s="602"/>
      <c r="J81" s="602"/>
      <c r="K81" s="602"/>
      <c r="L81" s="602"/>
      <c r="M81" s="602"/>
      <c r="N81" s="602"/>
      <c r="O81" s="602"/>
      <c r="P81" s="602"/>
      <c r="Q81" s="602"/>
      <c r="R81" s="602"/>
      <c r="S81" s="602"/>
      <c r="T81" s="602"/>
      <c r="U81" s="602"/>
      <c r="V81" s="602"/>
      <c r="W81" s="602"/>
      <c r="X81" s="602"/>
      <c r="Y81" s="602"/>
      <c r="Z81" s="602"/>
      <c r="AA81" s="602"/>
      <c r="AB81" s="602"/>
      <c r="AC81" s="602"/>
      <c r="AD81" s="602"/>
      <c r="AE81" s="78">
        <f t="shared" si="2"/>
        <v>0</v>
      </c>
    </row>
    <row r="82" spans="1:31" ht="18" hidden="1" customHeight="1" x14ac:dyDescent="0.2">
      <c r="A82" s="82" t="s">
        <v>218</v>
      </c>
      <c r="B82" s="48"/>
      <c r="C82" s="598"/>
      <c r="D82" s="743">
        <f t="shared" si="70"/>
        <v>0</v>
      </c>
      <c r="E82" s="599"/>
      <c r="F82" s="602"/>
      <c r="G82" s="602"/>
      <c r="H82" s="602"/>
      <c r="I82" s="602"/>
      <c r="J82" s="602"/>
      <c r="K82" s="602"/>
      <c r="L82" s="602"/>
      <c r="M82" s="602"/>
      <c r="N82" s="602"/>
      <c r="O82" s="602"/>
      <c r="P82" s="602"/>
      <c r="Q82" s="602"/>
      <c r="R82" s="602"/>
      <c r="S82" s="602"/>
      <c r="T82" s="602"/>
      <c r="U82" s="602"/>
      <c r="V82" s="602"/>
      <c r="W82" s="602"/>
      <c r="X82" s="602"/>
      <c r="Y82" s="602"/>
      <c r="Z82" s="602"/>
      <c r="AA82" s="602"/>
      <c r="AB82" s="602"/>
      <c r="AC82" s="602"/>
      <c r="AD82" s="602"/>
      <c r="AE82" s="78">
        <f t="shared" si="2"/>
        <v>0</v>
      </c>
    </row>
    <row r="83" spans="1:31" ht="18" hidden="1" customHeight="1" x14ac:dyDescent="0.2">
      <c r="A83" s="82" t="s">
        <v>219</v>
      </c>
      <c r="B83" s="48"/>
      <c r="C83" s="598"/>
      <c r="D83" s="743">
        <f>C83*$C$79*$C$54</f>
        <v>0</v>
      </c>
      <c r="E83" s="599"/>
      <c r="F83" s="602"/>
      <c r="G83" s="602"/>
      <c r="H83" s="602"/>
      <c r="I83" s="602"/>
      <c r="J83" s="602"/>
      <c r="K83" s="602"/>
      <c r="L83" s="602"/>
      <c r="M83" s="602"/>
      <c r="N83" s="602"/>
      <c r="O83" s="602"/>
      <c r="P83" s="602"/>
      <c r="Q83" s="602"/>
      <c r="R83" s="602"/>
      <c r="S83" s="602"/>
      <c r="T83" s="602"/>
      <c r="U83" s="602"/>
      <c r="V83" s="602"/>
      <c r="W83" s="602"/>
      <c r="X83" s="602"/>
      <c r="Y83" s="602"/>
      <c r="Z83" s="602"/>
      <c r="AA83" s="602"/>
      <c r="AB83" s="602"/>
      <c r="AC83" s="602"/>
      <c r="AD83" s="602"/>
      <c r="AE83" s="78">
        <f t="shared" si="2"/>
        <v>0</v>
      </c>
    </row>
    <row r="84" spans="1:31" ht="18" hidden="1" customHeight="1" x14ac:dyDescent="0.2">
      <c r="A84" s="82" t="s">
        <v>220</v>
      </c>
      <c r="B84" s="48"/>
      <c r="C84" s="598"/>
      <c r="D84" s="743">
        <f>C84*$C$79*$C$54</f>
        <v>0</v>
      </c>
      <c r="E84" s="599"/>
      <c r="F84" s="602"/>
      <c r="G84" s="602"/>
      <c r="H84" s="602"/>
      <c r="I84" s="602"/>
      <c r="J84" s="602"/>
      <c r="K84" s="602"/>
      <c r="L84" s="602"/>
      <c r="M84" s="602"/>
      <c r="N84" s="602"/>
      <c r="O84" s="602"/>
      <c r="P84" s="602"/>
      <c r="Q84" s="602"/>
      <c r="R84" s="602"/>
      <c r="S84" s="602"/>
      <c r="T84" s="602"/>
      <c r="U84" s="602"/>
      <c r="V84" s="602"/>
      <c r="W84" s="602"/>
      <c r="X84" s="602"/>
      <c r="Y84" s="602"/>
      <c r="Z84" s="602"/>
      <c r="AA84" s="602"/>
      <c r="AB84" s="602"/>
      <c r="AC84" s="602"/>
      <c r="AD84" s="602"/>
      <c r="AE84" s="78">
        <f t="shared" si="2"/>
        <v>0</v>
      </c>
    </row>
    <row r="85" spans="1:31" ht="18" hidden="1" customHeight="1" x14ac:dyDescent="0.2">
      <c r="A85" s="741" t="s">
        <v>153</v>
      </c>
      <c r="B85" s="35"/>
      <c r="C85" s="36"/>
      <c r="D85" s="744"/>
      <c r="E85" s="37"/>
      <c r="F85" s="51"/>
      <c r="G85" s="51">
        <f>G86+G92+G98+G104+G110</f>
        <v>0</v>
      </c>
      <c r="H85" s="51">
        <f t="shared" ref="H85:AD85" si="71">H86+H92+H98+H104+H110</f>
        <v>0</v>
      </c>
      <c r="I85" s="51">
        <f t="shared" si="71"/>
        <v>0</v>
      </c>
      <c r="J85" s="51">
        <f t="shared" si="71"/>
        <v>0</v>
      </c>
      <c r="K85" s="51">
        <f t="shared" si="71"/>
        <v>0</v>
      </c>
      <c r="L85" s="51">
        <f t="shared" si="71"/>
        <v>0</v>
      </c>
      <c r="M85" s="51">
        <f t="shared" si="71"/>
        <v>0</v>
      </c>
      <c r="N85" s="51">
        <f t="shared" si="71"/>
        <v>0</v>
      </c>
      <c r="O85" s="51">
        <f t="shared" si="71"/>
        <v>0</v>
      </c>
      <c r="P85" s="51">
        <f t="shared" si="71"/>
        <v>0</v>
      </c>
      <c r="Q85" s="51">
        <f t="shared" si="71"/>
        <v>0</v>
      </c>
      <c r="R85" s="51">
        <f t="shared" si="71"/>
        <v>0</v>
      </c>
      <c r="S85" s="51">
        <f t="shared" si="71"/>
        <v>0</v>
      </c>
      <c r="T85" s="51">
        <f t="shared" si="71"/>
        <v>0</v>
      </c>
      <c r="U85" s="51">
        <f t="shared" si="71"/>
        <v>0</v>
      </c>
      <c r="V85" s="51">
        <f t="shared" si="71"/>
        <v>0</v>
      </c>
      <c r="W85" s="51">
        <f t="shared" si="71"/>
        <v>0</v>
      </c>
      <c r="X85" s="51">
        <f t="shared" si="71"/>
        <v>0</v>
      </c>
      <c r="Y85" s="51">
        <f t="shared" si="71"/>
        <v>0</v>
      </c>
      <c r="Z85" s="51">
        <f t="shared" si="71"/>
        <v>0</v>
      </c>
      <c r="AA85" s="51">
        <f t="shared" si="71"/>
        <v>0</v>
      </c>
      <c r="AB85" s="51">
        <f t="shared" si="71"/>
        <v>0</v>
      </c>
      <c r="AC85" s="51">
        <f t="shared" si="71"/>
        <v>0</v>
      </c>
      <c r="AD85" s="51">
        <f t="shared" si="71"/>
        <v>0</v>
      </c>
      <c r="AE85" s="78">
        <f t="shared" si="2"/>
        <v>0</v>
      </c>
    </row>
    <row r="86" spans="1:31" ht="18" hidden="1" customHeight="1" x14ac:dyDescent="0.2">
      <c r="A86" s="81" t="s">
        <v>221</v>
      </c>
      <c r="B86" s="32"/>
      <c r="C86" s="33"/>
      <c r="D86" s="745"/>
      <c r="E86" s="34"/>
      <c r="F86" s="52"/>
      <c r="G86" s="52">
        <f>SUM(G87:G91)</f>
        <v>0</v>
      </c>
      <c r="H86" s="52">
        <f t="shared" ref="H86" si="72">SUM(H87:H91)</f>
        <v>0</v>
      </c>
      <c r="I86" s="52">
        <f t="shared" ref="I86" si="73">SUM(I87:I91)</f>
        <v>0</v>
      </c>
      <c r="J86" s="52">
        <f>SUM(J87:J91)</f>
        <v>0</v>
      </c>
      <c r="K86" s="52">
        <f t="shared" ref="K86" si="74">SUM(K87:K91)</f>
        <v>0</v>
      </c>
      <c r="L86" s="52">
        <f t="shared" ref="L86" si="75">SUM(L87:L91)</f>
        <v>0</v>
      </c>
      <c r="M86" s="52">
        <f t="shared" ref="M86" si="76">SUM(M87:M91)</f>
        <v>0</v>
      </c>
      <c r="N86" s="52">
        <f t="shared" ref="N86" si="77">SUM(N87:N91)</f>
        <v>0</v>
      </c>
      <c r="O86" s="52">
        <f t="shared" ref="O86" si="78">SUM(O87:O91)</f>
        <v>0</v>
      </c>
      <c r="P86" s="52">
        <f t="shared" ref="P86" si="79">SUM(P87:P91)</f>
        <v>0</v>
      </c>
      <c r="Q86" s="52">
        <f t="shared" ref="Q86:AD86" si="80">SUM(Q87:Q91)</f>
        <v>0</v>
      </c>
      <c r="R86" s="52">
        <f t="shared" si="80"/>
        <v>0</v>
      </c>
      <c r="S86" s="52">
        <f t="shared" si="80"/>
        <v>0</v>
      </c>
      <c r="T86" s="52">
        <f t="shared" si="80"/>
        <v>0</v>
      </c>
      <c r="U86" s="52">
        <f t="shared" si="80"/>
        <v>0</v>
      </c>
      <c r="V86" s="52">
        <f t="shared" si="80"/>
        <v>0</v>
      </c>
      <c r="W86" s="52">
        <f t="shared" si="80"/>
        <v>0</v>
      </c>
      <c r="X86" s="52">
        <f t="shared" si="80"/>
        <v>0</v>
      </c>
      <c r="Y86" s="52">
        <f t="shared" si="80"/>
        <v>0</v>
      </c>
      <c r="Z86" s="52">
        <f t="shared" si="80"/>
        <v>0</v>
      </c>
      <c r="AA86" s="52">
        <f t="shared" si="80"/>
        <v>0</v>
      </c>
      <c r="AB86" s="52">
        <f t="shared" si="80"/>
        <v>0</v>
      </c>
      <c r="AC86" s="52">
        <f t="shared" si="80"/>
        <v>0</v>
      </c>
      <c r="AD86" s="52">
        <f t="shared" si="80"/>
        <v>0</v>
      </c>
      <c r="AE86" s="78">
        <f t="shared" si="2"/>
        <v>0</v>
      </c>
    </row>
    <row r="87" spans="1:31" ht="18" hidden="1" customHeight="1" x14ac:dyDescent="0.2">
      <c r="A87" s="82" t="s">
        <v>222</v>
      </c>
      <c r="B87" s="48"/>
      <c r="C87" s="598"/>
      <c r="D87" s="743">
        <f>C87*$C$86*$C$85</f>
        <v>0</v>
      </c>
      <c r="E87" s="599"/>
      <c r="F87" s="602"/>
      <c r="G87" s="602"/>
      <c r="H87" s="602"/>
      <c r="I87" s="602"/>
      <c r="J87" s="602"/>
      <c r="K87" s="602"/>
      <c r="L87" s="602"/>
      <c r="M87" s="602"/>
      <c r="N87" s="602"/>
      <c r="O87" s="602"/>
      <c r="P87" s="602"/>
      <c r="Q87" s="602"/>
      <c r="R87" s="602"/>
      <c r="S87" s="602"/>
      <c r="T87" s="602"/>
      <c r="U87" s="602"/>
      <c r="V87" s="602"/>
      <c r="W87" s="602"/>
      <c r="X87" s="602"/>
      <c r="Y87" s="602"/>
      <c r="Z87" s="602"/>
      <c r="AA87" s="602"/>
      <c r="AB87" s="602"/>
      <c r="AC87" s="602"/>
      <c r="AD87" s="602"/>
      <c r="AE87" s="78">
        <f t="shared" ref="AE87:AE150" si="81">F87-SUM(G87:AD87)</f>
        <v>0</v>
      </c>
    </row>
    <row r="88" spans="1:31" ht="18" hidden="1" customHeight="1" x14ac:dyDescent="0.2">
      <c r="A88" s="82" t="s">
        <v>223</v>
      </c>
      <c r="B88" s="48"/>
      <c r="C88" s="598"/>
      <c r="D88" s="743">
        <f>C88*$C$86*$C$85</f>
        <v>0</v>
      </c>
      <c r="E88" s="599"/>
      <c r="F88" s="602"/>
      <c r="G88" s="602"/>
      <c r="H88" s="602"/>
      <c r="I88" s="602"/>
      <c r="J88" s="602"/>
      <c r="K88" s="602"/>
      <c r="L88" s="602"/>
      <c r="M88" s="602"/>
      <c r="N88" s="602"/>
      <c r="O88" s="602"/>
      <c r="P88" s="602"/>
      <c r="Q88" s="602"/>
      <c r="R88" s="602"/>
      <c r="S88" s="602"/>
      <c r="T88" s="602"/>
      <c r="U88" s="602"/>
      <c r="V88" s="602"/>
      <c r="W88" s="602"/>
      <c r="X88" s="602"/>
      <c r="Y88" s="602"/>
      <c r="Z88" s="602"/>
      <c r="AA88" s="602"/>
      <c r="AB88" s="602"/>
      <c r="AC88" s="602"/>
      <c r="AD88" s="602"/>
      <c r="AE88" s="78">
        <f t="shared" si="81"/>
        <v>0</v>
      </c>
    </row>
    <row r="89" spans="1:31" ht="18" hidden="1" customHeight="1" x14ac:dyDescent="0.2">
      <c r="A89" s="82" t="s">
        <v>224</v>
      </c>
      <c r="B89" s="48"/>
      <c r="C89" s="598"/>
      <c r="D89" s="743">
        <f>C89*$C$86*$C$85</f>
        <v>0</v>
      </c>
      <c r="E89" s="599"/>
      <c r="F89" s="602"/>
      <c r="G89" s="602"/>
      <c r="H89" s="602"/>
      <c r="I89" s="602"/>
      <c r="J89" s="602"/>
      <c r="K89" s="602"/>
      <c r="L89" s="602"/>
      <c r="M89" s="602"/>
      <c r="N89" s="602"/>
      <c r="O89" s="602"/>
      <c r="P89" s="602"/>
      <c r="Q89" s="602"/>
      <c r="R89" s="602"/>
      <c r="S89" s="602"/>
      <c r="T89" s="602"/>
      <c r="U89" s="602"/>
      <c r="V89" s="602"/>
      <c r="W89" s="602"/>
      <c r="X89" s="602"/>
      <c r="Y89" s="602"/>
      <c r="Z89" s="602"/>
      <c r="AA89" s="602"/>
      <c r="AB89" s="602"/>
      <c r="AC89" s="602"/>
      <c r="AD89" s="602"/>
      <c r="AE89" s="78">
        <f t="shared" si="81"/>
        <v>0</v>
      </c>
    </row>
    <row r="90" spans="1:31" ht="18" hidden="1" customHeight="1" x14ac:dyDescent="0.2">
      <c r="A90" s="82" t="s">
        <v>225</v>
      </c>
      <c r="B90" s="48"/>
      <c r="C90" s="598"/>
      <c r="D90" s="743">
        <f>C90*$C$86*$C$85</f>
        <v>0</v>
      </c>
      <c r="E90" s="599"/>
      <c r="F90" s="602"/>
      <c r="G90" s="602"/>
      <c r="H90" s="602"/>
      <c r="I90" s="602"/>
      <c r="J90" s="602"/>
      <c r="K90" s="602"/>
      <c r="L90" s="602"/>
      <c r="M90" s="602"/>
      <c r="N90" s="602"/>
      <c r="O90" s="602"/>
      <c r="P90" s="602"/>
      <c r="Q90" s="602"/>
      <c r="R90" s="602"/>
      <c r="S90" s="602"/>
      <c r="T90" s="602"/>
      <c r="U90" s="602"/>
      <c r="V90" s="602"/>
      <c r="W90" s="602"/>
      <c r="X90" s="602"/>
      <c r="Y90" s="602"/>
      <c r="Z90" s="602"/>
      <c r="AA90" s="602"/>
      <c r="AB90" s="602"/>
      <c r="AC90" s="602"/>
      <c r="AD90" s="602"/>
      <c r="AE90" s="78">
        <f t="shared" si="81"/>
        <v>0</v>
      </c>
    </row>
    <row r="91" spans="1:31" ht="18" hidden="1" customHeight="1" x14ac:dyDescent="0.2">
      <c r="A91" s="82" t="s">
        <v>226</v>
      </c>
      <c r="B91" s="48"/>
      <c r="C91" s="598"/>
      <c r="D91" s="743">
        <f>C91*$C$86*$C$85</f>
        <v>0</v>
      </c>
      <c r="E91" s="599"/>
      <c r="F91" s="602"/>
      <c r="G91" s="602"/>
      <c r="H91" s="602"/>
      <c r="I91" s="602"/>
      <c r="J91" s="602"/>
      <c r="K91" s="602"/>
      <c r="L91" s="602"/>
      <c r="M91" s="602"/>
      <c r="N91" s="602"/>
      <c r="O91" s="602"/>
      <c r="P91" s="602"/>
      <c r="Q91" s="602"/>
      <c r="R91" s="602"/>
      <c r="S91" s="602"/>
      <c r="T91" s="602"/>
      <c r="U91" s="602"/>
      <c r="V91" s="602"/>
      <c r="W91" s="602"/>
      <c r="X91" s="602"/>
      <c r="Y91" s="602"/>
      <c r="Z91" s="602"/>
      <c r="AA91" s="602"/>
      <c r="AB91" s="602"/>
      <c r="AC91" s="602"/>
      <c r="AD91" s="602"/>
      <c r="AE91" s="78">
        <f t="shared" si="81"/>
        <v>0</v>
      </c>
    </row>
    <row r="92" spans="1:31" ht="18" hidden="1" customHeight="1" x14ac:dyDescent="0.2">
      <c r="A92" s="81" t="s">
        <v>227</v>
      </c>
      <c r="B92" s="32"/>
      <c r="C92" s="33"/>
      <c r="D92" s="745"/>
      <c r="E92" s="34"/>
      <c r="F92" s="52"/>
      <c r="G92" s="52">
        <f>SUM(G93:G97)</f>
        <v>0</v>
      </c>
      <c r="H92" s="52">
        <f t="shared" ref="H92" si="82">SUM(H93:H97)</f>
        <v>0</v>
      </c>
      <c r="I92" s="52">
        <f>SUM(I93:I97)</f>
        <v>0</v>
      </c>
      <c r="J92" s="52">
        <f t="shared" ref="J92" si="83">SUM(J93:J97)</f>
        <v>0</v>
      </c>
      <c r="K92" s="52">
        <f t="shared" ref="K92" si="84">SUM(K93:K97)</f>
        <v>0</v>
      </c>
      <c r="L92" s="52">
        <f t="shared" ref="L92" si="85">SUM(L93:L97)</f>
        <v>0</v>
      </c>
      <c r="M92" s="52">
        <f t="shared" ref="M92" si="86">SUM(M93:M97)</f>
        <v>0</v>
      </c>
      <c r="N92" s="52">
        <f t="shared" ref="N92" si="87">SUM(N93:N97)</f>
        <v>0</v>
      </c>
      <c r="O92" s="52">
        <f t="shared" ref="O92" si="88">SUM(O93:O97)</f>
        <v>0</v>
      </c>
      <c r="P92" s="52">
        <f t="shared" ref="P92" si="89">SUM(P93:P97)</f>
        <v>0</v>
      </c>
      <c r="Q92" s="52">
        <f t="shared" ref="Q92:AD92" si="90">SUM(Q93:Q97)</f>
        <v>0</v>
      </c>
      <c r="R92" s="52">
        <f t="shared" si="90"/>
        <v>0</v>
      </c>
      <c r="S92" s="52">
        <f t="shared" si="90"/>
        <v>0</v>
      </c>
      <c r="T92" s="52">
        <f t="shared" si="90"/>
        <v>0</v>
      </c>
      <c r="U92" s="52">
        <f t="shared" si="90"/>
        <v>0</v>
      </c>
      <c r="V92" s="52">
        <f t="shared" si="90"/>
        <v>0</v>
      </c>
      <c r="W92" s="52">
        <f t="shared" si="90"/>
        <v>0</v>
      </c>
      <c r="X92" s="52">
        <f t="shared" si="90"/>
        <v>0</v>
      </c>
      <c r="Y92" s="52">
        <f t="shared" si="90"/>
        <v>0</v>
      </c>
      <c r="Z92" s="52">
        <f t="shared" si="90"/>
        <v>0</v>
      </c>
      <c r="AA92" s="52">
        <f t="shared" si="90"/>
        <v>0</v>
      </c>
      <c r="AB92" s="52">
        <f t="shared" si="90"/>
        <v>0</v>
      </c>
      <c r="AC92" s="52">
        <f t="shared" si="90"/>
        <v>0</v>
      </c>
      <c r="AD92" s="52">
        <f t="shared" si="90"/>
        <v>0</v>
      </c>
      <c r="AE92" s="78">
        <f t="shared" si="81"/>
        <v>0</v>
      </c>
    </row>
    <row r="93" spans="1:31" ht="18" hidden="1" customHeight="1" x14ac:dyDescent="0.2">
      <c r="A93" s="82" t="s">
        <v>228</v>
      </c>
      <c r="B93" s="48"/>
      <c r="C93" s="598"/>
      <c r="D93" s="743">
        <f>C93*$C$92*$C$85</f>
        <v>0</v>
      </c>
      <c r="E93" s="599"/>
      <c r="F93" s="602"/>
      <c r="G93" s="602"/>
      <c r="H93" s="602"/>
      <c r="I93" s="602"/>
      <c r="J93" s="602"/>
      <c r="K93" s="602"/>
      <c r="L93" s="602"/>
      <c r="M93" s="602"/>
      <c r="N93" s="602"/>
      <c r="O93" s="602"/>
      <c r="P93" s="602"/>
      <c r="Q93" s="602"/>
      <c r="R93" s="602"/>
      <c r="S93" s="602"/>
      <c r="T93" s="602"/>
      <c r="U93" s="602"/>
      <c r="V93" s="602"/>
      <c r="W93" s="602"/>
      <c r="X93" s="602"/>
      <c r="Y93" s="602"/>
      <c r="Z93" s="602"/>
      <c r="AA93" s="602"/>
      <c r="AB93" s="602"/>
      <c r="AC93" s="602"/>
      <c r="AD93" s="602"/>
      <c r="AE93" s="78">
        <f t="shared" si="81"/>
        <v>0</v>
      </c>
    </row>
    <row r="94" spans="1:31" ht="18" hidden="1" customHeight="1" x14ac:dyDescent="0.2">
      <c r="A94" s="82" t="s">
        <v>229</v>
      </c>
      <c r="B94" s="48"/>
      <c r="C94" s="598"/>
      <c r="D94" s="743">
        <f t="shared" ref="D94" si="91">C94*$C$92*$C$85</f>
        <v>0</v>
      </c>
      <c r="E94" s="599"/>
      <c r="F94" s="602"/>
      <c r="G94" s="602"/>
      <c r="H94" s="602"/>
      <c r="I94" s="602"/>
      <c r="J94" s="602"/>
      <c r="K94" s="602"/>
      <c r="L94" s="602"/>
      <c r="M94" s="602"/>
      <c r="N94" s="602"/>
      <c r="O94" s="602"/>
      <c r="P94" s="602"/>
      <c r="Q94" s="602"/>
      <c r="R94" s="602"/>
      <c r="S94" s="602"/>
      <c r="T94" s="602"/>
      <c r="U94" s="602"/>
      <c r="V94" s="602"/>
      <c r="W94" s="602"/>
      <c r="X94" s="602"/>
      <c r="Y94" s="602"/>
      <c r="Z94" s="602"/>
      <c r="AA94" s="602"/>
      <c r="AB94" s="602"/>
      <c r="AC94" s="602"/>
      <c r="AD94" s="602"/>
      <c r="AE94" s="78">
        <f t="shared" si="81"/>
        <v>0</v>
      </c>
    </row>
    <row r="95" spans="1:31" ht="18" hidden="1" customHeight="1" x14ac:dyDescent="0.2">
      <c r="A95" s="82" t="s">
        <v>230</v>
      </c>
      <c r="B95" s="48"/>
      <c r="C95" s="598"/>
      <c r="D95" s="743">
        <f>C95*$C$92*$C$85</f>
        <v>0</v>
      </c>
      <c r="E95" s="599"/>
      <c r="F95" s="602"/>
      <c r="G95" s="602"/>
      <c r="H95" s="602"/>
      <c r="I95" s="602"/>
      <c r="J95" s="602"/>
      <c r="K95" s="602"/>
      <c r="L95" s="602"/>
      <c r="M95" s="602"/>
      <c r="N95" s="602"/>
      <c r="O95" s="602"/>
      <c r="P95" s="602"/>
      <c r="Q95" s="602"/>
      <c r="R95" s="602"/>
      <c r="S95" s="602"/>
      <c r="T95" s="602"/>
      <c r="U95" s="602"/>
      <c r="V95" s="602"/>
      <c r="W95" s="602"/>
      <c r="X95" s="602"/>
      <c r="Y95" s="602"/>
      <c r="Z95" s="602"/>
      <c r="AA95" s="602"/>
      <c r="AB95" s="602"/>
      <c r="AC95" s="602"/>
      <c r="AD95" s="602"/>
      <c r="AE95" s="78">
        <f t="shared" si="81"/>
        <v>0</v>
      </c>
    </row>
    <row r="96" spans="1:31" ht="18" hidden="1" customHeight="1" x14ac:dyDescent="0.2">
      <c r="A96" s="82" t="s">
        <v>231</v>
      </c>
      <c r="B96" s="48"/>
      <c r="C96" s="598"/>
      <c r="D96" s="743">
        <f>C96*$C$92*$C$85</f>
        <v>0</v>
      </c>
      <c r="E96" s="599"/>
      <c r="F96" s="602"/>
      <c r="G96" s="602"/>
      <c r="H96" s="602"/>
      <c r="I96" s="602"/>
      <c r="J96" s="602"/>
      <c r="K96" s="602"/>
      <c r="L96" s="602"/>
      <c r="M96" s="602"/>
      <c r="N96" s="602"/>
      <c r="O96" s="602"/>
      <c r="P96" s="602"/>
      <c r="Q96" s="602"/>
      <c r="R96" s="602"/>
      <c r="S96" s="602"/>
      <c r="T96" s="602"/>
      <c r="U96" s="602"/>
      <c r="V96" s="602"/>
      <c r="W96" s="602"/>
      <c r="X96" s="602"/>
      <c r="Y96" s="602"/>
      <c r="Z96" s="602"/>
      <c r="AA96" s="602"/>
      <c r="AB96" s="602"/>
      <c r="AC96" s="602"/>
      <c r="AD96" s="602"/>
      <c r="AE96" s="78">
        <f t="shared" si="81"/>
        <v>0</v>
      </c>
    </row>
    <row r="97" spans="1:31" ht="18" hidden="1" customHeight="1" x14ac:dyDescent="0.2">
      <c r="A97" s="82" t="s">
        <v>232</v>
      </c>
      <c r="B97" s="48"/>
      <c r="C97" s="598"/>
      <c r="D97" s="743">
        <f>C97*$C$92*$C$85</f>
        <v>0</v>
      </c>
      <c r="E97" s="599"/>
      <c r="F97" s="602"/>
      <c r="G97" s="602"/>
      <c r="H97" s="602"/>
      <c r="I97" s="602"/>
      <c r="J97" s="602"/>
      <c r="K97" s="602"/>
      <c r="L97" s="602"/>
      <c r="M97" s="602"/>
      <c r="N97" s="602"/>
      <c r="O97" s="602"/>
      <c r="P97" s="602"/>
      <c r="Q97" s="602"/>
      <c r="R97" s="602"/>
      <c r="S97" s="602"/>
      <c r="T97" s="602"/>
      <c r="U97" s="602"/>
      <c r="V97" s="602"/>
      <c r="W97" s="602"/>
      <c r="X97" s="602"/>
      <c r="Y97" s="602"/>
      <c r="Z97" s="602"/>
      <c r="AA97" s="602"/>
      <c r="AB97" s="602"/>
      <c r="AC97" s="602"/>
      <c r="AD97" s="602"/>
      <c r="AE97" s="78">
        <f t="shared" si="81"/>
        <v>0</v>
      </c>
    </row>
    <row r="98" spans="1:31" ht="18" hidden="1" customHeight="1" x14ac:dyDescent="0.2">
      <c r="A98" s="81" t="s">
        <v>233</v>
      </c>
      <c r="B98" s="32"/>
      <c r="C98" s="33"/>
      <c r="D98" s="745"/>
      <c r="E98" s="34"/>
      <c r="F98" s="52"/>
      <c r="G98" s="52">
        <f>SUM(G99:G103)</f>
        <v>0</v>
      </c>
      <c r="H98" s="52">
        <f>SUM(H99:H103)</f>
        <v>0</v>
      </c>
      <c r="I98" s="52">
        <f>SUM(I99:I103)</f>
        <v>0</v>
      </c>
      <c r="J98" s="52">
        <f>SUM(J99:J103)</f>
        <v>0</v>
      </c>
      <c r="K98" s="52">
        <f t="shared" ref="K98" si="92">SUM(K99:K103)</f>
        <v>0</v>
      </c>
      <c r="L98" s="52">
        <f t="shared" ref="L98" si="93">SUM(L99:L103)</f>
        <v>0</v>
      </c>
      <c r="M98" s="52">
        <f t="shared" ref="M98" si="94">SUM(M99:M103)</f>
        <v>0</v>
      </c>
      <c r="N98" s="52">
        <f t="shared" ref="N98" si="95">SUM(N99:N103)</f>
        <v>0</v>
      </c>
      <c r="O98" s="52">
        <f t="shared" ref="O98" si="96">SUM(O99:O103)</f>
        <v>0</v>
      </c>
      <c r="P98" s="52">
        <f t="shared" ref="P98" si="97">SUM(P99:P103)</f>
        <v>0</v>
      </c>
      <c r="Q98" s="52">
        <f t="shared" ref="Q98:AD98" si="98">SUM(Q99:Q103)</f>
        <v>0</v>
      </c>
      <c r="R98" s="52">
        <f t="shared" si="98"/>
        <v>0</v>
      </c>
      <c r="S98" s="52">
        <f t="shared" si="98"/>
        <v>0</v>
      </c>
      <c r="T98" s="52">
        <f t="shared" si="98"/>
        <v>0</v>
      </c>
      <c r="U98" s="52">
        <f t="shared" si="98"/>
        <v>0</v>
      </c>
      <c r="V98" s="52">
        <f t="shared" si="98"/>
        <v>0</v>
      </c>
      <c r="W98" s="52">
        <f t="shared" si="98"/>
        <v>0</v>
      </c>
      <c r="X98" s="52">
        <f t="shared" si="98"/>
        <v>0</v>
      </c>
      <c r="Y98" s="52">
        <f t="shared" si="98"/>
        <v>0</v>
      </c>
      <c r="Z98" s="52">
        <f t="shared" si="98"/>
        <v>0</v>
      </c>
      <c r="AA98" s="52">
        <f t="shared" si="98"/>
        <v>0</v>
      </c>
      <c r="AB98" s="52">
        <f t="shared" si="98"/>
        <v>0</v>
      </c>
      <c r="AC98" s="52">
        <f t="shared" si="98"/>
        <v>0</v>
      </c>
      <c r="AD98" s="52">
        <f t="shared" si="98"/>
        <v>0</v>
      </c>
      <c r="AE98" s="78">
        <f t="shared" si="81"/>
        <v>0</v>
      </c>
    </row>
    <row r="99" spans="1:31" ht="18" hidden="1" customHeight="1" x14ac:dyDescent="0.2">
      <c r="A99" s="82" t="s">
        <v>234</v>
      </c>
      <c r="B99" s="48"/>
      <c r="C99" s="598"/>
      <c r="D99" s="743">
        <f>C99*$C$98*$C$85</f>
        <v>0</v>
      </c>
      <c r="E99" s="599"/>
      <c r="F99" s="602"/>
      <c r="G99" s="602"/>
      <c r="H99" s="602"/>
      <c r="I99" s="602"/>
      <c r="J99" s="602"/>
      <c r="K99" s="602"/>
      <c r="L99" s="602"/>
      <c r="M99" s="602"/>
      <c r="N99" s="602"/>
      <c r="O99" s="602"/>
      <c r="P99" s="602"/>
      <c r="Q99" s="602"/>
      <c r="R99" s="602"/>
      <c r="S99" s="602"/>
      <c r="T99" s="602"/>
      <c r="U99" s="602"/>
      <c r="V99" s="602"/>
      <c r="W99" s="602"/>
      <c r="X99" s="602"/>
      <c r="Y99" s="602"/>
      <c r="Z99" s="602"/>
      <c r="AA99" s="602"/>
      <c r="AB99" s="602"/>
      <c r="AC99" s="602"/>
      <c r="AD99" s="602"/>
      <c r="AE99" s="78">
        <f t="shared" si="81"/>
        <v>0</v>
      </c>
    </row>
    <row r="100" spans="1:31" ht="18" hidden="1" customHeight="1" x14ac:dyDescent="0.2">
      <c r="A100" s="82" t="s">
        <v>235</v>
      </c>
      <c r="B100" s="48"/>
      <c r="C100" s="598"/>
      <c r="D100" s="743">
        <f t="shared" ref="D100" si="99">C100*$C$98*$C$85</f>
        <v>0</v>
      </c>
      <c r="E100" s="599"/>
      <c r="F100" s="602"/>
      <c r="G100" s="602"/>
      <c r="H100" s="602"/>
      <c r="I100" s="602"/>
      <c r="J100" s="602"/>
      <c r="K100" s="602"/>
      <c r="L100" s="602"/>
      <c r="M100" s="602"/>
      <c r="N100" s="602"/>
      <c r="O100" s="602"/>
      <c r="P100" s="602"/>
      <c r="Q100" s="602"/>
      <c r="R100" s="602"/>
      <c r="S100" s="602"/>
      <c r="T100" s="602"/>
      <c r="U100" s="602"/>
      <c r="V100" s="602"/>
      <c r="W100" s="602"/>
      <c r="X100" s="602"/>
      <c r="Y100" s="602"/>
      <c r="Z100" s="602"/>
      <c r="AA100" s="602"/>
      <c r="AB100" s="602"/>
      <c r="AC100" s="602"/>
      <c r="AD100" s="602"/>
      <c r="AE100" s="78">
        <f t="shared" si="81"/>
        <v>0</v>
      </c>
    </row>
    <row r="101" spans="1:31" ht="18" hidden="1" customHeight="1" x14ac:dyDescent="0.2">
      <c r="A101" s="82" t="s">
        <v>236</v>
      </c>
      <c r="B101" s="48"/>
      <c r="C101" s="598"/>
      <c r="D101" s="743">
        <f>C101*$C$98*$C$85</f>
        <v>0</v>
      </c>
      <c r="E101" s="599"/>
      <c r="F101" s="602"/>
      <c r="G101" s="602"/>
      <c r="H101" s="602"/>
      <c r="I101" s="602"/>
      <c r="J101" s="602"/>
      <c r="K101" s="602"/>
      <c r="L101" s="602"/>
      <c r="M101" s="602"/>
      <c r="N101" s="602"/>
      <c r="O101" s="602"/>
      <c r="P101" s="602"/>
      <c r="Q101" s="602"/>
      <c r="R101" s="602"/>
      <c r="S101" s="602"/>
      <c r="T101" s="602"/>
      <c r="U101" s="602"/>
      <c r="V101" s="602"/>
      <c r="W101" s="602"/>
      <c r="X101" s="602"/>
      <c r="Y101" s="602"/>
      <c r="Z101" s="602"/>
      <c r="AA101" s="602"/>
      <c r="AB101" s="602"/>
      <c r="AC101" s="602"/>
      <c r="AD101" s="602"/>
      <c r="AE101" s="78">
        <f t="shared" si="81"/>
        <v>0</v>
      </c>
    </row>
    <row r="102" spans="1:31" ht="18" hidden="1" customHeight="1" x14ac:dyDescent="0.2">
      <c r="A102" s="82" t="s">
        <v>237</v>
      </c>
      <c r="B102" s="48"/>
      <c r="C102" s="598"/>
      <c r="D102" s="743">
        <f>C102*$C$98*$C$85</f>
        <v>0</v>
      </c>
      <c r="E102" s="599"/>
      <c r="F102" s="602"/>
      <c r="G102" s="602"/>
      <c r="H102" s="602"/>
      <c r="I102" s="602"/>
      <c r="J102" s="602"/>
      <c r="K102" s="602"/>
      <c r="L102" s="602"/>
      <c r="M102" s="602"/>
      <c r="N102" s="602"/>
      <c r="O102" s="602"/>
      <c r="P102" s="602"/>
      <c r="Q102" s="602"/>
      <c r="R102" s="602"/>
      <c r="S102" s="602"/>
      <c r="T102" s="602"/>
      <c r="U102" s="602"/>
      <c r="V102" s="602"/>
      <c r="W102" s="602"/>
      <c r="X102" s="602"/>
      <c r="Y102" s="602"/>
      <c r="Z102" s="602"/>
      <c r="AA102" s="602"/>
      <c r="AB102" s="602"/>
      <c r="AC102" s="602"/>
      <c r="AD102" s="602"/>
      <c r="AE102" s="78">
        <f t="shared" si="81"/>
        <v>0</v>
      </c>
    </row>
    <row r="103" spans="1:31" ht="18" hidden="1" customHeight="1" x14ac:dyDescent="0.2">
      <c r="A103" s="82" t="s">
        <v>238</v>
      </c>
      <c r="B103" s="48"/>
      <c r="C103" s="598"/>
      <c r="D103" s="743">
        <f>C103*$C$98*$C$85</f>
        <v>0</v>
      </c>
      <c r="E103" s="599"/>
      <c r="F103" s="602"/>
      <c r="G103" s="602"/>
      <c r="H103" s="602"/>
      <c r="I103" s="602"/>
      <c r="J103" s="602"/>
      <c r="K103" s="602"/>
      <c r="L103" s="602"/>
      <c r="M103" s="602"/>
      <c r="N103" s="602"/>
      <c r="O103" s="602"/>
      <c r="P103" s="602"/>
      <c r="Q103" s="602"/>
      <c r="R103" s="602"/>
      <c r="S103" s="602"/>
      <c r="T103" s="602"/>
      <c r="U103" s="602"/>
      <c r="V103" s="602"/>
      <c r="W103" s="602"/>
      <c r="X103" s="602"/>
      <c r="Y103" s="602"/>
      <c r="Z103" s="602"/>
      <c r="AA103" s="602"/>
      <c r="AB103" s="602"/>
      <c r="AC103" s="602"/>
      <c r="AD103" s="602"/>
      <c r="AE103" s="78">
        <f t="shared" si="81"/>
        <v>0</v>
      </c>
    </row>
    <row r="104" spans="1:31" ht="18" hidden="1" customHeight="1" x14ac:dyDescent="0.2">
      <c r="A104" s="81" t="s">
        <v>239</v>
      </c>
      <c r="B104" s="32"/>
      <c r="C104" s="33"/>
      <c r="D104" s="745"/>
      <c r="E104" s="34"/>
      <c r="F104" s="52"/>
      <c r="G104" s="52">
        <f>SUM(G105:G109)</f>
        <v>0</v>
      </c>
      <c r="H104" s="52">
        <f>SUM(H105:H109)</f>
        <v>0</v>
      </c>
      <c r="I104" s="52">
        <f>SUM(I105:I109)</f>
        <v>0</v>
      </c>
      <c r="J104" s="52">
        <f>SUM(J105:J109)</f>
        <v>0</v>
      </c>
      <c r="K104" s="52">
        <f t="shared" ref="K104:AD104" si="100">SUM(K105:K109)</f>
        <v>0</v>
      </c>
      <c r="L104" s="52">
        <f t="shared" si="100"/>
        <v>0</v>
      </c>
      <c r="M104" s="52">
        <f t="shared" si="100"/>
        <v>0</v>
      </c>
      <c r="N104" s="52">
        <f t="shared" si="100"/>
        <v>0</v>
      </c>
      <c r="O104" s="52">
        <f t="shared" si="100"/>
        <v>0</v>
      </c>
      <c r="P104" s="52">
        <f t="shared" si="100"/>
        <v>0</v>
      </c>
      <c r="Q104" s="52">
        <f t="shared" si="100"/>
        <v>0</v>
      </c>
      <c r="R104" s="52">
        <f t="shared" si="100"/>
        <v>0</v>
      </c>
      <c r="S104" s="52">
        <f t="shared" si="100"/>
        <v>0</v>
      </c>
      <c r="T104" s="52">
        <f t="shared" si="100"/>
        <v>0</v>
      </c>
      <c r="U104" s="52">
        <f t="shared" si="100"/>
        <v>0</v>
      </c>
      <c r="V104" s="52">
        <f t="shared" si="100"/>
        <v>0</v>
      </c>
      <c r="W104" s="52">
        <f t="shared" si="100"/>
        <v>0</v>
      </c>
      <c r="X104" s="52">
        <f t="shared" si="100"/>
        <v>0</v>
      </c>
      <c r="Y104" s="52">
        <f t="shared" si="100"/>
        <v>0</v>
      </c>
      <c r="Z104" s="52">
        <f t="shared" si="100"/>
        <v>0</v>
      </c>
      <c r="AA104" s="52">
        <f t="shared" si="100"/>
        <v>0</v>
      </c>
      <c r="AB104" s="52">
        <f t="shared" si="100"/>
        <v>0</v>
      </c>
      <c r="AC104" s="52">
        <f t="shared" si="100"/>
        <v>0</v>
      </c>
      <c r="AD104" s="52">
        <f t="shared" si="100"/>
        <v>0</v>
      </c>
      <c r="AE104" s="78">
        <f t="shared" si="81"/>
        <v>0</v>
      </c>
    </row>
    <row r="105" spans="1:31" ht="18" hidden="1" customHeight="1" x14ac:dyDescent="0.2">
      <c r="A105" s="82" t="s">
        <v>240</v>
      </c>
      <c r="B105" s="48"/>
      <c r="C105" s="598"/>
      <c r="D105" s="743">
        <f>C105*$C$104*$C$85</f>
        <v>0</v>
      </c>
      <c r="E105" s="599"/>
      <c r="F105" s="602"/>
      <c r="G105" s="602"/>
      <c r="H105" s="602"/>
      <c r="I105" s="602"/>
      <c r="J105" s="602"/>
      <c r="K105" s="602"/>
      <c r="L105" s="602"/>
      <c r="M105" s="602"/>
      <c r="N105" s="602"/>
      <c r="O105" s="602"/>
      <c r="P105" s="602"/>
      <c r="Q105" s="602"/>
      <c r="R105" s="602"/>
      <c r="S105" s="602"/>
      <c r="T105" s="602"/>
      <c r="U105" s="602"/>
      <c r="V105" s="602"/>
      <c r="W105" s="602"/>
      <c r="X105" s="602"/>
      <c r="Y105" s="602"/>
      <c r="Z105" s="602"/>
      <c r="AA105" s="602"/>
      <c r="AB105" s="602"/>
      <c r="AC105" s="602"/>
      <c r="AD105" s="602"/>
      <c r="AE105" s="78">
        <f t="shared" si="81"/>
        <v>0</v>
      </c>
    </row>
    <row r="106" spans="1:31" ht="18" hidden="1" customHeight="1" x14ac:dyDescent="0.2">
      <c r="A106" s="82" t="s">
        <v>241</v>
      </c>
      <c r="B106" s="48"/>
      <c r="C106" s="598"/>
      <c r="D106" s="743">
        <f t="shared" ref="D106:D109" si="101">C106*$C$104*$C$85</f>
        <v>0</v>
      </c>
      <c r="E106" s="599"/>
      <c r="F106" s="602"/>
      <c r="G106" s="602"/>
      <c r="H106" s="602"/>
      <c r="I106" s="602"/>
      <c r="J106" s="602"/>
      <c r="K106" s="602"/>
      <c r="L106" s="602"/>
      <c r="M106" s="602"/>
      <c r="N106" s="602"/>
      <c r="O106" s="602"/>
      <c r="P106" s="602"/>
      <c r="Q106" s="602"/>
      <c r="R106" s="602"/>
      <c r="S106" s="602"/>
      <c r="T106" s="602"/>
      <c r="U106" s="602"/>
      <c r="V106" s="602"/>
      <c r="W106" s="602"/>
      <c r="X106" s="602"/>
      <c r="Y106" s="602"/>
      <c r="Z106" s="602"/>
      <c r="AA106" s="602"/>
      <c r="AB106" s="602"/>
      <c r="AC106" s="602"/>
      <c r="AD106" s="602"/>
      <c r="AE106" s="78">
        <f t="shared" si="81"/>
        <v>0</v>
      </c>
    </row>
    <row r="107" spans="1:31" ht="18" hidden="1" customHeight="1" x14ac:dyDescent="0.2">
      <c r="A107" s="82" t="s">
        <v>242</v>
      </c>
      <c r="B107" s="48"/>
      <c r="C107" s="598"/>
      <c r="D107" s="743">
        <f>C107*$C$104*$C$85</f>
        <v>0</v>
      </c>
      <c r="E107" s="599"/>
      <c r="F107" s="602"/>
      <c r="G107" s="602"/>
      <c r="H107" s="602"/>
      <c r="I107" s="602"/>
      <c r="J107" s="602"/>
      <c r="K107" s="602"/>
      <c r="L107" s="602"/>
      <c r="M107" s="602"/>
      <c r="N107" s="602"/>
      <c r="O107" s="602"/>
      <c r="P107" s="602"/>
      <c r="Q107" s="602"/>
      <c r="R107" s="602"/>
      <c r="S107" s="602"/>
      <c r="T107" s="602"/>
      <c r="U107" s="602"/>
      <c r="V107" s="602"/>
      <c r="W107" s="602"/>
      <c r="X107" s="602"/>
      <c r="Y107" s="602"/>
      <c r="Z107" s="602"/>
      <c r="AA107" s="602"/>
      <c r="AB107" s="602"/>
      <c r="AC107" s="602"/>
      <c r="AD107" s="602"/>
      <c r="AE107" s="78">
        <f t="shared" si="81"/>
        <v>0</v>
      </c>
    </row>
    <row r="108" spans="1:31" ht="18" hidden="1" customHeight="1" x14ac:dyDescent="0.2">
      <c r="A108" s="82" t="s">
        <v>243</v>
      </c>
      <c r="B108" s="48"/>
      <c r="C108" s="598"/>
      <c r="D108" s="743">
        <f>C108*$C$104*$C$85</f>
        <v>0</v>
      </c>
      <c r="E108" s="599"/>
      <c r="F108" s="602"/>
      <c r="G108" s="602"/>
      <c r="H108" s="602"/>
      <c r="I108" s="602"/>
      <c r="J108" s="602"/>
      <c r="K108" s="602"/>
      <c r="L108" s="602"/>
      <c r="M108" s="602"/>
      <c r="N108" s="602"/>
      <c r="O108" s="602"/>
      <c r="P108" s="602"/>
      <c r="Q108" s="602"/>
      <c r="R108" s="602"/>
      <c r="S108" s="602"/>
      <c r="T108" s="602"/>
      <c r="U108" s="602"/>
      <c r="V108" s="602"/>
      <c r="W108" s="602"/>
      <c r="X108" s="602"/>
      <c r="Y108" s="602"/>
      <c r="Z108" s="602"/>
      <c r="AA108" s="602"/>
      <c r="AB108" s="602"/>
      <c r="AC108" s="602"/>
      <c r="AD108" s="602"/>
      <c r="AE108" s="78">
        <f t="shared" si="81"/>
        <v>0</v>
      </c>
    </row>
    <row r="109" spans="1:31" ht="18" hidden="1" customHeight="1" x14ac:dyDescent="0.2">
      <c r="A109" s="82" t="s">
        <v>244</v>
      </c>
      <c r="B109" s="48"/>
      <c r="C109" s="598"/>
      <c r="D109" s="743">
        <f t="shared" si="101"/>
        <v>0</v>
      </c>
      <c r="E109" s="599"/>
      <c r="F109" s="602"/>
      <c r="G109" s="602"/>
      <c r="H109" s="602"/>
      <c r="I109" s="602"/>
      <c r="J109" s="602"/>
      <c r="K109" s="602"/>
      <c r="L109" s="602"/>
      <c r="M109" s="602"/>
      <c r="N109" s="602"/>
      <c r="O109" s="602"/>
      <c r="P109" s="602"/>
      <c r="Q109" s="602"/>
      <c r="R109" s="602"/>
      <c r="S109" s="602"/>
      <c r="T109" s="602"/>
      <c r="U109" s="602"/>
      <c r="V109" s="602"/>
      <c r="W109" s="602"/>
      <c r="X109" s="602"/>
      <c r="Y109" s="602"/>
      <c r="Z109" s="602"/>
      <c r="AA109" s="602"/>
      <c r="AB109" s="602"/>
      <c r="AC109" s="602"/>
      <c r="AD109" s="602"/>
      <c r="AE109" s="78">
        <f t="shared" si="81"/>
        <v>0</v>
      </c>
    </row>
    <row r="110" spans="1:31" ht="18" hidden="1" customHeight="1" x14ac:dyDescent="0.2">
      <c r="A110" s="81" t="s">
        <v>245</v>
      </c>
      <c r="B110" s="32"/>
      <c r="C110" s="33"/>
      <c r="D110" s="745"/>
      <c r="E110" s="34"/>
      <c r="F110" s="52"/>
      <c r="G110" s="52">
        <f>SUM(G111:G115)</f>
        <v>0</v>
      </c>
      <c r="H110" s="52">
        <f>SUM(H111:H115)</f>
        <v>0</v>
      </c>
      <c r="I110" s="52">
        <f>SUM(I111:I115)</f>
        <v>0</v>
      </c>
      <c r="J110" s="52">
        <f>SUM(J111:J115)</f>
        <v>0</v>
      </c>
      <c r="K110" s="52">
        <f>SUM(K111:K115)</f>
        <v>0</v>
      </c>
      <c r="L110" s="52">
        <f t="shared" ref="L110:AD110" si="102">SUM(L111:L115)</f>
        <v>0</v>
      </c>
      <c r="M110" s="52">
        <f t="shared" si="102"/>
        <v>0</v>
      </c>
      <c r="N110" s="52">
        <f t="shared" si="102"/>
        <v>0</v>
      </c>
      <c r="O110" s="52">
        <f t="shared" si="102"/>
        <v>0</v>
      </c>
      <c r="P110" s="52">
        <f t="shared" si="102"/>
        <v>0</v>
      </c>
      <c r="Q110" s="52">
        <f t="shared" si="102"/>
        <v>0</v>
      </c>
      <c r="R110" s="52">
        <f t="shared" si="102"/>
        <v>0</v>
      </c>
      <c r="S110" s="52">
        <f t="shared" si="102"/>
        <v>0</v>
      </c>
      <c r="T110" s="52">
        <f t="shared" si="102"/>
        <v>0</v>
      </c>
      <c r="U110" s="52">
        <f t="shared" si="102"/>
        <v>0</v>
      </c>
      <c r="V110" s="52">
        <f t="shared" si="102"/>
        <v>0</v>
      </c>
      <c r="W110" s="52">
        <f t="shared" si="102"/>
        <v>0</v>
      </c>
      <c r="X110" s="52">
        <f t="shared" si="102"/>
        <v>0</v>
      </c>
      <c r="Y110" s="52">
        <f t="shared" si="102"/>
        <v>0</v>
      </c>
      <c r="Z110" s="52">
        <f t="shared" si="102"/>
        <v>0</v>
      </c>
      <c r="AA110" s="52">
        <f t="shared" si="102"/>
        <v>0</v>
      </c>
      <c r="AB110" s="52">
        <f t="shared" si="102"/>
        <v>0</v>
      </c>
      <c r="AC110" s="52">
        <f t="shared" si="102"/>
        <v>0</v>
      </c>
      <c r="AD110" s="52">
        <f t="shared" si="102"/>
        <v>0</v>
      </c>
      <c r="AE110" s="78">
        <f t="shared" si="81"/>
        <v>0</v>
      </c>
    </row>
    <row r="111" spans="1:31" ht="18" hidden="1" customHeight="1" x14ac:dyDescent="0.2">
      <c r="A111" s="82" t="s">
        <v>246</v>
      </c>
      <c r="B111" s="48"/>
      <c r="C111" s="598"/>
      <c r="D111" s="743">
        <f>C111*$C$110*$C$85</f>
        <v>0</v>
      </c>
      <c r="E111" s="599"/>
      <c r="F111" s="602"/>
      <c r="G111" s="602"/>
      <c r="H111" s="602"/>
      <c r="I111" s="602"/>
      <c r="J111" s="602"/>
      <c r="K111" s="602"/>
      <c r="L111" s="602"/>
      <c r="M111" s="602"/>
      <c r="N111" s="602"/>
      <c r="O111" s="602"/>
      <c r="P111" s="602"/>
      <c r="Q111" s="602"/>
      <c r="R111" s="602"/>
      <c r="S111" s="602"/>
      <c r="T111" s="602"/>
      <c r="U111" s="602"/>
      <c r="V111" s="602"/>
      <c r="W111" s="602"/>
      <c r="X111" s="602"/>
      <c r="Y111" s="602"/>
      <c r="Z111" s="602"/>
      <c r="AA111" s="602"/>
      <c r="AB111" s="602"/>
      <c r="AC111" s="602"/>
      <c r="AD111" s="602"/>
      <c r="AE111" s="78">
        <f t="shared" si="81"/>
        <v>0</v>
      </c>
    </row>
    <row r="112" spans="1:31" ht="18" hidden="1" customHeight="1" x14ac:dyDescent="0.2">
      <c r="A112" s="82" t="s">
        <v>247</v>
      </c>
      <c r="B112" s="48"/>
      <c r="C112" s="598"/>
      <c r="D112" s="743">
        <f>C112*$C$110*$C$85</f>
        <v>0</v>
      </c>
      <c r="E112" s="599"/>
      <c r="F112" s="602"/>
      <c r="G112" s="602"/>
      <c r="H112" s="602"/>
      <c r="I112" s="602"/>
      <c r="J112" s="602"/>
      <c r="K112" s="602"/>
      <c r="L112" s="602"/>
      <c r="M112" s="602"/>
      <c r="N112" s="602"/>
      <c r="O112" s="602"/>
      <c r="P112" s="602"/>
      <c r="Q112" s="602"/>
      <c r="R112" s="602"/>
      <c r="S112" s="602"/>
      <c r="T112" s="602"/>
      <c r="U112" s="602"/>
      <c r="V112" s="602"/>
      <c r="W112" s="602"/>
      <c r="X112" s="602"/>
      <c r="Y112" s="602"/>
      <c r="Z112" s="602"/>
      <c r="AA112" s="602"/>
      <c r="AB112" s="602"/>
      <c r="AC112" s="602"/>
      <c r="AD112" s="602"/>
      <c r="AE112" s="78">
        <f t="shared" si="81"/>
        <v>0</v>
      </c>
    </row>
    <row r="113" spans="1:31" ht="18" hidden="1" customHeight="1" x14ac:dyDescent="0.2">
      <c r="A113" s="82" t="s">
        <v>248</v>
      </c>
      <c r="B113" s="48"/>
      <c r="C113" s="598"/>
      <c r="D113" s="743">
        <f>C113*$C$110*$C$85</f>
        <v>0</v>
      </c>
      <c r="E113" s="599"/>
      <c r="F113" s="602"/>
      <c r="G113" s="602"/>
      <c r="H113" s="602"/>
      <c r="I113" s="602"/>
      <c r="J113" s="602"/>
      <c r="K113" s="602"/>
      <c r="L113" s="602"/>
      <c r="M113" s="602"/>
      <c r="N113" s="602"/>
      <c r="O113" s="602"/>
      <c r="P113" s="602"/>
      <c r="Q113" s="602"/>
      <c r="R113" s="602"/>
      <c r="S113" s="602"/>
      <c r="T113" s="602"/>
      <c r="U113" s="602"/>
      <c r="V113" s="602"/>
      <c r="W113" s="602"/>
      <c r="X113" s="602"/>
      <c r="Y113" s="602"/>
      <c r="Z113" s="602"/>
      <c r="AA113" s="602"/>
      <c r="AB113" s="602"/>
      <c r="AC113" s="602"/>
      <c r="AD113" s="602"/>
      <c r="AE113" s="78">
        <f t="shared" si="81"/>
        <v>0</v>
      </c>
    </row>
    <row r="114" spans="1:31" ht="18" hidden="1" customHeight="1" x14ac:dyDescent="0.2">
      <c r="A114" s="82" t="s">
        <v>249</v>
      </c>
      <c r="B114" s="48"/>
      <c r="C114" s="598"/>
      <c r="D114" s="743">
        <f>C114*$C$110*$C$85</f>
        <v>0</v>
      </c>
      <c r="E114" s="599"/>
      <c r="F114" s="602"/>
      <c r="G114" s="602"/>
      <c r="H114" s="602"/>
      <c r="I114" s="602"/>
      <c r="J114" s="602"/>
      <c r="K114" s="602"/>
      <c r="L114" s="602"/>
      <c r="M114" s="602"/>
      <c r="N114" s="602"/>
      <c r="O114" s="602"/>
      <c r="P114" s="602"/>
      <c r="Q114" s="602"/>
      <c r="R114" s="602"/>
      <c r="S114" s="602"/>
      <c r="T114" s="602"/>
      <c r="U114" s="602"/>
      <c r="V114" s="602"/>
      <c r="W114" s="602"/>
      <c r="X114" s="602"/>
      <c r="Y114" s="602"/>
      <c r="Z114" s="602"/>
      <c r="AA114" s="602"/>
      <c r="AB114" s="602"/>
      <c r="AC114" s="602"/>
      <c r="AD114" s="602"/>
      <c r="AE114" s="78">
        <f t="shared" si="81"/>
        <v>0</v>
      </c>
    </row>
    <row r="115" spans="1:31" ht="18" hidden="1" customHeight="1" x14ac:dyDescent="0.2">
      <c r="A115" s="82" t="s">
        <v>250</v>
      </c>
      <c r="B115" s="48"/>
      <c r="C115" s="598"/>
      <c r="D115" s="743">
        <f>C115*$C$110*$C$85</f>
        <v>0</v>
      </c>
      <c r="E115" s="599"/>
      <c r="F115" s="602"/>
      <c r="G115" s="602"/>
      <c r="H115" s="602"/>
      <c r="I115" s="602"/>
      <c r="J115" s="602"/>
      <c r="K115" s="602"/>
      <c r="L115" s="602"/>
      <c r="M115" s="602"/>
      <c r="N115" s="602"/>
      <c r="O115" s="602"/>
      <c r="P115" s="602"/>
      <c r="Q115" s="602"/>
      <c r="R115" s="602"/>
      <c r="S115" s="602"/>
      <c r="T115" s="602"/>
      <c r="U115" s="602"/>
      <c r="V115" s="602"/>
      <c r="W115" s="602"/>
      <c r="X115" s="602"/>
      <c r="Y115" s="602"/>
      <c r="Z115" s="602"/>
      <c r="AA115" s="602"/>
      <c r="AB115" s="602"/>
      <c r="AC115" s="602"/>
      <c r="AD115" s="602"/>
      <c r="AE115" s="78">
        <f t="shared" si="81"/>
        <v>0</v>
      </c>
    </row>
    <row r="116" spans="1:31" ht="18" hidden="1" customHeight="1" x14ac:dyDescent="0.2">
      <c r="A116" s="80" t="s">
        <v>155</v>
      </c>
      <c r="B116" s="35"/>
      <c r="C116" s="36"/>
      <c r="D116" s="744"/>
      <c r="E116" s="37"/>
      <c r="F116" s="51"/>
      <c r="G116" s="51">
        <f>G117+G123+G129+G135+G141</f>
        <v>0</v>
      </c>
      <c r="H116" s="51">
        <f t="shared" ref="H116:R116" si="103">H117+H123+H129+H135+H141</f>
        <v>0</v>
      </c>
      <c r="I116" s="51">
        <f t="shared" si="103"/>
        <v>0</v>
      </c>
      <c r="J116" s="51">
        <f t="shared" si="103"/>
        <v>0</v>
      </c>
      <c r="K116" s="51">
        <f t="shared" si="103"/>
        <v>0</v>
      </c>
      <c r="L116" s="51">
        <f t="shared" si="103"/>
        <v>0</v>
      </c>
      <c r="M116" s="51">
        <f t="shared" si="103"/>
        <v>0</v>
      </c>
      <c r="N116" s="51">
        <f t="shared" si="103"/>
        <v>0</v>
      </c>
      <c r="O116" s="51">
        <f t="shared" si="103"/>
        <v>0</v>
      </c>
      <c r="P116" s="51">
        <f t="shared" si="103"/>
        <v>0</v>
      </c>
      <c r="Q116" s="51">
        <f t="shared" si="103"/>
        <v>0</v>
      </c>
      <c r="R116" s="51">
        <f t="shared" si="103"/>
        <v>0</v>
      </c>
      <c r="S116" s="51">
        <f t="shared" ref="S116:AD116" si="104">S117+S123+S129</f>
        <v>0</v>
      </c>
      <c r="T116" s="51">
        <f t="shared" si="104"/>
        <v>0</v>
      </c>
      <c r="U116" s="51">
        <f t="shared" si="104"/>
        <v>0</v>
      </c>
      <c r="V116" s="51">
        <f t="shared" si="104"/>
        <v>0</v>
      </c>
      <c r="W116" s="51">
        <f t="shared" si="104"/>
        <v>0</v>
      </c>
      <c r="X116" s="51">
        <f t="shared" si="104"/>
        <v>0</v>
      </c>
      <c r="Y116" s="51">
        <f t="shared" si="104"/>
        <v>0</v>
      </c>
      <c r="Z116" s="51">
        <f t="shared" si="104"/>
        <v>0</v>
      </c>
      <c r="AA116" s="51">
        <f t="shared" si="104"/>
        <v>0</v>
      </c>
      <c r="AB116" s="51">
        <f t="shared" si="104"/>
        <v>0</v>
      </c>
      <c r="AC116" s="51">
        <f t="shared" si="104"/>
        <v>0</v>
      </c>
      <c r="AD116" s="51">
        <f t="shared" si="104"/>
        <v>0</v>
      </c>
      <c r="AE116" s="78">
        <f t="shared" si="81"/>
        <v>0</v>
      </c>
    </row>
    <row r="117" spans="1:31" ht="18" hidden="1" customHeight="1" x14ac:dyDescent="0.2">
      <c r="A117" s="81" t="s">
        <v>251</v>
      </c>
      <c r="B117" s="32"/>
      <c r="C117" s="33"/>
      <c r="D117" s="745"/>
      <c r="E117" s="34"/>
      <c r="F117" s="52"/>
      <c r="G117" s="52">
        <f>SUM(G118:G122)</f>
        <v>0</v>
      </c>
      <c r="H117" s="52">
        <f>SUM(H118:H122)</f>
        <v>0</v>
      </c>
      <c r="I117" s="52">
        <f t="shared" ref="I117" si="105">SUM(I118:I122)</f>
        <v>0</v>
      </c>
      <c r="J117" s="52">
        <f>SUM(J118:J122)</f>
        <v>0</v>
      </c>
      <c r="K117" s="52">
        <f>SUM(K118:K122)</f>
        <v>0</v>
      </c>
      <c r="L117" s="52">
        <f t="shared" ref="L117" si="106">SUM(L118:L122)</f>
        <v>0</v>
      </c>
      <c r="M117" s="52">
        <f t="shared" ref="M117" si="107">SUM(M118:M122)</f>
        <v>0</v>
      </c>
      <c r="N117" s="52">
        <f t="shared" ref="N117" si="108">SUM(N118:N122)</f>
        <v>0</v>
      </c>
      <c r="O117" s="52">
        <f t="shared" ref="O117" si="109">SUM(O118:O122)</f>
        <v>0</v>
      </c>
      <c r="P117" s="52">
        <f t="shared" ref="P117" si="110">SUM(P118:P122)</f>
        <v>0</v>
      </c>
      <c r="Q117" s="52">
        <f t="shared" ref="Q117:AD117" si="111">SUM(Q118:Q122)</f>
        <v>0</v>
      </c>
      <c r="R117" s="52">
        <f t="shared" si="111"/>
        <v>0</v>
      </c>
      <c r="S117" s="52">
        <f t="shared" si="111"/>
        <v>0</v>
      </c>
      <c r="T117" s="52">
        <f t="shared" si="111"/>
        <v>0</v>
      </c>
      <c r="U117" s="52">
        <f t="shared" si="111"/>
        <v>0</v>
      </c>
      <c r="V117" s="52">
        <f t="shared" si="111"/>
        <v>0</v>
      </c>
      <c r="W117" s="52">
        <f t="shared" si="111"/>
        <v>0</v>
      </c>
      <c r="X117" s="52">
        <f t="shared" si="111"/>
        <v>0</v>
      </c>
      <c r="Y117" s="52">
        <f t="shared" si="111"/>
        <v>0</v>
      </c>
      <c r="Z117" s="52">
        <f t="shared" si="111"/>
        <v>0</v>
      </c>
      <c r="AA117" s="52">
        <f t="shared" si="111"/>
        <v>0</v>
      </c>
      <c r="AB117" s="52">
        <f t="shared" si="111"/>
        <v>0</v>
      </c>
      <c r="AC117" s="52">
        <f t="shared" si="111"/>
        <v>0</v>
      </c>
      <c r="AD117" s="52">
        <f t="shared" si="111"/>
        <v>0</v>
      </c>
      <c r="AE117" s="78">
        <f t="shared" si="81"/>
        <v>0</v>
      </c>
    </row>
    <row r="118" spans="1:31" ht="18" hidden="1" customHeight="1" x14ac:dyDescent="0.2">
      <c r="A118" s="82" t="s">
        <v>252</v>
      </c>
      <c r="B118" s="48"/>
      <c r="C118" s="598"/>
      <c r="D118" s="743">
        <f>C118*$C$117*$C$116</f>
        <v>0</v>
      </c>
      <c r="E118" s="599"/>
      <c r="F118" s="602"/>
      <c r="G118" s="602"/>
      <c r="H118" s="602"/>
      <c r="I118" s="602"/>
      <c r="J118" s="602"/>
      <c r="K118" s="602"/>
      <c r="L118" s="602"/>
      <c r="M118" s="602"/>
      <c r="N118" s="602"/>
      <c r="O118" s="602"/>
      <c r="P118" s="602"/>
      <c r="Q118" s="602"/>
      <c r="R118" s="602"/>
      <c r="S118" s="602"/>
      <c r="T118" s="602"/>
      <c r="U118" s="602"/>
      <c r="V118" s="602"/>
      <c r="W118" s="602"/>
      <c r="X118" s="602"/>
      <c r="Y118" s="602"/>
      <c r="Z118" s="602"/>
      <c r="AA118" s="602"/>
      <c r="AB118" s="602"/>
      <c r="AC118" s="602"/>
      <c r="AD118" s="602"/>
      <c r="AE118" s="78">
        <f t="shared" si="81"/>
        <v>0</v>
      </c>
    </row>
    <row r="119" spans="1:31" ht="18" hidden="1" customHeight="1" x14ac:dyDescent="0.2">
      <c r="A119" s="82" t="s">
        <v>253</v>
      </c>
      <c r="B119" s="48"/>
      <c r="C119" s="598"/>
      <c r="D119" s="743">
        <f>C119*$C$117*$C$116</f>
        <v>0</v>
      </c>
      <c r="E119" s="599"/>
      <c r="F119" s="602"/>
      <c r="G119" s="602"/>
      <c r="H119" s="602"/>
      <c r="I119" s="602"/>
      <c r="J119" s="602"/>
      <c r="K119" s="602"/>
      <c r="L119" s="602"/>
      <c r="M119" s="602"/>
      <c r="N119" s="602"/>
      <c r="O119" s="602"/>
      <c r="P119" s="602"/>
      <c r="Q119" s="602"/>
      <c r="R119" s="602"/>
      <c r="S119" s="602"/>
      <c r="T119" s="602"/>
      <c r="U119" s="602"/>
      <c r="V119" s="602"/>
      <c r="W119" s="602"/>
      <c r="X119" s="602"/>
      <c r="Y119" s="602"/>
      <c r="Z119" s="602"/>
      <c r="AA119" s="602"/>
      <c r="AB119" s="602"/>
      <c r="AC119" s="602"/>
      <c r="AD119" s="602"/>
      <c r="AE119" s="78">
        <f t="shared" si="81"/>
        <v>0</v>
      </c>
    </row>
    <row r="120" spans="1:31" ht="18" hidden="1" customHeight="1" x14ac:dyDescent="0.2">
      <c r="A120" s="82" t="s">
        <v>254</v>
      </c>
      <c r="B120" s="48"/>
      <c r="C120" s="598"/>
      <c r="D120" s="743">
        <f t="shared" ref="D120:D122" si="112">C120*$C$117*$C$116</f>
        <v>0</v>
      </c>
      <c r="E120" s="599"/>
      <c r="F120" s="602"/>
      <c r="G120" s="602"/>
      <c r="H120" s="602"/>
      <c r="I120" s="602"/>
      <c r="J120" s="602"/>
      <c r="K120" s="602"/>
      <c r="L120" s="602"/>
      <c r="M120" s="602"/>
      <c r="N120" s="602"/>
      <c r="O120" s="602"/>
      <c r="P120" s="602"/>
      <c r="Q120" s="602"/>
      <c r="R120" s="602"/>
      <c r="S120" s="602"/>
      <c r="T120" s="602"/>
      <c r="U120" s="602"/>
      <c r="V120" s="602"/>
      <c r="W120" s="602"/>
      <c r="X120" s="602"/>
      <c r="Y120" s="602"/>
      <c r="Z120" s="602"/>
      <c r="AA120" s="602"/>
      <c r="AB120" s="602"/>
      <c r="AC120" s="602"/>
      <c r="AD120" s="602"/>
      <c r="AE120" s="78">
        <f t="shared" si="81"/>
        <v>0</v>
      </c>
    </row>
    <row r="121" spans="1:31" ht="18" hidden="1" customHeight="1" x14ac:dyDescent="0.2">
      <c r="A121" s="82" t="s">
        <v>255</v>
      </c>
      <c r="B121" s="48"/>
      <c r="C121" s="598"/>
      <c r="D121" s="743">
        <f>C121*$C$117*$C$116</f>
        <v>0</v>
      </c>
      <c r="E121" s="599"/>
      <c r="F121" s="602"/>
      <c r="G121" s="602"/>
      <c r="H121" s="602"/>
      <c r="I121" s="602"/>
      <c r="J121" s="602"/>
      <c r="K121" s="602"/>
      <c r="L121" s="602"/>
      <c r="M121" s="602"/>
      <c r="N121" s="602"/>
      <c r="O121" s="602"/>
      <c r="P121" s="602"/>
      <c r="Q121" s="602"/>
      <c r="R121" s="602"/>
      <c r="S121" s="602"/>
      <c r="T121" s="602"/>
      <c r="U121" s="602"/>
      <c r="V121" s="602"/>
      <c r="W121" s="602"/>
      <c r="X121" s="602"/>
      <c r="Y121" s="602"/>
      <c r="Z121" s="602"/>
      <c r="AA121" s="602"/>
      <c r="AB121" s="602"/>
      <c r="AC121" s="602"/>
      <c r="AD121" s="602"/>
      <c r="AE121" s="78">
        <f t="shared" si="81"/>
        <v>0</v>
      </c>
    </row>
    <row r="122" spans="1:31" ht="18" hidden="1" customHeight="1" x14ac:dyDescent="0.2">
      <c r="A122" s="82" t="s">
        <v>256</v>
      </c>
      <c r="B122" s="48"/>
      <c r="C122" s="598"/>
      <c r="D122" s="743">
        <f t="shared" si="112"/>
        <v>0</v>
      </c>
      <c r="E122" s="599"/>
      <c r="F122" s="602"/>
      <c r="G122" s="602"/>
      <c r="H122" s="602"/>
      <c r="I122" s="602"/>
      <c r="J122" s="602"/>
      <c r="K122" s="602"/>
      <c r="L122" s="602"/>
      <c r="M122" s="602"/>
      <c r="N122" s="602"/>
      <c r="O122" s="602"/>
      <c r="P122" s="602"/>
      <c r="Q122" s="602"/>
      <c r="R122" s="602"/>
      <c r="S122" s="602"/>
      <c r="T122" s="602"/>
      <c r="U122" s="602"/>
      <c r="V122" s="602"/>
      <c r="W122" s="602"/>
      <c r="X122" s="602"/>
      <c r="Y122" s="602"/>
      <c r="Z122" s="602"/>
      <c r="AA122" s="602"/>
      <c r="AB122" s="602"/>
      <c r="AC122" s="602"/>
      <c r="AD122" s="602"/>
      <c r="AE122" s="78">
        <f t="shared" si="81"/>
        <v>0</v>
      </c>
    </row>
    <row r="123" spans="1:31" ht="18" hidden="1" customHeight="1" x14ac:dyDescent="0.2">
      <c r="A123" s="81" t="s">
        <v>257</v>
      </c>
      <c r="B123" s="32"/>
      <c r="C123" s="33"/>
      <c r="D123" s="745"/>
      <c r="E123" s="34"/>
      <c r="F123" s="52"/>
      <c r="G123" s="52">
        <f>SUM(G124:G128)</f>
        <v>0</v>
      </c>
      <c r="H123" s="52">
        <f>SUM(H124:H128)</f>
        <v>0</v>
      </c>
      <c r="I123" s="52">
        <f t="shared" ref="I123" si="113">SUM(I124:I128)</f>
        <v>0</v>
      </c>
      <c r="J123" s="52">
        <f t="shared" ref="J123" si="114">SUM(J124:J128)</f>
        <v>0</v>
      </c>
      <c r="K123" s="52">
        <f t="shared" ref="K123" si="115">SUM(K124:K128)</f>
        <v>0</v>
      </c>
      <c r="L123" s="52">
        <f t="shared" ref="L123" si="116">SUM(L124:L128)</f>
        <v>0</v>
      </c>
      <c r="M123" s="52">
        <f t="shared" ref="M123" si="117">SUM(M124:M128)</f>
        <v>0</v>
      </c>
      <c r="N123" s="52">
        <f t="shared" ref="N123" si="118">SUM(N124:N128)</f>
        <v>0</v>
      </c>
      <c r="O123" s="52">
        <f t="shared" ref="O123" si="119">SUM(O124:O128)</f>
        <v>0</v>
      </c>
      <c r="P123" s="52">
        <f t="shared" ref="P123" si="120">SUM(P124:P128)</f>
        <v>0</v>
      </c>
      <c r="Q123" s="52">
        <f t="shared" ref="Q123:AD123" si="121">SUM(Q124:Q128)</f>
        <v>0</v>
      </c>
      <c r="R123" s="52">
        <f t="shared" si="121"/>
        <v>0</v>
      </c>
      <c r="S123" s="52">
        <f t="shared" si="121"/>
        <v>0</v>
      </c>
      <c r="T123" s="52">
        <f t="shared" si="121"/>
        <v>0</v>
      </c>
      <c r="U123" s="52">
        <f t="shared" si="121"/>
        <v>0</v>
      </c>
      <c r="V123" s="52">
        <f t="shared" si="121"/>
        <v>0</v>
      </c>
      <c r="W123" s="52">
        <f t="shared" si="121"/>
        <v>0</v>
      </c>
      <c r="X123" s="52">
        <f t="shared" si="121"/>
        <v>0</v>
      </c>
      <c r="Y123" s="52">
        <f t="shared" si="121"/>
        <v>0</v>
      </c>
      <c r="Z123" s="52">
        <f t="shared" si="121"/>
        <v>0</v>
      </c>
      <c r="AA123" s="52">
        <f t="shared" si="121"/>
        <v>0</v>
      </c>
      <c r="AB123" s="52">
        <f t="shared" si="121"/>
        <v>0</v>
      </c>
      <c r="AC123" s="52">
        <f t="shared" si="121"/>
        <v>0</v>
      </c>
      <c r="AD123" s="52">
        <f t="shared" si="121"/>
        <v>0</v>
      </c>
      <c r="AE123" s="78">
        <f t="shared" si="81"/>
        <v>0</v>
      </c>
    </row>
    <row r="124" spans="1:31" ht="18" hidden="1" customHeight="1" x14ac:dyDescent="0.2">
      <c r="A124" s="82" t="s">
        <v>258</v>
      </c>
      <c r="B124" s="48"/>
      <c r="C124" s="598"/>
      <c r="D124" s="743">
        <f>C124*$C$123*$C$116</f>
        <v>0</v>
      </c>
      <c r="E124" s="599"/>
      <c r="F124" s="602"/>
      <c r="G124" s="602"/>
      <c r="H124" s="602"/>
      <c r="I124" s="602"/>
      <c r="J124" s="602"/>
      <c r="K124" s="602"/>
      <c r="L124" s="602"/>
      <c r="M124" s="602"/>
      <c r="N124" s="602"/>
      <c r="O124" s="602"/>
      <c r="P124" s="602"/>
      <c r="Q124" s="602"/>
      <c r="R124" s="602"/>
      <c r="S124" s="602"/>
      <c r="T124" s="602"/>
      <c r="U124" s="602"/>
      <c r="V124" s="602"/>
      <c r="W124" s="602"/>
      <c r="X124" s="602"/>
      <c r="Y124" s="602"/>
      <c r="Z124" s="602"/>
      <c r="AA124" s="602"/>
      <c r="AB124" s="602"/>
      <c r="AC124" s="602"/>
      <c r="AD124" s="602"/>
      <c r="AE124" s="78">
        <f t="shared" si="81"/>
        <v>0</v>
      </c>
    </row>
    <row r="125" spans="1:31" ht="18" hidden="1" customHeight="1" x14ac:dyDescent="0.2">
      <c r="A125" s="82" t="s">
        <v>259</v>
      </c>
      <c r="B125" s="48"/>
      <c r="C125" s="598"/>
      <c r="D125" s="743">
        <f t="shared" ref="D125:D128" si="122">C125*$C$123*$C$116</f>
        <v>0</v>
      </c>
      <c r="E125" s="599"/>
      <c r="F125" s="602"/>
      <c r="G125" s="602"/>
      <c r="H125" s="602"/>
      <c r="I125" s="602"/>
      <c r="J125" s="602"/>
      <c r="K125" s="602"/>
      <c r="L125" s="602"/>
      <c r="M125" s="602"/>
      <c r="N125" s="602"/>
      <c r="O125" s="602"/>
      <c r="P125" s="602"/>
      <c r="Q125" s="602"/>
      <c r="R125" s="602"/>
      <c r="S125" s="602"/>
      <c r="T125" s="602"/>
      <c r="U125" s="602"/>
      <c r="V125" s="602"/>
      <c r="W125" s="602"/>
      <c r="X125" s="602"/>
      <c r="Y125" s="602"/>
      <c r="Z125" s="602"/>
      <c r="AA125" s="602"/>
      <c r="AB125" s="602"/>
      <c r="AC125" s="602"/>
      <c r="AD125" s="602"/>
      <c r="AE125" s="78">
        <f t="shared" si="81"/>
        <v>0</v>
      </c>
    </row>
    <row r="126" spans="1:31" ht="18" hidden="1" customHeight="1" x14ac:dyDescent="0.2">
      <c r="A126" s="82" t="s">
        <v>260</v>
      </c>
      <c r="B126" s="48"/>
      <c r="C126" s="598"/>
      <c r="D126" s="743">
        <f t="shared" si="122"/>
        <v>0</v>
      </c>
      <c r="E126" s="599"/>
      <c r="F126" s="602"/>
      <c r="G126" s="602"/>
      <c r="H126" s="602"/>
      <c r="I126" s="602"/>
      <c r="J126" s="602"/>
      <c r="K126" s="602"/>
      <c r="L126" s="602"/>
      <c r="M126" s="602"/>
      <c r="N126" s="602"/>
      <c r="O126" s="602"/>
      <c r="P126" s="602"/>
      <c r="Q126" s="602"/>
      <c r="R126" s="602"/>
      <c r="S126" s="602"/>
      <c r="T126" s="602"/>
      <c r="U126" s="602"/>
      <c r="V126" s="602"/>
      <c r="W126" s="602"/>
      <c r="X126" s="602"/>
      <c r="Y126" s="602"/>
      <c r="Z126" s="602"/>
      <c r="AA126" s="602"/>
      <c r="AB126" s="602"/>
      <c r="AC126" s="602"/>
      <c r="AD126" s="602"/>
      <c r="AE126" s="78">
        <f t="shared" si="81"/>
        <v>0</v>
      </c>
    </row>
    <row r="127" spans="1:31" ht="18" hidden="1" customHeight="1" x14ac:dyDescent="0.2">
      <c r="A127" s="82" t="s">
        <v>261</v>
      </c>
      <c r="B127" s="48"/>
      <c r="C127" s="598"/>
      <c r="D127" s="743">
        <f t="shared" si="122"/>
        <v>0</v>
      </c>
      <c r="E127" s="599"/>
      <c r="F127" s="602"/>
      <c r="G127" s="602"/>
      <c r="H127" s="602"/>
      <c r="I127" s="602"/>
      <c r="J127" s="602"/>
      <c r="K127" s="602"/>
      <c r="L127" s="602"/>
      <c r="M127" s="602"/>
      <c r="N127" s="602"/>
      <c r="O127" s="602"/>
      <c r="P127" s="602"/>
      <c r="Q127" s="602"/>
      <c r="R127" s="602"/>
      <c r="S127" s="602"/>
      <c r="T127" s="602"/>
      <c r="U127" s="602"/>
      <c r="V127" s="602"/>
      <c r="W127" s="602"/>
      <c r="X127" s="602"/>
      <c r="Y127" s="602"/>
      <c r="Z127" s="602"/>
      <c r="AA127" s="602"/>
      <c r="AB127" s="602"/>
      <c r="AC127" s="602"/>
      <c r="AD127" s="602"/>
      <c r="AE127" s="78">
        <f t="shared" si="81"/>
        <v>0</v>
      </c>
    </row>
    <row r="128" spans="1:31" ht="18" hidden="1" customHeight="1" x14ac:dyDescent="0.2">
      <c r="A128" s="82" t="s">
        <v>262</v>
      </c>
      <c r="B128" s="48"/>
      <c r="C128" s="598"/>
      <c r="D128" s="743">
        <f t="shared" si="122"/>
        <v>0</v>
      </c>
      <c r="E128" s="599"/>
      <c r="F128" s="602"/>
      <c r="G128" s="602"/>
      <c r="H128" s="602"/>
      <c r="I128" s="602"/>
      <c r="J128" s="602"/>
      <c r="K128" s="602"/>
      <c r="L128" s="602"/>
      <c r="M128" s="602"/>
      <c r="N128" s="602"/>
      <c r="O128" s="602"/>
      <c r="P128" s="602"/>
      <c r="Q128" s="602"/>
      <c r="R128" s="602"/>
      <c r="S128" s="602"/>
      <c r="T128" s="602"/>
      <c r="U128" s="602"/>
      <c r="V128" s="602"/>
      <c r="W128" s="602"/>
      <c r="X128" s="602"/>
      <c r="Y128" s="602"/>
      <c r="Z128" s="602"/>
      <c r="AA128" s="602"/>
      <c r="AB128" s="602"/>
      <c r="AC128" s="602"/>
      <c r="AD128" s="602"/>
      <c r="AE128" s="78">
        <f t="shared" si="81"/>
        <v>0</v>
      </c>
    </row>
    <row r="129" spans="1:31" ht="18" hidden="1" customHeight="1" x14ac:dyDescent="0.2">
      <c r="A129" s="81" t="s">
        <v>263</v>
      </c>
      <c r="B129" s="32"/>
      <c r="C129" s="33"/>
      <c r="D129" s="745"/>
      <c r="E129" s="34"/>
      <c r="F129" s="52"/>
      <c r="G129" s="52">
        <f>SUM(G130:G134)</f>
        <v>0</v>
      </c>
      <c r="H129" s="52">
        <f t="shared" ref="H129" si="123">SUM(H130:H134)</f>
        <v>0</v>
      </c>
      <c r="I129" s="52">
        <f>SUM(I130:I134)</f>
        <v>0</v>
      </c>
      <c r="J129" s="52">
        <f t="shared" ref="J129" si="124">SUM(J130:J134)</f>
        <v>0</v>
      </c>
      <c r="K129" s="52">
        <f t="shared" ref="K129" si="125">SUM(K130:K134)</f>
        <v>0</v>
      </c>
      <c r="L129" s="52">
        <f t="shared" ref="L129" si="126">SUM(L130:L134)</f>
        <v>0</v>
      </c>
      <c r="M129" s="52">
        <f t="shared" ref="M129" si="127">SUM(M130:M134)</f>
        <v>0</v>
      </c>
      <c r="N129" s="52">
        <f t="shared" ref="N129" si="128">SUM(N130:N134)</f>
        <v>0</v>
      </c>
      <c r="O129" s="52">
        <f t="shared" ref="O129" si="129">SUM(O130:O134)</f>
        <v>0</v>
      </c>
      <c r="P129" s="52">
        <f t="shared" ref="P129" si="130">SUM(P130:P134)</f>
        <v>0</v>
      </c>
      <c r="Q129" s="52">
        <f t="shared" ref="Q129:AD129" si="131">SUM(Q130:Q134)</f>
        <v>0</v>
      </c>
      <c r="R129" s="52">
        <f t="shared" si="131"/>
        <v>0</v>
      </c>
      <c r="S129" s="52">
        <f t="shared" si="131"/>
        <v>0</v>
      </c>
      <c r="T129" s="52">
        <f t="shared" si="131"/>
        <v>0</v>
      </c>
      <c r="U129" s="52">
        <f t="shared" si="131"/>
        <v>0</v>
      </c>
      <c r="V129" s="52">
        <f t="shared" si="131"/>
        <v>0</v>
      </c>
      <c r="W129" s="52">
        <f t="shared" si="131"/>
        <v>0</v>
      </c>
      <c r="X129" s="52">
        <f t="shared" si="131"/>
        <v>0</v>
      </c>
      <c r="Y129" s="52">
        <f t="shared" si="131"/>
        <v>0</v>
      </c>
      <c r="Z129" s="52">
        <f t="shared" si="131"/>
        <v>0</v>
      </c>
      <c r="AA129" s="52">
        <f t="shared" si="131"/>
        <v>0</v>
      </c>
      <c r="AB129" s="52">
        <f t="shared" si="131"/>
        <v>0</v>
      </c>
      <c r="AC129" s="52">
        <f t="shared" si="131"/>
        <v>0</v>
      </c>
      <c r="AD129" s="52">
        <f t="shared" si="131"/>
        <v>0</v>
      </c>
      <c r="AE129" s="78">
        <f t="shared" si="81"/>
        <v>0</v>
      </c>
    </row>
    <row r="130" spans="1:31" ht="18" hidden="1" customHeight="1" x14ac:dyDescent="0.2">
      <c r="A130" s="82" t="s">
        <v>264</v>
      </c>
      <c r="B130" s="48"/>
      <c r="C130" s="598"/>
      <c r="D130" s="743">
        <f>C130*$C$129*$C$116</f>
        <v>0</v>
      </c>
      <c r="E130" s="599"/>
      <c r="F130" s="602"/>
      <c r="G130" s="602"/>
      <c r="H130" s="602"/>
      <c r="I130" s="602"/>
      <c r="J130" s="602"/>
      <c r="K130" s="602"/>
      <c r="L130" s="602"/>
      <c r="M130" s="602"/>
      <c r="N130" s="602"/>
      <c r="O130" s="602"/>
      <c r="P130" s="602"/>
      <c r="Q130" s="602"/>
      <c r="R130" s="602"/>
      <c r="S130" s="602"/>
      <c r="T130" s="602"/>
      <c r="U130" s="602"/>
      <c r="V130" s="602"/>
      <c r="W130" s="602"/>
      <c r="X130" s="602"/>
      <c r="Y130" s="602"/>
      <c r="Z130" s="602"/>
      <c r="AA130" s="602"/>
      <c r="AB130" s="602"/>
      <c r="AC130" s="602"/>
      <c r="AD130" s="602"/>
      <c r="AE130" s="78">
        <f t="shared" si="81"/>
        <v>0</v>
      </c>
    </row>
    <row r="131" spans="1:31" ht="18" hidden="1" customHeight="1" x14ac:dyDescent="0.2">
      <c r="A131" s="82" t="s">
        <v>265</v>
      </c>
      <c r="B131" s="48"/>
      <c r="C131" s="598"/>
      <c r="D131" s="743">
        <f>C131*$C$129*$C$116</f>
        <v>0</v>
      </c>
      <c r="E131" s="599"/>
      <c r="F131" s="602"/>
      <c r="G131" s="602"/>
      <c r="H131" s="602"/>
      <c r="I131" s="602"/>
      <c r="J131" s="602"/>
      <c r="K131" s="602"/>
      <c r="L131" s="602"/>
      <c r="M131" s="602"/>
      <c r="N131" s="602"/>
      <c r="O131" s="602"/>
      <c r="P131" s="602"/>
      <c r="Q131" s="602"/>
      <c r="R131" s="602"/>
      <c r="S131" s="602"/>
      <c r="T131" s="602"/>
      <c r="U131" s="602"/>
      <c r="V131" s="602"/>
      <c r="W131" s="602"/>
      <c r="X131" s="602"/>
      <c r="Y131" s="602"/>
      <c r="Z131" s="602"/>
      <c r="AA131" s="602"/>
      <c r="AB131" s="602"/>
      <c r="AC131" s="602"/>
      <c r="AD131" s="602"/>
      <c r="AE131" s="78">
        <f t="shared" si="81"/>
        <v>0</v>
      </c>
    </row>
    <row r="132" spans="1:31" ht="18" hidden="1" customHeight="1" x14ac:dyDescent="0.2">
      <c r="A132" s="82" t="s">
        <v>266</v>
      </c>
      <c r="B132" s="48"/>
      <c r="C132" s="598"/>
      <c r="D132" s="743">
        <f>C132*$C$129*$C$116</f>
        <v>0</v>
      </c>
      <c r="E132" s="599"/>
      <c r="F132" s="602"/>
      <c r="G132" s="602"/>
      <c r="H132" s="602"/>
      <c r="I132" s="602"/>
      <c r="J132" s="602"/>
      <c r="K132" s="602"/>
      <c r="L132" s="602"/>
      <c r="M132" s="602"/>
      <c r="N132" s="602"/>
      <c r="O132" s="602"/>
      <c r="P132" s="602"/>
      <c r="Q132" s="602"/>
      <c r="R132" s="602"/>
      <c r="S132" s="602"/>
      <c r="T132" s="602"/>
      <c r="U132" s="602"/>
      <c r="V132" s="602"/>
      <c r="W132" s="602"/>
      <c r="X132" s="602"/>
      <c r="Y132" s="602"/>
      <c r="Z132" s="602"/>
      <c r="AA132" s="602"/>
      <c r="AB132" s="602"/>
      <c r="AC132" s="602"/>
      <c r="AD132" s="602"/>
      <c r="AE132" s="78">
        <f t="shared" si="81"/>
        <v>0</v>
      </c>
    </row>
    <row r="133" spans="1:31" ht="18" hidden="1" customHeight="1" x14ac:dyDescent="0.2">
      <c r="A133" s="82" t="s">
        <v>267</v>
      </c>
      <c r="B133" s="48"/>
      <c r="C133" s="598"/>
      <c r="D133" s="743">
        <f>C133*$C$129*$C$116</f>
        <v>0</v>
      </c>
      <c r="E133" s="599"/>
      <c r="F133" s="602"/>
      <c r="G133" s="602"/>
      <c r="H133" s="602"/>
      <c r="I133" s="602"/>
      <c r="J133" s="602"/>
      <c r="K133" s="602"/>
      <c r="L133" s="602"/>
      <c r="M133" s="602"/>
      <c r="N133" s="602"/>
      <c r="O133" s="602"/>
      <c r="P133" s="602"/>
      <c r="Q133" s="602"/>
      <c r="R133" s="602"/>
      <c r="S133" s="602"/>
      <c r="T133" s="602"/>
      <c r="U133" s="602"/>
      <c r="V133" s="602"/>
      <c r="W133" s="602"/>
      <c r="X133" s="602"/>
      <c r="Y133" s="602"/>
      <c r="Z133" s="602"/>
      <c r="AA133" s="602"/>
      <c r="AB133" s="602"/>
      <c r="AC133" s="602"/>
      <c r="AD133" s="602"/>
      <c r="AE133" s="78">
        <f t="shared" si="81"/>
        <v>0</v>
      </c>
    </row>
    <row r="134" spans="1:31" ht="18" hidden="1" customHeight="1" x14ac:dyDescent="0.2">
      <c r="A134" s="82" t="s">
        <v>268</v>
      </c>
      <c r="B134" s="48"/>
      <c r="C134" s="598"/>
      <c r="D134" s="743">
        <f>C134*$C$129*$C$116</f>
        <v>0</v>
      </c>
      <c r="E134" s="599"/>
      <c r="F134" s="602"/>
      <c r="G134" s="602"/>
      <c r="H134" s="602"/>
      <c r="I134" s="602"/>
      <c r="J134" s="602"/>
      <c r="K134" s="602"/>
      <c r="L134" s="602"/>
      <c r="M134" s="602"/>
      <c r="N134" s="602"/>
      <c r="O134" s="602"/>
      <c r="P134" s="602"/>
      <c r="Q134" s="602"/>
      <c r="R134" s="602"/>
      <c r="S134" s="602"/>
      <c r="T134" s="602"/>
      <c r="U134" s="602"/>
      <c r="V134" s="602"/>
      <c r="W134" s="602"/>
      <c r="X134" s="602"/>
      <c r="Y134" s="602"/>
      <c r="Z134" s="602"/>
      <c r="AA134" s="602"/>
      <c r="AB134" s="602"/>
      <c r="AC134" s="602"/>
      <c r="AD134" s="602"/>
      <c r="AE134" s="78">
        <f t="shared" si="81"/>
        <v>0</v>
      </c>
    </row>
    <row r="135" spans="1:31" ht="18" hidden="1" customHeight="1" x14ac:dyDescent="0.2">
      <c r="A135" s="81" t="s">
        <v>269</v>
      </c>
      <c r="B135" s="32"/>
      <c r="C135" s="33"/>
      <c r="D135" s="745"/>
      <c r="E135" s="34"/>
      <c r="F135" s="52"/>
      <c r="G135" s="52">
        <f>SUM(G136:G140)</f>
        <v>0</v>
      </c>
      <c r="H135" s="52">
        <f t="shared" ref="H135" si="132">SUM(H136:H140)</f>
        <v>0</v>
      </c>
      <c r="I135" s="52">
        <f>SUM(I136:I140)</f>
        <v>0</v>
      </c>
      <c r="J135" s="52">
        <f>SUM(J136:J140)</f>
        <v>0</v>
      </c>
      <c r="K135" s="52">
        <f t="shared" ref="K135:AD135" si="133">SUM(K136:K140)</f>
        <v>0</v>
      </c>
      <c r="L135" s="52">
        <f t="shared" si="133"/>
        <v>0</v>
      </c>
      <c r="M135" s="52">
        <f t="shared" si="133"/>
        <v>0</v>
      </c>
      <c r="N135" s="52">
        <f t="shared" si="133"/>
        <v>0</v>
      </c>
      <c r="O135" s="52">
        <f t="shared" si="133"/>
        <v>0</v>
      </c>
      <c r="P135" s="52">
        <f t="shared" si="133"/>
        <v>0</v>
      </c>
      <c r="Q135" s="52">
        <f t="shared" si="133"/>
        <v>0</v>
      </c>
      <c r="R135" s="52">
        <f t="shared" si="133"/>
        <v>0</v>
      </c>
      <c r="S135" s="52">
        <f t="shared" si="133"/>
        <v>0</v>
      </c>
      <c r="T135" s="52">
        <f t="shared" si="133"/>
        <v>0</v>
      </c>
      <c r="U135" s="52">
        <f t="shared" si="133"/>
        <v>0</v>
      </c>
      <c r="V135" s="52">
        <f t="shared" si="133"/>
        <v>0</v>
      </c>
      <c r="W135" s="52">
        <f t="shared" si="133"/>
        <v>0</v>
      </c>
      <c r="X135" s="52">
        <f t="shared" si="133"/>
        <v>0</v>
      </c>
      <c r="Y135" s="52">
        <f t="shared" si="133"/>
        <v>0</v>
      </c>
      <c r="Z135" s="52">
        <f t="shared" si="133"/>
        <v>0</v>
      </c>
      <c r="AA135" s="52">
        <f t="shared" si="133"/>
        <v>0</v>
      </c>
      <c r="AB135" s="52">
        <f t="shared" si="133"/>
        <v>0</v>
      </c>
      <c r="AC135" s="52">
        <f t="shared" si="133"/>
        <v>0</v>
      </c>
      <c r="AD135" s="52">
        <f t="shared" si="133"/>
        <v>0</v>
      </c>
      <c r="AE135" s="78">
        <f t="shared" si="81"/>
        <v>0</v>
      </c>
    </row>
    <row r="136" spans="1:31" ht="18" hidden="1" customHeight="1" x14ac:dyDescent="0.2">
      <c r="A136" s="82" t="s">
        <v>270</v>
      </c>
      <c r="B136" s="48"/>
      <c r="C136" s="598"/>
      <c r="D136" s="743">
        <f>C136*$C$135*$C$116</f>
        <v>0</v>
      </c>
      <c r="E136" s="599"/>
      <c r="F136" s="602"/>
      <c r="G136" s="602"/>
      <c r="H136" s="602"/>
      <c r="I136" s="602"/>
      <c r="J136" s="602"/>
      <c r="K136" s="602"/>
      <c r="L136" s="602"/>
      <c r="M136" s="602"/>
      <c r="N136" s="602"/>
      <c r="O136" s="602"/>
      <c r="P136" s="602"/>
      <c r="Q136" s="602"/>
      <c r="R136" s="602"/>
      <c r="S136" s="602"/>
      <c r="T136" s="602"/>
      <c r="U136" s="602"/>
      <c r="V136" s="602"/>
      <c r="W136" s="602"/>
      <c r="X136" s="602"/>
      <c r="Y136" s="602"/>
      <c r="Z136" s="602"/>
      <c r="AA136" s="602"/>
      <c r="AB136" s="602"/>
      <c r="AC136" s="602"/>
      <c r="AD136" s="602"/>
      <c r="AE136" s="78">
        <f t="shared" si="81"/>
        <v>0</v>
      </c>
    </row>
    <row r="137" spans="1:31" ht="18" hidden="1" customHeight="1" x14ac:dyDescent="0.2">
      <c r="A137" s="82" t="s">
        <v>271</v>
      </c>
      <c r="B137" s="48"/>
      <c r="C137" s="598"/>
      <c r="D137" s="743">
        <f>C137*$C$135*$C$116</f>
        <v>0</v>
      </c>
      <c r="E137" s="599"/>
      <c r="F137" s="602"/>
      <c r="G137" s="602"/>
      <c r="H137" s="602"/>
      <c r="I137" s="602"/>
      <c r="J137" s="602"/>
      <c r="K137" s="602"/>
      <c r="L137" s="602"/>
      <c r="M137" s="602"/>
      <c r="N137" s="602"/>
      <c r="O137" s="602"/>
      <c r="P137" s="602"/>
      <c r="Q137" s="602"/>
      <c r="R137" s="602"/>
      <c r="S137" s="602"/>
      <c r="T137" s="602"/>
      <c r="U137" s="602"/>
      <c r="V137" s="602"/>
      <c r="W137" s="602"/>
      <c r="X137" s="602"/>
      <c r="Y137" s="602"/>
      <c r="Z137" s="602"/>
      <c r="AA137" s="602"/>
      <c r="AB137" s="602"/>
      <c r="AC137" s="602"/>
      <c r="AD137" s="602"/>
      <c r="AE137" s="78">
        <f t="shared" si="81"/>
        <v>0</v>
      </c>
    </row>
    <row r="138" spans="1:31" ht="18" hidden="1" customHeight="1" x14ac:dyDescent="0.2">
      <c r="A138" s="82" t="s">
        <v>272</v>
      </c>
      <c r="B138" s="48"/>
      <c r="C138" s="598"/>
      <c r="D138" s="743">
        <f>C138*$C$135*$C$116</f>
        <v>0</v>
      </c>
      <c r="E138" s="599"/>
      <c r="F138" s="602"/>
      <c r="G138" s="602"/>
      <c r="H138" s="602"/>
      <c r="I138" s="602"/>
      <c r="J138" s="602"/>
      <c r="K138" s="602"/>
      <c r="L138" s="602"/>
      <c r="M138" s="602"/>
      <c r="N138" s="602"/>
      <c r="O138" s="602"/>
      <c r="P138" s="602"/>
      <c r="Q138" s="602"/>
      <c r="R138" s="602"/>
      <c r="S138" s="602"/>
      <c r="T138" s="602"/>
      <c r="U138" s="602"/>
      <c r="V138" s="602"/>
      <c r="W138" s="602"/>
      <c r="X138" s="602"/>
      <c r="Y138" s="602"/>
      <c r="Z138" s="602"/>
      <c r="AA138" s="602"/>
      <c r="AB138" s="602"/>
      <c r="AC138" s="602"/>
      <c r="AD138" s="602"/>
      <c r="AE138" s="78">
        <f t="shared" si="81"/>
        <v>0</v>
      </c>
    </row>
    <row r="139" spans="1:31" ht="18" hidden="1" customHeight="1" x14ac:dyDescent="0.2">
      <c r="A139" s="82" t="s">
        <v>273</v>
      </c>
      <c r="B139" s="48"/>
      <c r="C139" s="598"/>
      <c r="D139" s="743">
        <f>C139*$C$135*$C$116</f>
        <v>0</v>
      </c>
      <c r="E139" s="599"/>
      <c r="F139" s="602"/>
      <c r="G139" s="602"/>
      <c r="H139" s="602"/>
      <c r="I139" s="602"/>
      <c r="J139" s="602"/>
      <c r="K139" s="602"/>
      <c r="L139" s="602"/>
      <c r="M139" s="602"/>
      <c r="N139" s="602"/>
      <c r="O139" s="602"/>
      <c r="P139" s="602"/>
      <c r="Q139" s="602"/>
      <c r="R139" s="602"/>
      <c r="S139" s="602"/>
      <c r="T139" s="602"/>
      <c r="U139" s="602"/>
      <c r="V139" s="602"/>
      <c r="W139" s="602"/>
      <c r="X139" s="602"/>
      <c r="Y139" s="602"/>
      <c r="Z139" s="602"/>
      <c r="AA139" s="602"/>
      <c r="AB139" s="602"/>
      <c r="AC139" s="602"/>
      <c r="AD139" s="602"/>
      <c r="AE139" s="78">
        <f t="shared" si="81"/>
        <v>0</v>
      </c>
    </row>
    <row r="140" spans="1:31" ht="18" hidden="1" customHeight="1" x14ac:dyDescent="0.2">
      <c r="A140" s="82" t="s">
        <v>274</v>
      </c>
      <c r="B140" s="48"/>
      <c r="C140" s="598"/>
      <c r="D140" s="743">
        <f>C140*$C$135*$C$116</f>
        <v>0</v>
      </c>
      <c r="E140" s="599"/>
      <c r="F140" s="602"/>
      <c r="G140" s="602"/>
      <c r="H140" s="602"/>
      <c r="I140" s="602"/>
      <c r="J140" s="602"/>
      <c r="K140" s="602"/>
      <c r="L140" s="602"/>
      <c r="M140" s="602"/>
      <c r="N140" s="602"/>
      <c r="O140" s="602"/>
      <c r="P140" s="602"/>
      <c r="Q140" s="602"/>
      <c r="R140" s="602"/>
      <c r="S140" s="602"/>
      <c r="T140" s="602"/>
      <c r="U140" s="602"/>
      <c r="V140" s="602"/>
      <c r="W140" s="602"/>
      <c r="X140" s="602"/>
      <c r="Y140" s="602"/>
      <c r="Z140" s="602"/>
      <c r="AA140" s="602"/>
      <c r="AB140" s="602"/>
      <c r="AC140" s="602"/>
      <c r="AD140" s="602"/>
      <c r="AE140" s="78">
        <f t="shared" si="81"/>
        <v>0</v>
      </c>
    </row>
    <row r="141" spans="1:31" ht="18" hidden="1" customHeight="1" x14ac:dyDescent="0.2">
      <c r="A141" s="81" t="s">
        <v>275</v>
      </c>
      <c r="B141" s="32"/>
      <c r="C141" s="33"/>
      <c r="D141" s="745"/>
      <c r="E141" s="34"/>
      <c r="F141" s="52"/>
      <c r="G141" s="52">
        <f>SUM(G142:G146)</f>
        <v>0</v>
      </c>
      <c r="H141" s="52">
        <f t="shared" ref="H141" si="134">SUM(H142:H146)</f>
        <v>0</v>
      </c>
      <c r="I141" s="52">
        <f>SUM(I142:I146)</f>
        <v>0</v>
      </c>
      <c r="J141" s="52">
        <f>SUM(J142:J146)</f>
        <v>0</v>
      </c>
      <c r="K141" s="52">
        <f>SUM(K142:K146)</f>
        <v>0</v>
      </c>
      <c r="L141" s="52">
        <f t="shared" ref="L141:AD141" si="135">SUM(L142:L146)</f>
        <v>0</v>
      </c>
      <c r="M141" s="52">
        <f t="shared" si="135"/>
        <v>0</v>
      </c>
      <c r="N141" s="52">
        <f t="shared" si="135"/>
        <v>0</v>
      </c>
      <c r="O141" s="52">
        <f t="shared" si="135"/>
        <v>0</v>
      </c>
      <c r="P141" s="52">
        <f t="shared" si="135"/>
        <v>0</v>
      </c>
      <c r="Q141" s="52">
        <f t="shared" si="135"/>
        <v>0</v>
      </c>
      <c r="R141" s="52">
        <f t="shared" si="135"/>
        <v>0</v>
      </c>
      <c r="S141" s="52">
        <f t="shared" si="135"/>
        <v>0</v>
      </c>
      <c r="T141" s="52">
        <f t="shared" si="135"/>
        <v>0</v>
      </c>
      <c r="U141" s="52">
        <f t="shared" si="135"/>
        <v>0</v>
      </c>
      <c r="V141" s="52">
        <f t="shared" si="135"/>
        <v>0</v>
      </c>
      <c r="W141" s="52">
        <f t="shared" si="135"/>
        <v>0</v>
      </c>
      <c r="X141" s="52">
        <f t="shared" si="135"/>
        <v>0</v>
      </c>
      <c r="Y141" s="52">
        <f t="shared" si="135"/>
        <v>0</v>
      </c>
      <c r="Z141" s="52">
        <f t="shared" si="135"/>
        <v>0</v>
      </c>
      <c r="AA141" s="52">
        <f t="shared" si="135"/>
        <v>0</v>
      </c>
      <c r="AB141" s="52">
        <f t="shared" si="135"/>
        <v>0</v>
      </c>
      <c r="AC141" s="52">
        <f t="shared" si="135"/>
        <v>0</v>
      </c>
      <c r="AD141" s="52">
        <f t="shared" si="135"/>
        <v>0</v>
      </c>
      <c r="AE141" s="78">
        <f t="shared" si="81"/>
        <v>0</v>
      </c>
    </row>
    <row r="142" spans="1:31" ht="18" hidden="1" customHeight="1" x14ac:dyDescent="0.2">
      <c r="A142" s="82" t="s">
        <v>276</v>
      </c>
      <c r="B142" s="48"/>
      <c r="C142" s="598"/>
      <c r="D142" s="743">
        <f>C142*$C$141*$C$116</f>
        <v>0</v>
      </c>
      <c r="E142" s="599"/>
      <c r="F142" s="602"/>
      <c r="G142" s="602"/>
      <c r="H142" s="602"/>
      <c r="I142" s="602"/>
      <c r="J142" s="602"/>
      <c r="K142" s="602"/>
      <c r="L142" s="602"/>
      <c r="M142" s="602"/>
      <c r="N142" s="602"/>
      <c r="O142" s="602"/>
      <c r="P142" s="602"/>
      <c r="Q142" s="602"/>
      <c r="R142" s="602"/>
      <c r="S142" s="602"/>
      <c r="T142" s="602"/>
      <c r="U142" s="602"/>
      <c r="V142" s="602"/>
      <c r="W142" s="602"/>
      <c r="X142" s="602"/>
      <c r="Y142" s="602"/>
      <c r="Z142" s="602"/>
      <c r="AA142" s="602"/>
      <c r="AB142" s="602"/>
      <c r="AC142" s="602"/>
      <c r="AD142" s="602"/>
      <c r="AE142" s="78">
        <f t="shared" si="81"/>
        <v>0</v>
      </c>
    </row>
    <row r="143" spans="1:31" ht="18" hidden="1" customHeight="1" x14ac:dyDescent="0.2">
      <c r="A143" s="82" t="s">
        <v>277</v>
      </c>
      <c r="B143" s="48"/>
      <c r="C143" s="598"/>
      <c r="D143" s="743">
        <f>C143*$C$141*$C$116</f>
        <v>0</v>
      </c>
      <c r="E143" s="599"/>
      <c r="F143" s="602"/>
      <c r="G143" s="602"/>
      <c r="H143" s="602"/>
      <c r="I143" s="602"/>
      <c r="J143" s="602"/>
      <c r="K143" s="602"/>
      <c r="L143" s="602"/>
      <c r="M143" s="602"/>
      <c r="N143" s="602"/>
      <c r="O143" s="602"/>
      <c r="P143" s="602"/>
      <c r="Q143" s="602"/>
      <c r="R143" s="602"/>
      <c r="S143" s="602"/>
      <c r="T143" s="602"/>
      <c r="U143" s="602"/>
      <c r="V143" s="602"/>
      <c r="W143" s="602"/>
      <c r="X143" s="602"/>
      <c r="Y143" s="602"/>
      <c r="Z143" s="602"/>
      <c r="AA143" s="602"/>
      <c r="AB143" s="602"/>
      <c r="AC143" s="602"/>
      <c r="AD143" s="602"/>
      <c r="AE143" s="78">
        <f t="shared" si="81"/>
        <v>0</v>
      </c>
    </row>
    <row r="144" spans="1:31" ht="18" hidden="1" customHeight="1" x14ac:dyDescent="0.2">
      <c r="A144" s="82" t="s">
        <v>278</v>
      </c>
      <c r="B144" s="48"/>
      <c r="C144" s="598"/>
      <c r="D144" s="743">
        <f>C144*$C$141*$C$116</f>
        <v>0</v>
      </c>
      <c r="E144" s="599"/>
      <c r="F144" s="602"/>
      <c r="G144" s="602"/>
      <c r="H144" s="602"/>
      <c r="I144" s="602"/>
      <c r="J144" s="602"/>
      <c r="K144" s="602"/>
      <c r="L144" s="602"/>
      <c r="M144" s="602"/>
      <c r="N144" s="602"/>
      <c r="O144" s="602"/>
      <c r="P144" s="602"/>
      <c r="Q144" s="602"/>
      <c r="R144" s="602"/>
      <c r="S144" s="602"/>
      <c r="T144" s="602"/>
      <c r="U144" s="602"/>
      <c r="V144" s="602"/>
      <c r="W144" s="602"/>
      <c r="X144" s="602"/>
      <c r="Y144" s="602"/>
      <c r="Z144" s="602"/>
      <c r="AA144" s="602"/>
      <c r="AB144" s="602"/>
      <c r="AC144" s="602"/>
      <c r="AD144" s="602"/>
      <c r="AE144" s="78">
        <f t="shared" si="81"/>
        <v>0</v>
      </c>
    </row>
    <row r="145" spans="1:31" ht="18" hidden="1" customHeight="1" x14ac:dyDescent="0.2">
      <c r="A145" s="82" t="s">
        <v>279</v>
      </c>
      <c r="B145" s="48"/>
      <c r="C145" s="598"/>
      <c r="D145" s="743">
        <f>C145*$C$141*$C$116</f>
        <v>0</v>
      </c>
      <c r="E145" s="599"/>
      <c r="F145" s="602"/>
      <c r="G145" s="602"/>
      <c r="H145" s="602"/>
      <c r="I145" s="602"/>
      <c r="J145" s="602"/>
      <c r="K145" s="602"/>
      <c r="L145" s="602"/>
      <c r="M145" s="602"/>
      <c r="N145" s="602"/>
      <c r="O145" s="602"/>
      <c r="P145" s="602"/>
      <c r="Q145" s="602"/>
      <c r="R145" s="602"/>
      <c r="S145" s="602"/>
      <c r="T145" s="602"/>
      <c r="U145" s="602"/>
      <c r="V145" s="602"/>
      <c r="W145" s="602"/>
      <c r="X145" s="602"/>
      <c r="Y145" s="602"/>
      <c r="Z145" s="602"/>
      <c r="AA145" s="602"/>
      <c r="AB145" s="602"/>
      <c r="AC145" s="602"/>
      <c r="AD145" s="602"/>
      <c r="AE145" s="78">
        <f t="shared" si="81"/>
        <v>0</v>
      </c>
    </row>
    <row r="146" spans="1:31" ht="18" hidden="1" customHeight="1" x14ac:dyDescent="0.2">
      <c r="A146" s="82" t="s">
        <v>280</v>
      </c>
      <c r="B146" s="48"/>
      <c r="C146" s="598"/>
      <c r="D146" s="743">
        <f>C146*$C$141*$C$116</f>
        <v>0</v>
      </c>
      <c r="E146" s="599"/>
      <c r="F146" s="602"/>
      <c r="G146" s="602"/>
      <c r="H146" s="602"/>
      <c r="I146" s="602"/>
      <c r="J146" s="602"/>
      <c r="K146" s="602"/>
      <c r="L146" s="602"/>
      <c r="M146" s="602"/>
      <c r="N146" s="602"/>
      <c r="O146" s="602"/>
      <c r="P146" s="602"/>
      <c r="Q146" s="602"/>
      <c r="R146" s="602"/>
      <c r="S146" s="602"/>
      <c r="T146" s="602"/>
      <c r="U146" s="602"/>
      <c r="V146" s="602"/>
      <c r="W146" s="602"/>
      <c r="X146" s="602"/>
      <c r="Y146" s="602"/>
      <c r="Z146" s="602"/>
      <c r="AA146" s="602"/>
      <c r="AB146" s="602"/>
      <c r="AC146" s="602"/>
      <c r="AD146" s="602"/>
      <c r="AE146" s="78">
        <f t="shared" si="81"/>
        <v>0</v>
      </c>
    </row>
    <row r="147" spans="1:31" ht="18" hidden="1" customHeight="1" x14ac:dyDescent="0.2">
      <c r="A147" s="80" t="s">
        <v>157</v>
      </c>
      <c r="B147" s="35"/>
      <c r="C147" s="36"/>
      <c r="D147" s="744"/>
      <c r="E147" s="37"/>
      <c r="F147" s="51"/>
      <c r="G147" s="51">
        <f>G148+G154+G160+G166+G172</f>
        <v>0</v>
      </c>
      <c r="H147" s="51">
        <f t="shared" ref="H147:R147" si="136">H148+H154+H160+H166+H172</f>
        <v>0</v>
      </c>
      <c r="I147" s="51">
        <f t="shared" si="136"/>
        <v>0</v>
      </c>
      <c r="J147" s="51">
        <f t="shared" si="136"/>
        <v>0</v>
      </c>
      <c r="K147" s="51">
        <f t="shared" si="136"/>
        <v>0</v>
      </c>
      <c r="L147" s="51">
        <f t="shared" si="136"/>
        <v>0</v>
      </c>
      <c r="M147" s="51">
        <f t="shared" si="136"/>
        <v>0</v>
      </c>
      <c r="N147" s="51">
        <f t="shared" si="136"/>
        <v>0</v>
      </c>
      <c r="O147" s="51">
        <f t="shared" si="136"/>
        <v>0</v>
      </c>
      <c r="P147" s="51">
        <f t="shared" si="136"/>
        <v>0</v>
      </c>
      <c r="Q147" s="51">
        <f>Q148+Q154+Q160+Q166+Q172</f>
        <v>0</v>
      </c>
      <c r="R147" s="51">
        <f t="shared" si="136"/>
        <v>0</v>
      </c>
      <c r="S147" s="51">
        <f t="shared" ref="S147:AD147" si="137">S148+S154+S160</f>
        <v>0</v>
      </c>
      <c r="T147" s="51">
        <f t="shared" si="137"/>
        <v>0</v>
      </c>
      <c r="U147" s="51">
        <f t="shared" si="137"/>
        <v>0</v>
      </c>
      <c r="V147" s="51">
        <f t="shared" si="137"/>
        <v>0</v>
      </c>
      <c r="W147" s="51">
        <f t="shared" si="137"/>
        <v>0</v>
      </c>
      <c r="X147" s="51">
        <f t="shared" si="137"/>
        <v>0</v>
      </c>
      <c r="Y147" s="51">
        <f t="shared" si="137"/>
        <v>0</v>
      </c>
      <c r="Z147" s="51">
        <f t="shared" si="137"/>
        <v>0</v>
      </c>
      <c r="AA147" s="51">
        <f t="shared" si="137"/>
        <v>0</v>
      </c>
      <c r="AB147" s="51">
        <f t="shared" si="137"/>
        <v>0</v>
      </c>
      <c r="AC147" s="51">
        <f t="shared" si="137"/>
        <v>0</v>
      </c>
      <c r="AD147" s="51">
        <f t="shared" si="137"/>
        <v>0</v>
      </c>
      <c r="AE147" s="78">
        <f t="shared" si="81"/>
        <v>0</v>
      </c>
    </row>
    <row r="148" spans="1:31" ht="18" hidden="1" customHeight="1" x14ac:dyDescent="0.2">
      <c r="A148" s="81" t="s">
        <v>281</v>
      </c>
      <c r="B148" s="32"/>
      <c r="C148" s="33"/>
      <c r="D148" s="745"/>
      <c r="E148" s="34"/>
      <c r="F148" s="52"/>
      <c r="G148" s="52">
        <f>SUM(G149:G153)</f>
        <v>0</v>
      </c>
      <c r="H148" s="52">
        <f t="shared" ref="H148" si="138">SUM(H149:H153)</f>
        <v>0</v>
      </c>
      <c r="I148" s="52">
        <f>SUM(I149:I153)</f>
        <v>0</v>
      </c>
      <c r="J148" s="52">
        <f t="shared" ref="J148" si="139">SUM(J149:J153)</f>
        <v>0</v>
      </c>
      <c r="K148" s="52">
        <f t="shared" ref="K148" si="140">SUM(K149:K153)</f>
        <v>0</v>
      </c>
      <c r="L148" s="52">
        <f t="shared" ref="L148" si="141">SUM(L149:L153)</f>
        <v>0</v>
      </c>
      <c r="M148" s="52">
        <f t="shared" ref="M148" si="142">SUM(M149:M153)</f>
        <v>0</v>
      </c>
      <c r="N148" s="52">
        <f t="shared" ref="N148" si="143">SUM(N149:N153)</f>
        <v>0</v>
      </c>
      <c r="O148" s="52">
        <f t="shared" ref="O148" si="144">SUM(O149:O153)</f>
        <v>0</v>
      </c>
      <c r="P148" s="52">
        <f t="shared" ref="P148" si="145">SUM(P149:P153)</f>
        <v>0</v>
      </c>
      <c r="Q148" s="52">
        <f t="shared" ref="Q148:AD148" si="146">SUM(Q149:Q153)</f>
        <v>0</v>
      </c>
      <c r="R148" s="52">
        <f t="shared" si="146"/>
        <v>0</v>
      </c>
      <c r="S148" s="52">
        <f t="shared" si="146"/>
        <v>0</v>
      </c>
      <c r="T148" s="52">
        <f t="shared" si="146"/>
        <v>0</v>
      </c>
      <c r="U148" s="52">
        <f t="shared" si="146"/>
        <v>0</v>
      </c>
      <c r="V148" s="52">
        <f t="shared" si="146"/>
        <v>0</v>
      </c>
      <c r="W148" s="52">
        <f t="shared" si="146"/>
        <v>0</v>
      </c>
      <c r="X148" s="52">
        <f t="shared" si="146"/>
        <v>0</v>
      </c>
      <c r="Y148" s="52">
        <f t="shared" si="146"/>
        <v>0</v>
      </c>
      <c r="Z148" s="52">
        <f t="shared" si="146"/>
        <v>0</v>
      </c>
      <c r="AA148" s="52">
        <f t="shared" si="146"/>
        <v>0</v>
      </c>
      <c r="AB148" s="52">
        <f t="shared" si="146"/>
        <v>0</v>
      </c>
      <c r="AC148" s="52">
        <f t="shared" si="146"/>
        <v>0</v>
      </c>
      <c r="AD148" s="52">
        <f t="shared" si="146"/>
        <v>0</v>
      </c>
      <c r="AE148" s="78">
        <f t="shared" si="81"/>
        <v>0</v>
      </c>
    </row>
    <row r="149" spans="1:31" ht="18" hidden="1" customHeight="1" x14ac:dyDescent="0.2">
      <c r="A149" s="82" t="s">
        <v>282</v>
      </c>
      <c r="B149" s="48"/>
      <c r="C149" s="598"/>
      <c r="D149" s="743">
        <f>C149*$C$148*$C$147</f>
        <v>0</v>
      </c>
      <c r="E149" s="599"/>
      <c r="F149" s="602"/>
      <c r="G149" s="602"/>
      <c r="H149" s="602"/>
      <c r="I149" s="602"/>
      <c r="J149" s="602"/>
      <c r="K149" s="602"/>
      <c r="L149" s="602"/>
      <c r="M149" s="602"/>
      <c r="N149" s="602"/>
      <c r="O149" s="602"/>
      <c r="P149" s="602"/>
      <c r="Q149" s="602"/>
      <c r="R149" s="602"/>
      <c r="S149" s="602"/>
      <c r="T149" s="602"/>
      <c r="U149" s="602"/>
      <c r="V149" s="602"/>
      <c r="W149" s="602"/>
      <c r="X149" s="602"/>
      <c r="Y149" s="602"/>
      <c r="Z149" s="602"/>
      <c r="AA149" s="602"/>
      <c r="AB149" s="602"/>
      <c r="AC149" s="602"/>
      <c r="AD149" s="602"/>
      <c r="AE149" s="78">
        <f t="shared" si="81"/>
        <v>0</v>
      </c>
    </row>
    <row r="150" spans="1:31" ht="18" hidden="1" customHeight="1" x14ac:dyDescent="0.2">
      <c r="A150" s="82" t="s">
        <v>283</v>
      </c>
      <c r="B150" s="48"/>
      <c r="C150" s="598"/>
      <c r="D150" s="743">
        <f t="shared" ref="D150:D153" si="147">C150*$C$148*$C$147</f>
        <v>0</v>
      </c>
      <c r="E150" s="599"/>
      <c r="F150" s="602"/>
      <c r="G150" s="602"/>
      <c r="H150" s="602"/>
      <c r="I150" s="602"/>
      <c r="J150" s="602"/>
      <c r="K150" s="602"/>
      <c r="L150" s="602"/>
      <c r="M150" s="602"/>
      <c r="N150" s="602"/>
      <c r="O150" s="602"/>
      <c r="P150" s="602"/>
      <c r="Q150" s="602"/>
      <c r="R150" s="602"/>
      <c r="S150" s="602"/>
      <c r="T150" s="602"/>
      <c r="U150" s="602"/>
      <c r="V150" s="602"/>
      <c r="W150" s="602"/>
      <c r="X150" s="602"/>
      <c r="Y150" s="602"/>
      <c r="Z150" s="602"/>
      <c r="AA150" s="602"/>
      <c r="AB150" s="602"/>
      <c r="AC150" s="602"/>
      <c r="AD150" s="602"/>
      <c r="AE150" s="78">
        <f t="shared" si="81"/>
        <v>0</v>
      </c>
    </row>
    <row r="151" spans="1:31" ht="18" hidden="1" customHeight="1" x14ac:dyDescent="0.2">
      <c r="A151" s="82" t="s">
        <v>284</v>
      </c>
      <c r="B151" s="48"/>
      <c r="C151" s="598"/>
      <c r="D151" s="743">
        <f t="shared" si="147"/>
        <v>0</v>
      </c>
      <c r="E151" s="599"/>
      <c r="F151" s="602"/>
      <c r="G151" s="602"/>
      <c r="H151" s="602"/>
      <c r="I151" s="602"/>
      <c r="J151" s="602"/>
      <c r="K151" s="602"/>
      <c r="L151" s="602"/>
      <c r="M151" s="602"/>
      <c r="N151" s="602"/>
      <c r="O151" s="602"/>
      <c r="P151" s="602"/>
      <c r="Q151" s="602"/>
      <c r="R151" s="602"/>
      <c r="S151" s="602"/>
      <c r="T151" s="602"/>
      <c r="U151" s="602"/>
      <c r="V151" s="602"/>
      <c r="W151" s="602"/>
      <c r="X151" s="602"/>
      <c r="Y151" s="602"/>
      <c r="Z151" s="602"/>
      <c r="AA151" s="602"/>
      <c r="AB151" s="602"/>
      <c r="AC151" s="602"/>
      <c r="AD151" s="602"/>
      <c r="AE151" s="78">
        <f t="shared" ref="AE151:AE177" si="148">F151-SUM(G151:AD151)</f>
        <v>0</v>
      </c>
    </row>
    <row r="152" spans="1:31" ht="18" hidden="1" customHeight="1" x14ac:dyDescent="0.2">
      <c r="A152" s="82" t="s">
        <v>285</v>
      </c>
      <c r="B152" s="48"/>
      <c r="C152" s="598"/>
      <c r="D152" s="743">
        <f t="shared" si="147"/>
        <v>0</v>
      </c>
      <c r="E152" s="599"/>
      <c r="F152" s="602"/>
      <c r="G152" s="602"/>
      <c r="H152" s="602"/>
      <c r="I152" s="602"/>
      <c r="J152" s="602"/>
      <c r="K152" s="602"/>
      <c r="L152" s="602"/>
      <c r="M152" s="602"/>
      <c r="N152" s="602"/>
      <c r="O152" s="602"/>
      <c r="P152" s="602"/>
      <c r="Q152" s="602"/>
      <c r="R152" s="602"/>
      <c r="S152" s="602"/>
      <c r="T152" s="602"/>
      <c r="U152" s="602"/>
      <c r="V152" s="602"/>
      <c r="W152" s="602"/>
      <c r="X152" s="602"/>
      <c r="Y152" s="602"/>
      <c r="Z152" s="602"/>
      <c r="AA152" s="602"/>
      <c r="AB152" s="602"/>
      <c r="AC152" s="602"/>
      <c r="AD152" s="602"/>
      <c r="AE152" s="78">
        <f t="shared" si="148"/>
        <v>0</v>
      </c>
    </row>
    <row r="153" spans="1:31" ht="18" hidden="1" customHeight="1" x14ac:dyDescent="0.2">
      <c r="A153" s="82" t="s">
        <v>286</v>
      </c>
      <c r="B153" s="48"/>
      <c r="C153" s="598"/>
      <c r="D153" s="743">
        <f t="shared" si="147"/>
        <v>0</v>
      </c>
      <c r="E153" s="599"/>
      <c r="F153" s="602"/>
      <c r="G153" s="602"/>
      <c r="H153" s="602"/>
      <c r="I153" s="602"/>
      <c r="J153" s="602"/>
      <c r="K153" s="602"/>
      <c r="L153" s="602"/>
      <c r="M153" s="602"/>
      <c r="N153" s="602"/>
      <c r="O153" s="602"/>
      <c r="P153" s="602"/>
      <c r="Q153" s="602"/>
      <c r="R153" s="602"/>
      <c r="S153" s="602"/>
      <c r="T153" s="602"/>
      <c r="U153" s="602"/>
      <c r="V153" s="602"/>
      <c r="W153" s="602"/>
      <c r="X153" s="602"/>
      <c r="Y153" s="602"/>
      <c r="Z153" s="602"/>
      <c r="AA153" s="602"/>
      <c r="AB153" s="602"/>
      <c r="AC153" s="602"/>
      <c r="AD153" s="602"/>
      <c r="AE153" s="78">
        <f t="shared" si="148"/>
        <v>0</v>
      </c>
    </row>
    <row r="154" spans="1:31" ht="18" hidden="1" customHeight="1" x14ac:dyDescent="0.2">
      <c r="A154" s="81" t="s">
        <v>287</v>
      </c>
      <c r="B154" s="32"/>
      <c r="C154" s="33"/>
      <c r="D154" s="745"/>
      <c r="E154" s="34"/>
      <c r="F154" s="52"/>
      <c r="G154" s="52">
        <f>SUM(G155:G159)</f>
        <v>0</v>
      </c>
      <c r="H154" s="52">
        <f t="shared" ref="H154" si="149">SUM(H155:H159)</f>
        <v>0</v>
      </c>
      <c r="I154" s="52">
        <f t="shared" ref="I154" si="150">SUM(I155:I159)</f>
        <v>0</v>
      </c>
      <c r="J154" s="52">
        <f>SUM(J155:J159)</f>
        <v>0</v>
      </c>
      <c r="K154" s="52">
        <f t="shared" ref="K154" si="151">SUM(K155:K159)</f>
        <v>0</v>
      </c>
      <c r="L154" s="52">
        <f t="shared" ref="L154" si="152">SUM(L155:L159)</f>
        <v>0</v>
      </c>
      <c r="M154" s="52">
        <f t="shared" ref="M154" si="153">SUM(M155:M159)</f>
        <v>0</v>
      </c>
      <c r="N154" s="52">
        <f t="shared" ref="N154" si="154">SUM(N155:N159)</f>
        <v>0</v>
      </c>
      <c r="O154" s="52">
        <f t="shared" ref="O154" si="155">SUM(O155:O159)</f>
        <v>0</v>
      </c>
      <c r="P154" s="52">
        <f t="shared" ref="P154" si="156">SUM(P155:P159)</f>
        <v>0</v>
      </c>
      <c r="Q154" s="52">
        <f t="shared" ref="Q154:AD154" si="157">SUM(Q155:Q159)</f>
        <v>0</v>
      </c>
      <c r="R154" s="52">
        <f t="shared" si="157"/>
        <v>0</v>
      </c>
      <c r="S154" s="52">
        <f t="shared" si="157"/>
        <v>0</v>
      </c>
      <c r="T154" s="52">
        <f t="shared" si="157"/>
        <v>0</v>
      </c>
      <c r="U154" s="52">
        <f t="shared" si="157"/>
        <v>0</v>
      </c>
      <c r="V154" s="52">
        <f t="shared" si="157"/>
        <v>0</v>
      </c>
      <c r="W154" s="52">
        <f t="shared" si="157"/>
        <v>0</v>
      </c>
      <c r="X154" s="52">
        <f t="shared" si="157"/>
        <v>0</v>
      </c>
      <c r="Y154" s="52">
        <f t="shared" si="157"/>
        <v>0</v>
      </c>
      <c r="Z154" s="52">
        <f t="shared" si="157"/>
        <v>0</v>
      </c>
      <c r="AA154" s="52">
        <f t="shared" si="157"/>
        <v>0</v>
      </c>
      <c r="AB154" s="52">
        <f t="shared" si="157"/>
        <v>0</v>
      </c>
      <c r="AC154" s="52">
        <f t="shared" si="157"/>
        <v>0</v>
      </c>
      <c r="AD154" s="52">
        <f t="shared" si="157"/>
        <v>0</v>
      </c>
      <c r="AE154" s="78">
        <f t="shared" si="148"/>
        <v>0</v>
      </c>
    </row>
    <row r="155" spans="1:31" ht="18" hidden="1" customHeight="1" x14ac:dyDescent="0.2">
      <c r="A155" s="82" t="s">
        <v>288</v>
      </c>
      <c r="B155" s="48"/>
      <c r="C155" s="598"/>
      <c r="D155" s="743">
        <f>C155*$C$154*$C$147</f>
        <v>0</v>
      </c>
      <c r="E155" s="599"/>
      <c r="F155" s="602"/>
      <c r="G155" s="602"/>
      <c r="H155" s="602"/>
      <c r="I155" s="602"/>
      <c r="J155" s="602"/>
      <c r="K155" s="602"/>
      <c r="L155" s="602"/>
      <c r="M155" s="602"/>
      <c r="N155" s="602"/>
      <c r="O155" s="602"/>
      <c r="P155" s="602"/>
      <c r="Q155" s="602"/>
      <c r="R155" s="602"/>
      <c r="S155" s="602"/>
      <c r="T155" s="602"/>
      <c r="U155" s="602"/>
      <c r="V155" s="602"/>
      <c r="W155" s="602"/>
      <c r="X155" s="602"/>
      <c r="Y155" s="602"/>
      <c r="Z155" s="602"/>
      <c r="AA155" s="602"/>
      <c r="AB155" s="602"/>
      <c r="AC155" s="602"/>
      <c r="AD155" s="602"/>
      <c r="AE155" s="78">
        <f t="shared" si="148"/>
        <v>0</v>
      </c>
    </row>
    <row r="156" spans="1:31" ht="18" hidden="1" customHeight="1" x14ac:dyDescent="0.2">
      <c r="A156" s="82" t="s">
        <v>289</v>
      </c>
      <c r="B156" s="48"/>
      <c r="C156" s="598"/>
      <c r="D156" s="743">
        <f>C156*$C$154*$C$147</f>
        <v>0</v>
      </c>
      <c r="E156" s="599"/>
      <c r="F156" s="602"/>
      <c r="G156" s="602"/>
      <c r="H156" s="602"/>
      <c r="I156" s="602"/>
      <c r="J156" s="602"/>
      <c r="K156" s="602"/>
      <c r="L156" s="602"/>
      <c r="M156" s="602"/>
      <c r="N156" s="602"/>
      <c r="O156" s="602"/>
      <c r="P156" s="602"/>
      <c r="Q156" s="602"/>
      <c r="R156" s="602"/>
      <c r="S156" s="602"/>
      <c r="T156" s="602"/>
      <c r="U156" s="602"/>
      <c r="V156" s="602"/>
      <c r="W156" s="602"/>
      <c r="X156" s="602"/>
      <c r="Y156" s="602"/>
      <c r="Z156" s="602"/>
      <c r="AA156" s="602"/>
      <c r="AB156" s="602"/>
      <c r="AC156" s="602"/>
      <c r="AD156" s="602"/>
      <c r="AE156" s="78">
        <f t="shared" si="148"/>
        <v>0</v>
      </c>
    </row>
    <row r="157" spans="1:31" ht="18" hidden="1" customHeight="1" x14ac:dyDescent="0.2">
      <c r="A157" s="82" t="s">
        <v>290</v>
      </c>
      <c r="B157" s="48"/>
      <c r="C157" s="598"/>
      <c r="D157" s="743">
        <f>C157*$C$154*$C$147</f>
        <v>0</v>
      </c>
      <c r="E157" s="599"/>
      <c r="F157" s="602"/>
      <c r="G157" s="602"/>
      <c r="H157" s="602"/>
      <c r="I157" s="602"/>
      <c r="J157" s="602"/>
      <c r="K157" s="602"/>
      <c r="L157" s="602"/>
      <c r="M157" s="602"/>
      <c r="N157" s="602"/>
      <c r="O157" s="602"/>
      <c r="P157" s="602"/>
      <c r="Q157" s="602"/>
      <c r="R157" s="602"/>
      <c r="S157" s="602"/>
      <c r="T157" s="602"/>
      <c r="U157" s="602"/>
      <c r="V157" s="602"/>
      <c r="W157" s="602"/>
      <c r="X157" s="602"/>
      <c r="Y157" s="602"/>
      <c r="Z157" s="602"/>
      <c r="AA157" s="602"/>
      <c r="AB157" s="602"/>
      <c r="AC157" s="602"/>
      <c r="AD157" s="602"/>
      <c r="AE157" s="78">
        <f t="shared" si="148"/>
        <v>0</v>
      </c>
    </row>
    <row r="158" spans="1:31" ht="18" hidden="1" customHeight="1" x14ac:dyDescent="0.2">
      <c r="A158" s="82" t="s">
        <v>291</v>
      </c>
      <c r="B158" s="48"/>
      <c r="C158" s="598"/>
      <c r="D158" s="743">
        <f>C158*$C$154*$C$147</f>
        <v>0</v>
      </c>
      <c r="E158" s="599"/>
      <c r="F158" s="602"/>
      <c r="G158" s="602"/>
      <c r="H158" s="602"/>
      <c r="I158" s="602"/>
      <c r="J158" s="602"/>
      <c r="K158" s="602"/>
      <c r="L158" s="602"/>
      <c r="M158" s="602"/>
      <c r="N158" s="602"/>
      <c r="O158" s="602"/>
      <c r="P158" s="602"/>
      <c r="Q158" s="602"/>
      <c r="R158" s="602"/>
      <c r="S158" s="602"/>
      <c r="T158" s="602"/>
      <c r="U158" s="602"/>
      <c r="V158" s="602"/>
      <c r="W158" s="602"/>
      <c r="X158" s="602"/>
      <c r="Y158" s="602"/>
      <c r="Z158" s="602"/>
      <c r="AA158" s="602"/>
      <c r="AB158" s="602"/>
      <c r="AC158" s="602"/>
      <c r="AD158" s="602"/>
      <c r="AE158" s="78">
        <f t="shared" si="148"/>
        <v>0</v>
      </c>
    </row>
    <row r="159" spans="1:31" ht="18" hidden="1" customHeight="1" x14ac:dyDescent="0.2">
      <c r="A159" s="82" t="s">
        <v>292</v>
      </c>
      <c r="B159" s="48"/>
      <c r="C159" s="598"/>
      <c r="D159" s="743">
        <f>C159*$C$154*$C$147</f>
        <v>0</v>
      </c>
      <c r="E159" s="599"/>
      <c r="F159" s="602"/>
      <c r="G159" s="602"/>
      <c r="H159" s="602"/>
      <c r="I159" s="602"/>
      <c r="J159" s="602"/>
      <c r="K159" s="602"/>
      <c r="L159" s="602"/>
      <c r="M159" s="602"/>
      <c r="N159" s="602"/>
      <c r="O159" s="602"/>
      <c r="P159" s="602"/>
      <c r="Q159" s="602"/>
      <c r="R159" s="602"/>
      <c r="S159" s="602"/>
      <c r="T159" s="602"/>
      <c r="U159" s="602"/>
      <c r="V159" s="602"/>
      <c r="W159" s="602"/>
      <c r="X159" s="602"/>
      <c r="Y159" s="602"/>
      <c r="Z159" s="602"/>
      <c r="AA159" s="602"/>
      <c r="AB159" s="602"/>
      <c r="AC159" s="602"/>
      <c r="AD159" s="602"/>
      <c r="AE159" s="78">
        <f t="shared" si="148"/>
        <v>0</v>
      </c>
    </row>
    <row r="160" spans="1:31" ht="18" hidden="1" customHeight="1" x14ac:dyDescent="0.2">
      <c r="A160" s="81" t="s">
        <v>293</v>
      </c>
      <c r="B160" s="32"/>
      <c r="C160" s="33"/>
      <c r="D160" s="745"/>
      <c r="E160" s="34"/>
      <c r="F160" s="52"/>
      <c r="G160" s="52">
        <f>SUM(G161:G165)</f>
        <v>0</v>
      </c>
      <c r="H160" s="52">
        <f t="shared" ref="H160" si="158">SUM(H161:H165)</f>
        <v>0</v>
      </c>
      <c r="I160" s="52">
        <f t="shared" ref="I160" si="159">SUM(I161:I165)</f>
        <v>0</v>
      </c>
      <c r="J160" s="52">
        <f>SUM(J161:J165)</f>
        <v>0</v>
      </c>
      <c r="K160" s="52">
        <f t="shared" ref="K160" si="160">SUM(K161:K165)</f>
        <v>0</v>
      </c>
      <c r="L160" s="52">
        <f t="shared" ref="L160" si="161">SUM(L161:L165)</f>
        <v>0</v>
      </c>
      <c r="M160" s="52">
        <f t="shared" ref="M160" si="162">SUM(M161:M165)</f>
        <v>0</v>
      </c>
      <c r="N160" s="52">
        <f t="shared" ref="N160" si="163">SUM(N161:N165)</f>
        <v>0</v>
      </c>
      <c r="O160" s="52">
        <f t="shared" ref="O160" si="164">SUM(O161:O165)</f>
        <v>0</v>
      </c>
      <c r="P160" s="52">
        <f t="shared" ref="P160" si="165">SUM(P161:P165)</f>
        <v>0</v>
      </c>
      <c r="Q160" s="52">
        <f t="shared" ref="Q160:AD160" si="166">SUM(Q161:Q165)</f>
        <v>0</v>
      </c>
      <c r="R160" s="52">
        <f t="shared" si="166"/>
        <v>0</v>
      </c>
      <c r="S160" s="52">
        <f t="shared" si="166"/>
        <v>0</v>
      </c>
      <c r="T160" s="52">
        <f t="shared" si="166"/>
        <v>0</v>
      </c>
      <c r="U160" s="52">
        <f t="shared" si="166"/>
        <v>0</v>
      </c>
      <c r="V160" s="52">
        <f t="shared" si="166"/>
        <v>0</v>
      </c>
      <c r="W160" s="52">
        <f t="shared" si="166"/>
        <v>0</v>
      </c>
      <c r="X160" s="52">
        <f t="shared" si="166"/>
        <v>0</v>
      </c>
      <c r="Y160" s="52">
        <f t="shared" si="166"/>
        <v>0</v>
      </c>
      <c r="Z160" s="52">
        <f t="shared" si="166"/>
        <v>0</v>
      </c>
      <c r="AA160" s="52">
        <f t="shared" si="166"/>
        <v>0</v>
      </c>
      <c r="AB160" s="52">
        <f t="shared" si="166"/>
        <v>0</v>
      </c>
      <c r="AC160" s="52">
        <f t="shared" si="166"/>
        <v>0</v>
      </c>
      <c r="AD160" s="52">
        <f t="shared" si="166"/>
        <v>0</v>
      </c>
      <c r="AE160" s="78">
        <f t="shared" si="148"/>
        <v>0</v>
      </c>
    </row>
    <row r="161" spans="1:31" ht="18" hidden="1" customHeight="1" x14ac:dyDescent="0.2">
      <c r="A161" s="82" t="s">
        <v>294</v>
      </c>
      <c r="B161" s="48"/>
      <c r="C161" s="598"/>
      <c r="D161" s="743">
        <f>C161*$C$160*$C$147</f>
        <v>0</v>
      </c>
      <c r="E161" s="599"/>
      <c r="F161" s="602"/>
      <c r="G161" s="602"/>
      <c r="H161" s="602"/>
      <c r="I161" s="602"/>
      <c r="J161" s="602"/>
      <c r="K161" s="602"/>
      <c r="L161" s="602"/>
      <c r="M161" s="602"/>
      <c r="N161" s="602"/>
      <c r="O161" s="602"/>
      <c r="P161" s="602"/>
      <c r="Q161" s="602"/>
      <c r="R161" s="602"/>
      <c r="S161" s="602"/>
      <c r="T161" s="602"/>
      <c r="U161" s="602"/>
      <c r="V161" s="602"/>
      <c r="W161" s="602"/>
      <c r="X161" s="602"/>
      <c r="Y161" s="602"/>
      <c r="Z161" s="602"/>
      <c r="AA161" s="602"/>
      <c r="AB161" s="602"/>
      <c r="AC161" s="602"/>
      <c r="AD161" s="602"/>
      <c r="AE161" s="78">
        <f t="shared" si="148"/>
        <v>0</v>
      </c>
    </row>
    <row r="162" spans="1:31" ht="18" hidden="1" customHeight="1" x14ac:dyDescent="0.2">
      <c r="A162" s="82" t="s">
        <v>295</v>
      </c>
      <c r="B162" s="48"/>
      <c r="C162" s="598"/>
      <c r="D162" s="743">
        <f>C162*$C$160*$C$147</f>
        <v>0</v>
      </c>
      <c r="E162" s="599"/>
      <c r="F162" s="602"/>
      <c r="G162" s="602"/>
      <c r="H162" s="602"/>
      <c r="I162" s="602"/>
      <c r="J162" s="602"/>
      <c r="K162" s="602"/>
      <c r="L162" s="602"/>
      <c r="M162" s="602"/>
      <c r="N162" s="602"/>
      <c r="O162" s="602"/>
      <c r="P162" s="602"/>
      <c r="Q162" s="602"/>
      <c r="R162" s="602"/>
      <c r="S162" s="602"/>
      <c r="T162" s="602"/>
      <c r="U162" s="602"/>
      <c r="V162" s="602"/>
      <c r="W162" s="602"/>
      <c r="X162" s="602"/>
      <c r="Y162" s="602"/>
      <c r="Z162" s="602"/>
      <c r="AA162" s="602"/>
      <c r="AB162" s="602"/>
      <c r="AC162" s="602"/>
      <c r="AD162" s="602"/>
      <c r="AE162" s="78">
        <f t="shared" si="148"/>
        <v>0</v>
      </c>
    </row>
    <row r="163" spans="1:31" ht="18" hidden="1" customHeight="1" x14ac:dyDescent="0.2">
      <c r="A163" s="82" t="s">
        <v>296</v>
      </c>
      <c r="B163" s="48"/>
      <c r="C163" s="598"/>
      <c r="D163" s="743">
        <f>C163*$C$160*$C$147</f>
        <v>0</v>
      </c>
      <c r="E163" s="599"/>
      <c r="F163" s="602"/>
      <c r="G163" s="602"/>
      <c r="H163" s="602"/>
      <c r="I163" s="602"/>
      <c r="J163" s="602"/>
      <c r="K163" s="602"/>
      <c r="L163" s="602"/>
      <c r="M163" s="602"/>
      <c r="N163" s="602"/>
      <c r="O163" s="602"/>
      <c r="P163" s="602"/>
      <c r="Q163" s="602"/>
      <c r="R163" s="602"/>
      <c r="S163" s="602"/>
      <c r="T163" s="602"/>
      <c r="U163" s="602"/>
      <c r="V163" s="602"/>
      <c r="W163" s="602"/>
      <c r="X163" s="602"/>
      <c r="Y163" s="602"/>
      <c r="Z163" s="602"/>
      <c r="AA163" s="602"/>
      <c r="AB163" s="602"/>
      <c r="AC163" s="602"/>
      <c r="AD163" s="602"/>
      <c r="AE163" s="78">
        <f t="shared" si="148"/>
        <v>0</v>
      </c>
    </row>
    <row r="164" spans="1:31" ht="18" hidden="1" customHeight="1" x14ac:dyDescent="0.2">
      <c r="A164" s="82" t="s">
        <v>297</v>
      </c>
      <c r="B164" s="48"/>
      <c r="C164" s="598"/>
      <c r="D164" s="743">
        <f>C164*$C$160*$C$147</f>
        <v>0</v>
      </c>
      <c r="E164" s="599"/>
      <c r="F164" s="602"/>
      <c r="G164" s="602"/>
      <c r="H164" s="602"/>
      <c r="I164" s="602"/>
      <c r="J164" s="602"/>
      <c r="K164" s="602"/>
      <c r="L164" s="602"/>
      <c r="M164" s="602"/>
      <c r="N164" s="602"/>
      <c r="O164" s="602"/>
      <c r="P164" s="602"/>
      <c r="Q164" s="602"/>
      <c r="R164" s="602"/>
      <c r="S164" s="602"/>
      <c r="T164" s="602"/>
      <c r="U164" s="602"/>
      <c r="V164" s="602"/>
      <c r="W164" s="602"/>
      <c r="X164" s="602"/>
      <c r="Y164" s="602"/>
      <c r="Z164" s="602"/>
      <c r="AA164" s="602"/>
      <c r="AB164" s="602"/>
      <c r="AC164" s="602"/>
      <c r="AD164" s="602"/>
      <c r="AE164" s="78">
        <f t="shared" si="148"/>
        <v>0</v>
      </c>
    </row>
    <row r="165" spans="1:31" ht="18" hidden="1" customHeight="1" x14ac:dyDescent="0.2">
      <c r="A165" s="82" t="s">
        <v>298</v>
      </c>
      <c r="B165" s="48"/>
      <c r="C165" s="598"/>
      <c r="D165" s="743">
        <f>C165*$C$160*$C$147</f>
        <v>0</v>
      </c>
      <c r="E165" s="599"/>
      <c r="F165" s="602"/>
      <c r="G165" s="602"/>
      <c r="H165" s="602"/>
      <c r="I165" s="602"/>
      <c r="J165" s="602"/>
      <c r="K165" s="602"/>
      <c r="L165" s="602"/>
      <c r="M165" s="602"/>
      <c r="N165" s="602"/>
      <c r="O165" s="602"/>
      <c r="P165" s="602"/>
      <c r="Q165" s="602"/>
      <c r="R165" s="602"/>
      <c r="S165" s="602"/>
      <c r="T165" s="602"/>
      <c r="U165" s="602"/>
      <c r="V165" s="602"/>
      <c r="W165" s="602"/>
      <c r="X165" s="602"/>
      <c r="Y165" s="602"/>
      <c r="Z165" s="602"/>
      <c r="AA165" s="602"/>
      <c r="AB165" s="602"/>
      <c r="AC165" s="602"/>
      <c r="AD165" s="602"/>
      <c r="AE165" s="78">
        <f t="shared" si="148"/>
        <v>0</v>
      </c>
    </row>
    <row r="166" spans="1:31" ht="18" hidden="1" customHeight="1" x14ac:dyDescent="0.2">
      <c r="A166" s="81" t="s">
        <v>299</v>
      </c>
      <c r="B166" s="32"/>
      <c r="C166" s="33"/>
      <c r="D166" s="745"/>
      <c r="E166" s="34"/>
      <c r="F166" s="52"/>
      <c r="G166" s="52">
        <f>SUM(G167:G171)</f>
        <v>0</v>
      </c>
      <c r="H166" s="52">
        <f>SUM(H167:H171)</f>
        <v>0</v>
      </c>
      <c r="I166" s="52">
        <f t="shared" ref="I166" si="167">SUM(I167:I171)</f>
        <v>0</v>
      </c>
      <c r="J166" s="52">
        <f>SUM(J167:J171)</f>
        <v>0</v>
      </c>
      <c r="K166" s="52">
        <f t="shared" ref="K166:AD166" si="168">SUM(K167:K171)</f>
        <v>0</v>
      </c>
      <c r="L166" s="52">
        <f t="shared" si="168"/>
        <v>0</v>
      </c>
      <c r="M166" s="52">
        <f t="shared" si="168"/>
        <v>0</v>
      </c>
      <c r="N166" s="52">
        <f t="shared" si="168"/>
        <v>0</v>
      </c>
      <c r="O166" s="52">
        <f t="shared" si="168"/>
        <v>0</v>
      </c>
      <c r="P166" s="52">
        <f t="shared" si="168"/>
        <v>0</v>
      </c>
      <c r="Q166" s="52">
        <f t="shared" si="168"/>
        <v>0</v>
      </c>
      <c r="R166" s="52">
        <f t="shared" si="168"/>
        <v>0</v>
      </c>
      <c r="S166" s="52">
        <f t="shared" si="168"/>
        <v>0</v>
      </c>
      <c r="T166" s="52">
        <f t="shared" si="168"/>
        <v>0</v>
      </c>
      <c r="U166" s="52">
        <f t="shared" si="168"/>
        <v>0</v>
      </c>
      <c r="V166" s="52">
        <f t="shared" si="168"/>
        <v>0</v>
      </c>
      <c r="W166" s="52">
        <f t="shared" si="168"/>
        <v>0</v>
      </c>
      <c r="X166" s="52">
        <f t="shared" si="168"/>
        <v>0</v>
      </c>
      <c r="Y166" s="52">
        <f t="shared" si="168"/>
        <v>0</v>
      </c>
      <c r="Z166" s="52">
        <f t="shared" si="168"/>
        <v>0</v>
      </c>
      <c r="AA166" s="52">
        <f t="shared" si="168"/>
        <v>0</v>
      </c>
      <c r="AB166" s="52">
        <f t="shared" si="168"/>
        <v>0</v>
      </c>
      <c r="AC166" s="52">
        <f t="shared" si="168"/>
        <v>0</v>
      </c>
      <c r="AD166" s="52">
        <f t="shared" si="168"/>
        <v>0</v>
      </c>
      <c r="AE166" s="78">
        <f t="shared" si="148"/>
        <v>0</v>
      </c>
    </row>
    <row r="167" spans="1:31" ht="18" hidden="1" customHeight="1" x14ac:dyDescent="0.2">
      <c r="A167" s="82" t="s">
        <v>300</v>
      </c>
      <c r="B167" s="48"/>
      <c r="C167" s="598"/>
      <c r="D167" s="743">
        <f>C167*$C$166*$C$147</f>
        <v>0</v>
      </c>
      <c r="E167" s="599"/>
      <c r="F167" s="602"/>
      <c r="G167" s="602"/>
      <c r="H167" s="602"/>
      <c r="I167" s="602"/>
      <c r="J167" s="602"/>
      <c r="K167" s="602"/>
      <c r="L167" s="602"/>
      <c r="M167" s="602"/>
      <c r="N167" s="602"/>
      <c r="O167" s="602"/>
      <c r="P167" s="602"/>
      <c r="Q167" s="602"/>
      <c r="R167" s="602"/>
      <c r="S167" s="602"/>
      <c r="T167" s="602"/>
      <c r="U167" s="602"/>
      <c r="V167" s="602"/>
      <c r="W167" s="602"/>
      <c r="X167" s="602"/>
      <c r="Y167" s="602"/>
      <c r="Z167" s="602"/>
      <c r="AA167" s="602"/>
      <c r="AB167" s="602"/>
      <c r="AC167" s="602"/>
      <c r="AD167" s="602"/>
      <c r="AE167" s="78">
        <f t="shared" si="148"/>
        <v>0</v>
      </c>
    </row>
    <row r="168" spans="1:31" ht="18" hidden="1" customHeight="1" x14ac:dyDescent="0.2">
      <c r="A168" s="82" t="s">
        <v>301</v>
      </c>
      <c r="B168" s="48"/>
      <c r="C168" s="598"/>
      <c r="D168" s="743">
        <f>C168*$C$166*$C$147</f>
        <v>0</v>
      </c>
      <c r="E168" s="599"/>
      <c r="F168" s="602"/>
      <c r="G168" s="602"/>
      <c r="H168" s="602"/>
      <c r="I168" s="602"/>
      <c r="J168" s="602"/>
      <c r="K168" s="602"/>
      <c r="L168" s="602"/>
      <c r="M168" s="602"/>
      <c r="N168" s="602"/>
      <c r="O168" s="602"/>
      <c r="P168" s="602"/>
      <c r="Q168" s="602"/>
      <c r="R168" s="602"/>
      <c r="S168" s="602"/>
      <c r="T168" s="602"/>
      <c r="U168" s="602"/>
      <c r="V168" s="602"/>
      <c r="W168" s="602"/>
      <c r="X168" s="602"/>
      <c r="Y168" s="602"/>
      <c r="Z168" s="602"/>
      <c r="AA168" s="602"/>
      <c r="AB168" s="602"/>
      <c r="AC168" s="602"/>
      <c r="AD168" s="602"/>
      <c r="AE168" s="78">
        <f t="shared" si="148"/>
        <v>0</v>
      </c>
    </row>
    <row r="169" spans="1:31" ht="18" hidden="1" customHeight="1" x14ac:dyDescent="0.2">
      <c r="A169" s="82" t="s">
        <v>302</v>
      </c>
      <c r="B169" s="48"/>
      <c r="C169" s="598"/>
      <c r="D169" s="743">
        <f>C169*$C$166*$C$147</f>
        <v>0</v>
      </c>
      <c r="E169" s="599"/>
      <c r="F169" s="602"/>
      <c r="G169" s="602"/>
      <c r="H169" s="602"/>
      <c r="I169" s="602"/>
      <c r="J169" s="602"/>
      <c r="K169" s="602"/>
      <c r="L169" s="602"/>
      <c r="M169" s="602"/>
      <c r="N169" s="602"/>
      <c r="O169" s="602"/>
      <c r="P169" s="602"/>
      <c r="Q169" s="602"/>
      <c r="R169" s="602"/>
      <c r="S169" s="602"/>
      <c r="T169" s="602"/>
      <c r="U169" s="602"/>
      <c r="V169" s="602"/>
      <c r="W169" s="602"/>
      <c r="X169" s="602"/>
      <c r="Y169" s="602"/>
      <c r="Z169" s="602"/>
      <c r="AA169" s="602"/>
      <c r="AB169" s="602"/>
      <c r="AC169" s="602"/>
      <c r="AD169" s="602"/>
      <c r="AE169" s="78">
        <f t="shared" si="148"/>
        <v>0</v>
      </c>
    </row>
    <row r="170" spans="1:31" ht="18" hidden="1" customHeight="1" x14ac:dyDescent="0.2">
      <c r="A170" s="82" t="s">
        <v>303</v>
      </c>
      <c r="B170" s="48"/>
      <c r="C170" s="598"/>
      <c r="D170" s="743">
        <f>C170*$C$166*$C$147</f>
        <v>0</v>
      </c>
      <c r="E170" s="599"/>
      <c r="F170" s="602"/>
      <c r="G170" s="602"/>
      <c r="H170" s="602"/>
      <c r="I170" s="602"/>
      <c r="J170" s="602"/>
      <c r="K170" s="602"/>
      <c r="L170" s="602"/>
      <c r="M170" s="602"/>
      <c r="N170" s="602"/>
      <c r="O170" s="602"/>
      <c r="P170" s="602"/>
      <c r="Q170" s="602"/>
      <c r="R170" s="602"/>
      <c r="S170" s="602"/>
      <c r="T170" s="602"/>
      <c r="U170" s="602"/>
      <c r="V170" s="602"/>
      <c r="W170" s="602"/>
      <c r="X170" s="602"/>
      <c r="Y170" s="602"/>
      <c r="Z170" s="602"/>
      <c r="AA170" s="602"/>
      <c r="AB170" s="602"/>
      <c r="AC170" s="602"/>
      <c r="AD170" s="602"/>
      <c r="AE170" s="78">
        <f t="shared" si="148"/>
        <v>0</v>
      </c>
    </row>
    <row r="171" spans="1:31" ht="18" hidden="1" customHeight="1" x14ac:dyDescent="0.2">
      <c r="A171" s="82" t="s">
        <v>304</v>
      </c>
      <c r="B171" s="48"/>
      <c r="C171" s="598"/>
      <c r="D171" s="743">
        <f>C171*$C$166*$C$147</f>
        <v>0</v>
      </c>
      <c r="E171" s="599"/>
      <c r="F171" s="602"/>
      <c r="G171" s="602"/>
      <c r="H171" s="602"/>
      <c r="I171" s="602"/>
      <c r="J171" s="602"/>
      <c r="K171" s="602"/>
      <c r="L171" s="602"/>
      <c r="M171" s="602"/>
      <c r="N171" s="602"/>
      <c r="O171" s="602"/>
      <c r="P171" s="602"/>
      <c r="Q171" s="602"/>
      <c r="R171" s="602"/>
      <c r="S171" s="602"/>
      <c r="T171" s="602"/>
      <c r="U171" s="602"/>
      <c r="V171" s="602"/>
      <c r="W171" s="602"/>
      <c r="X171" s="602"/>
      <c r="Y171" s="602"/>
      <c r="Z171" s="602"/>
      <c r="AA171" s="602"/>
      <c r="AB171" s="602"/>
      <c r="AC171" s="602"/>
      <c r="AD171" s="602"/>
      <c r="AE171" s="78">
        <f t="shared" si="148"/>
        <v>0</v>
      </c>
    </row>
    <row r="172" spans="1:31" ht="18" hidden="1" customHeight="1" x14ac:dyDescent="0.2">
      <c r="A172" s="81" t="s">
        <v>305</v>
      </c>
      <c r="B172" s="32"/>
      <c r="C172" s="33"/>
      <c r="D172" s="745"/>
      <c r="E172" s="34"/>
      <c r="F172" s="52"/>
      <c r="G172" s="52">
        <f>SUM(G173:G177)</f>
        <v>0</v>
      </c>
      <c r="H172" s="52">
        <f>SUM(H173:H177)</f>
        <v>0</v>
      </c>
      <c r="I172" s="52">
        <f t="shared" ref="I172" si="169">SUM(I173:I177)</f>
        <v>0</v>
      </c>
      <c r="J172" s="52">
        <f>SUM(J173:J177)</f>
        <v>0</v>
      </c>
      <c r="K172" s="52">
        <f t="shared" ref="K172:AD172" si="170">SUM(K173:K177)</f>
        <v>0</v>
      </c>
      <c r="L172" s="52">
        <f t="shared" si="170"/>
        <v>0</v>
      </c>
      <c r="M172" s="52">
        <f t="shared" si="170"/>
        <v>0</v>
      </c>
      <c r="N172" s="52">
        <f t="shared" si="170"/>
        <v>0</v>
      </c>
      <c r="O172" s="52">
        <f t="shared" si="170"/>
        <v>0</v>
      </c>
      <c r="P172" s="52">
        <f t="shared" si="170"/>
        <v>0</v>
      </c>
      <c r="Q172" s="52">
        <f t="shared" si="170"/>
        <v>0</v>
      </c>
      <c r="R172" s="52">
        <f t="shared" si="170"/>
        <v>0</v>
      </c>
      <c r="S172" s="52">
        <f t="shared" si="170"/>
        <v>0</v>
      </c>
      <c r="T172" s="52">
        <f t="shared" si="170"/>
        <v>0</v>
      </c>
      <c r="U172" s="52">
        <f t="shared" si="170"/>
        <v>0</v>
      </c>
      <c r="V172" s="52">
        <f t="shared" si="170"/>
        <v>0</v>
      </c>
      <c r="W172" s="52">
        <f t="shared" si="170"/>
        <v>0</v>
      </c>
      <c r="X172" s="52">
        <f t="shared" si="170"/>
        <v>0</v>
      </c>
      <c r="Y172" s="52">
        <f t="shared" si="170"/>
        <v>0</v>
      </c>
      <c r="Z172" s="52">
        <f t="shared" si="170"/>
        <v>0</v>
      </c>
      <c r="AA172" s="52">
        <f t="shared" si="170"/>
        <v>0</v>
      </c>
      <c r="AB172" s="52">
        <f t="shared" si="170"/>
        <v>0</v>
      </c>
      <c r="AC172" s="52">
        <f t="shared" si="170"/>
        <v>0</v>
      </c>
      <c r="AD172" s="52">
        <f t="shared" si="170"/>
        <v>0</v>
      </c>
      <c r="AE172" s="78">
        <f t="shared" si="148"/>
        <v>0</v>
      </c>
    </row>
    <row r="173" spans="1:31" ht="18" hidden="1" customHeight="1" x14ac:dyDescent="0.2">
      <c r="A173" s="82" t="s">
        <v>306</v>
      </c>
      <c r="B173" s="48"/>
      <c r="C173" s="598"/>
      <c r="D173" s="743">
        <f>C173*$C$172*$C$147</f>
        <v>0</v>
      </c>
      <c r="E173" s="599"/>
      <c r="F173" s="602"/>
      <c r="G173" s="602"/>
      <c r="H173" s="602"/>
      <c r="I173" s="602"/>
      <c r="J173" s="602"/>
      <c r="K173" s="602"/>
      <c r="L173" s="602"/>
      <c r="M173" s="602"/>
      <c r="N173" s="602"/>
      <c r="O173" s="602"/>
      <c r="P173" s="602"/>
      <c r="Q173" s="602"/>
      <c r="R173" s="602"/>
      <c r="S173" s="602"/>
      <c r="T173" s="602"/>
      <c r="U173" s="602"/>
      <c r="V173" s="602"/>
      <c r="W173" s="602"/>
      <c r="X173" s="602"/>
      <c r="Y173" s="602"/>
      <c r="Z173" s="602"/>
      <c r="AA173" s="602"/>
      <c r="AB173" s="602"/>
      <c r="AC173" s="602"/>
      <c r="AD173" s="602"/>
      <c r="AE173" s="78">
        <f t="shared" si="148"/>
        <v>0</v>
      </c>
    </row>
    <row r="174" spans="1:31" ht="18" hidden="1" customHeight="1" x14ac:dyDescent="0.2">
      <c r="A174" s="82" t="s">
        <v>307</v>
      </c>
      <c r="B174" s="48"/>
      <c r="C174" s="598"/>
      <c r="D174" s="743">
        <f>C174*$C$172*$C$147</f>
        <v>0</v>
      </c>
      <c r="E174" s="599"/>
      <c r="F174" s="602"/>
      <c r="G174" s="602"/>
      <c r="H174" s="602"/>
      <c r="I174" s="602"/>
      <c r="J174" s="602"/>
      <c r="K174" s="602"/>
      <c r="L174" s="602"/>
      <c r="M174" s="602"/>
      <c r="N174" s="602"/>
      <c r="O174" s="602"/>
      <c r="P174" s="602"/>
      <c r="Q174" s="602"/>
      <c r="R174" s="602"/>
      <c r="S174" s="602"/>
      <c r="T174" s="602"/>
      <c r="U174" s="602"/>
      <c r="V174" s="602"/>
      <c r="W174" s="602"/>
      <c r="X174" s="602"/>
      <c r="Y174" s="602"/>
      <c r="Z174" s="602"/>
      <c r="AA174" s="602"/>
      <c r="AB174" s="602"/>
      <c r="AC174" s="602"/>
      <c r="AD174" s="602"/>
      <c r="AE174" s="78">
        <f t="shared" si="148"/>
        <v>0</v>
      </c>
    </row>
    <row r="175" spans="1:31" ht="18" hidden="1" customHeight="1" x14ac:dyDescent="0.2">
      <c r="A175" s="82" t="s">
        <v>308</v>
      </c>
      <c r="B175" s="48"/>
      <c r="C175" s="598"/>
      <c r="D175" s="743">
        <f>C175*$C$172*$C$147</f>
        <v>0</v>
      </c>
      <c r="E175" s="599"/>
      <c r="F175" s="602"/>
      <c r="G175" s="602"/>
      <c r="H175" s="602"/>
      <c r="I175" s="602"/>
      <c r="J175" s="602"/>
      <c r="K175" s="602"/>
      <c r="L175" s="602"/>
      <c r="M175" s="602"/>
      <c r="N175" s="602"/>
      <c r="O175" s="602"/>
      <c r="P175" s="602"/>
      <c r="Q175" s="602"/>
      <c r="R175" s="602"/>
      <c r="S175" s="602"/>
      <c r="T175" s="602"/>
      <c r="U175" s="602"/>
      <c r="V175" s="602"/>
      <c r="W175" s="602"/>
      <c r="X175" s="602"/>
      <c r="Y175" s="602"/>
      <c r="Z175" s="602"/>
      <c r="AA175" s="602"/>
      <c r="AB175" s="602"/>
      <c r="AC175" s="602"/>
      <c r="AD175" s="602"/>
      <c r="AE175" s="78">
        <f t="shared" si="148"/>
        <v>0</v>
      </c>
    </row>
    <row r="176" spans="1:31" ht="18" hidden="1" customHeight="1" x14ac:dyDescent="0.2">
      <c r="A176" s="82" t="s">
        <v>309</v>
      </c>
      <c r="B176" s="48"/>
      <c r="C176" s="598"/>
      <c r="D176" s="743">
        <f>C176*$C$172*$C$147</f>
        <v>0</v>
      </c>
      <c r="E176" s="599"/>
      <c r="F176" s="602"/>
      <c r="G176" s="602"/>
      <c r="H176" s="602"/>
      <c r="I176" s="602"/>
      <c r="J176" s="602"/>
      <c r="K176" s="602"/>
      <c r="L176" s="602"/>
      <c r="M176" s="602"/>
      <c r="N176" s="602"/>
      <c r="O176" s="602"/>
      <c r="P176" s="602"/>
      <c r="Q176" s="602"/>
      <c r="R176" s="602"/>
      <c r="S176" s="602"/>
      <c r="T176" s="602"/>
      <c r="U176" s="602"/>
      <c r="V176" s="602"/>
      <c r="W176" s="602"/>
      <c r="X176" s="602"/>
      <c r="Y176" s="602"/>
      <c r="Z176" s="602"/>
      <c r="AA176" s="602"/>
      <c r="AB176" s="602"/>
      <c r="AC176" s="602"/>
      <c r="AD176" s="602"/>
      <c r="AE176" s="78">
        <f t="shared" si="148"/>
        <v>0</v>
      </c>
    </row>
    <row r="177" spans="1:31" ht="18" hidden="1" customHeight="1" x14ac:dyDescent="0.2">
      <c r="A177" s="82" t="s">
        <v>310</v>
      </c>
      <c r="B177" s="48"/>
      <c r="C177" s="598"/>
      <c r="D177" s="743">
        <f>C177*$C$172*$C$147</f>
        <v>0</v>
      </c>
      <c r="E177" s="599"/>
      <c r="F177" s="602"/>
      <c r="G177" s="602"/>
      <c r="H177" s="602"/>
      <c r="I177" s="602"/>
      <c r="J177" s="602"/>
      <c r="K177" s="602"/>
      <c r="L177" s="602"/>
      <c r="M177" s="602"/>
      <c r="N177" s="602"/>
      <c r="O177" s="602"/>
      <c r="P177" s="602"/>
      <c r="Q177" s="602"/>
      <c r="R177" s="602"/>
      <c r="S177" s="602"/>
      <c r="T177" s="602"/>
      <c r="U177" s="602"/>
      <c r="V177" s="602"/>
      <c r="W177" s="602"/>
      <c r="X177" s="602"/>
      <c r="Y177" s="602"/>
      <c r="Z177" s="602"/>
      <c r="AA177" s="602"/>
      <c r="AB177" s="602"/>
      <c r="AC177" s="602"/>
      <c r="AD177" s="602"/>
      <c r="AE177" s="78">
        <f t="shared" si="148"/>
        <v>0</v>
      </c>
    </row>
    <row r="178" spans="1:31" ht="18" hidden="1" customHeight="1" x14ac:dyDescent="0.2">
      <c r="A178" s="80" t="s">
        <v>311</v>
      </c>
      <c r="B178" s="35"/>
      <c r="C178" s="36"/>
      <c r="D178" s="744"/>
      <c r="E178" s="37"/>
      <c r="F178" s="51"/>
      <c r="G178" s="51">
        <f>G179+G185+G191+G197+G203</f>
        <v>0</v>
      </c>
      <c r="H178" s="51">
        <f t="shared" ref="H178:R178" si="171">H179+H185+H191+H197+H203</f>
        <v>0</v>
      </c>
      <c r="I178" s="51">
        <f t="shared" si="171"/>
        <v>0</v>
      </c>
      <c r="J178" s="51">
        <f t="shared" si="171"/>
        <v>0</v>
      </c>
      <c r="K178" s="51">
        <f t="shared" si="171"/>
        <v>0</v>
      </c>
      <c r="L178" s="51">
        <f t="shared" si="171"/>
        <v>0</v>
      </c>
      <c r="M178" s="51">
        <f t="shared" si="171"/>
        <v>0</v>
      </c>
      <c r="N178" s="51">
        <f>N179+N185+N191+N197+N203</f>
        <v>0</v>
      </c>
      <c r="O178" s="51">
        <f t="shared" si="171"/>
        <v>0</v>
      </c>
      <c r="P178" s="51">
        <f t="shared" si="171"/>
        <v>0</v>
      </c>
      <c r="Q178" s="51">
        <f t="shared" si="171"/>
        <v>0</v>
      </c>
      <c r="R178" s="51">
        <f t="shared" si="171"/>
        <v>0</v>
      </c>
      <c r="S178" s="51">
        <f t="shared" ref="S178:AD178" si="172">S179+S185+S191</f>
        <v>0</v>
      </c>
      <c r="T178" s="51">
        <f t="shared" si="172"/>
        <v>0</v>
      </c>
      <c r="U178" s="51">
        <f t="shared" si="172"/>
        <v>0</v>
      </c>
      <c r="V178" s="51">
        <f t="shared" si="172"/>
        <v>0</v>
      </c>
      <c r="W178" s="51">
        <f t="shared" si="172"/>
        <v>0</v>
      </c>
      <c r="X178" s="51">
        <f t="shared" si="172"/>
        <v>0</v>
      </c>
      <c r="Y178" s="51">
        <f t="shared" si="172"/>
        <v>0</v>
      </c>
      <c r="Z178" s="51">
        <f t="shared" si="172"/>
        <v>0</v>
      </c>
      <c r="AA178" s="51">
        <f t="shared" si="172"/>
        <v>0</v>
      </c>
      <c r="AB178" s="51">
        <f t="shared" si="172"/>
        <v>0</v>
      </c>
      <c r="AC178" s="51">
        <f t="shared" si="172"/>
        <v>0</v>
      </c>
      <c r="AD178" s="51">
        <f t="shared" si="172"/>
        <v>0</v>
      </c>
      <c r="AE178" s="78">
        <f t="shared" ref="AE178:AE181" si="173">F178-SUM(G178:AD178)</f>
        <v>0</v>
      </c>
    </row>
    <row r="179" spans="1:31" ht="18" hidden="1" customHeight="1" x14ac:dyDescent="0.2">
      <c r="A179" s="81" t="s">
        <v>312</v>
      </c>
      <c r="B179" s="32"/>
      <c r="C179" s="33"/>
      <c r="D179" s="745"/>
      <c r="E179" s="34"/>
      <c r="F179" s="52"/>
      <c r="G179" s="52">
        <f>SUM(G180:G184)</f>
        <v>0</v>
      </c>
      <c r="H179" s="52">
        <f t="shared" ref="H179" si="174">SUM(H180:H184)</f>
        <v>0</v>
      </c>
      <c r="I179" s="52">
        <f>SUM(I180:I184)</f>
        <v>0</v>
      </c>
      <c r="J179" s="52">
        <f t="shared" ref="J179:AD179" si="175">SUM(J180:J184)</f>
        <v>0</v>
      </c>
      <c r="K179" s="52">
        <f t="shared" si="175"/>
        <v>0</v>
      </c>
      <c r="L179" s="52">
        <f t="shared" si="175"/>
        <v>0</v>
      </c>
      <c r="M179" s="52">
        <f t="shared" si="175"/>
        <v>0</v>
      </c>
      <c r="N179" s="52">
        <f t="shared" si="175"/>
        <v>0</v>
      </c>
      <c r="O179" s="52">
        <f t="shared" si="175"/>
        <v>0</v>
      </c>
      <c r="P179" s="52">
        <f t="shared" si="175"/>
        <v>0</v>
      </c>
      <c r="Q179" s="52">
        <f t="shared" si="175"/>
        <v>0</v>
      </c>
      <c r="R179" s="52">
        <f t="shared" si="175"/>
        <v>0</v>
      </c>
      <c r="S179" s="52">
        <f t="shared" si="175"/>
        <v>0</v>
      </c>
      <c r="T179" s="52">
        <f t="shared" si="175"/>
        <v>0</v>
      </c>
      <c r="U179" s="52">
        <f t="shared" si="175"/>
        <v>0</v>
      </c>
      <c r="V179" s="52">
        <f t="shared" si="175"/>
        <v>0</v>
      </c>
      <c r="W179" s="52">
        <f t="shared" si="175"/>
        <v>0</v>
      </c>
      <c r="X179" s="52">
        <f t="shared" si="175"/>
        <v>0</v>
      </c>
      <c r="Y179" s="52">
        <f t="shared" si="175"/>
        <v>0</v>
      </c>
      <c r="Z179" s="52">
        <f t="shared" si="175"/>
        <v>0</v>
      </c>
      <c r="AA179" s="52">
        <f t="shared" si="175"/>
        <v>0</v>
      </c>
      <c r="AB179" s="52">
        <f t="shared" si="175"/>
        <v>0</v>
      </c>
      <c r="AC179" s="52">
        <f t="shared" si="175"/>
        <v>0</v>
      </c>
      <c r="AD179" s="52">
        <f t="shared" si="175"/>
        <v>0</v>
      </c>
      <c r="AE179" s="78">
        <f t="shared" si="173"/>
        <v>0</v>
      </c>
    </row>
    <row r="180" spans="1:31" ht="18" hidden="1" customHeight="1" x14ac:dyDescent="0.2">
      <c r="A180" s="82" t="s">
        <v>313</v>
      </c>
      <c r="B180" s="48"/>
      <c r="C180" s="598"/>
      <c r="D180" s="743">
        <f>C180*$C$179*$C$178</f>
        <v>0</v>
      </c>
      <c r="E180" s="599"/>
      <c r="F180" s="602"/>
      <c r="G180" s="602"/>
      <c r="H180" s="602"/>
      <c r="I180" s="602"/>
      <c r="J180" s="602"/>
      <c r="K180" s="602"/>
      <c r="L180" s="602"/>
      <c r="M180" s="602"/>
      <c r="N180" s="602"/>
      <c r="O180" s="602"/>
      <c r="P180" s="602"/>
      <c r="Q180" s="602"/>
      <c r="R180" s="602"/>
      <c r="S180" s="602"/>
      <c r="T180" s="602"/>
      <c r="U180" s="602"/>
      <c r="V180" s="602"/>
      <c r="W180" s="602"/>
      <c r="X180" s="602"/>
      <c r="Y180" s="602"/>
      <c r="Z180" s="602"/>
      <c r="AA180" s="602"/>
      <c r="AB180" s="602"/>
      <c r="AC180" s="602"/>
      <c r="AD180" s="602"/>
      <c r="AE180" s="78">
        <f t="shared" si="173"/>
        <v>0</v>
      </c>
    </row>
    <row r="181" spans="1:31" ht="18" hidden="1" customHeight="1" x14ac:dyDescent="0.2">
      <c r="A181" s="82" t="s">
        <v>314</v>
      </c>
      <c r="B181" s="48"/>
      <c r="C181" s="598"/>
      <c r="D181" s="743">
        <f>C181*$C$179*$C$178</f>
        <v>0</v>
      </c>
      <c r="E181" s="599"/>
      <c r="F181" s="602"/>
      <c r="G181" s="602"/>
      <c r="H181" s="602"/>
      <c r="I181" s="602"/>
      <c r="J181" s="602"/>
      <c r="K181" s="602"/>
      <c r="L181" s="602"/>
      <c r="M181" s="602"/>
      <c r="N181" s="602"/>
      <c r="O181" s="602"/>
      <c r="P181" s="602"/>
      <c r="Q181" s="602"/>
      <c r="R181" s="602"/>
      <c r="S181" s="602"/>
      <c r="T181" s="602"/>
      <c r="U181" s="602"/>
      <c r="V181" s="602"/>
      <c r="W181" s="602"/>
      <c r="X181" s="602"/>
      <c r="Y181" s="602"/>
      <c r="Z181" s="602"/>
      <c r="AA181" s="602"/>
      <c r="AB181" s="602"/>
      <c r="AC181" s="602"/>
      <c r="AD181" s="602"/>
      <c r="AE181" s="78">
        <f t="shared" si="173"/>
        <v>0</v>
      </c>
    </row>
    <row r="182" spans="1:31" ht="18" hidden="1" customHeight="1" x14ac:dyDescent="0.2">
      <c r="A182" s="82" t="s">
        <v>315</v>
      </c>
      <c r="B182" s="48"/>
      <c r="C182" s="598"/>
      <c r="D182" s="743">
        <f>C182*$C$179*$C$178</f>
        <v>0</v>
      </c>
      <c r="E182" s="599"/>
      <c r="F182" s="602"/>
      <c r="G182" s="602"/>
      <c r="H182" s="602"/>
      <c r="I182" s="602"/>
      <c r="J182" s="602"/>
      <c r="K182" s="602"/>
      <c r="L182" s="602"/>
      <c r="M182" s="602"/>
      <c r="N182" s="602"/>
      <c r="O182" s="602"/>
      <c r="P182" s="602"/>
      <c r="Q182" s="602"/>
      <c r="R182" s="602"/>
      <c r="S182" s="602"/>
      <c r="T182" s="602"/>
      <c r="U182" s="602"/>
      <c r="V182" s="602"/>
      <c r="W182" s="602"/>
      <c r="X182" s="602"/>
      <c r="Y182" s="602"/>
      <c r="Z182" s="602"/>
      <c r="AA182" s="602"/>
      <c r="AB182" s="602"/>
      <c r="AC182" s="602"/>
      <c r="AD182" s="602"/>
      <c r="AE182" s="78">
        <f t="shared" ref="AE182:AE208" si="176">F182-SUM(G182:AD182)</f>
        <v>0</v>
      </c>
    </row>
    <row r="183" spans="1:31" ht="18" hidden="1" customHeight="1" x14ac:dyDescent="0.2">
      <c r="A183" s="82" t="s">
        <v>316</v>
      </c>
      <c r="B183" s="48"/>
      <c r="C183" s="598"/>
      <c r="D183" s="743">
        <f>C183*$C$179*$C$178</f>
        <v>0</v>
      </c>
      <c r="E183" s="599"/>
      <c r="F183" s="602"/>
      <c r="G183" s="602"/>
      <c r="H183" s="602"/>
      <c r="I183" s="602"/>
      <c r="J183" s="602"/>
      <c r="K183" s="602"/>
      <c r="L183" s="602"/>
      <c r="M183" s="602"/>
      <c r="N183" s="602"/>
      <c r="O183" s="602"/>
      <c r="P183" s="602"/>
      <c r="Q183" s="602"/>
      <c r="R183" s="602"/>
      <c r="S183" s="602"/>
      <c r="T183" s="602"/>
      <c r="U183" s="602"/>
      <c r="V183" s="602"/>
      <c r="W183" s="602"/>
      <c r="X183" s="602"/>
      <c r="Y183" s="602"/>
      <c r="Z183" s="602"/>
      <c r="AA183" s="602"/>
      <c r="AB183" s="602"/>
      <c r="AC183" s="602"/>
      <c r="AD183" s="602"/>
      <c r="AE183" s="78">
        <f t="shared" si="176"/>
        <v>0</v>
      </c>
    </row>
    <row r="184" spans="1:31" ht="12.75" hidden="1" x14ac:dyDescent="0.2">
      <c r="A184" s="82" t="s">
        <v>317</v>
      </c>
      <c r="B184" s="48"/>
      <c r="C184" s="598"/>
      <c r="D184" s="743">
        <f>C184*$C$179*$C$178</f>
        <v>0</v>
      </c>
      <c r="E184" s="599"/>
      <c r="F184" s="602"/>
      <c r="G184" s="602"/>
      <c r="H184" s="602"/>
      <c r="I184" s="602"/>
      <c r="J184" s="602"/>
      <c r="K184" s="602"/>
      <c r="L184" s="602"/>
      <c r="M184" s="602"/>
      <c r="N184" s="602"/>
      <c r="O184" s="602"/>
      <c r="P184" s="602"/>
      <c r="Q184" s="602"/>
      <c r="R184" s="602"/>
      <c r="S184" s="602"/>
      <c r="T184" s="602"/>
      <c r="U184" s="602"/>
      <c r="V184" s="602"/>
      <c r="W184" s="602"/>
      <c r="X184" s="602"/>
      <c r="Y184" s="602"/>
      <c r="Z184" s="602"/>
      <c r="AA184" s="602"/>
      <c r="AB184" s="602"/>
      <c r="AC184" s="602"/>
      <c r="AD184" s="602"/>
      <c r="AE184" s="78">
        <f t="shared" si="176"/>
        <v>0</v>
      </c>
    </row>
    <row r="185" spans="1:31" ht="12.75" hidden="1" x14ac:dyDescent="0.2">
      <c r="A185" s="81" t="s">
        <v>318</v>
      </c>
      <c r="B185" s="32"/>
      <c r="C185" s="33"/>
      <c r="D185" s="745"/>
      <c r="E185" s="34"/>
      <c r="F185" s="52"/>
      <c r="G185" s="52">
        <f>SUM(G186:G190)</f>
        <v>0</v>
      </c>
      <c r="H185" s="52">
        <f t="shared" ref="H185:I185" si="177">SUM(H186:H190)</f>
        <v>0</v>
      </c>
      <c r="I185" s="52">
        <f t="shared" si="177"/>
        <v>0</v>
      </c>
      <c r="J185" s="52">
        <f>SUM(J186:J190)</f>
        <v>0</v>
      </c>
      <c r="K185" s="52">
        <f t="shared" ref="K185:AD185" si="178">SUM(K186:K190)</f>
        <v>0</v>
      </c>
      <c r="L185" s="52">
        <f t="shared" si="178"/>
        <v>0</v>
      </c>
      <c r="M185" s="52">
        <f t="shared" si="178"/>
        <v>0</v>
      </c>
      <c r="N185" s="52">
        <f t="shared" si="178"/>
        <v>0</v>
      </c>
      <c r="O185" s="52">
        <f t="shared" si="178"/>
        <v>0</v>
      </c>
      <c r="P185" s="52">
        <f t="shared" si="178"/>
        <v>0</v>
      </c>
      <c r="Q185" s="52">
        <f t="shared" si="178"/>
        <v>0</v>
      </c>
      <c r="R185" s="52">
        <f t="shared" si="178"/>
        <v>0</v>
      </c>
      <c r="S185" s="52">
        <f t="shared" si="178"/>
        <v>0</v>
      </c>
      <c r="T185" s="52">
        <f t="shared" si="178"/>
        <v>0</v>
      </c>
      <c r="U185" s="52">
        <f t="shared" si="178"/>
        <v>0</v>
      </c>
      <c r="V185" s="52">
        <f t="shared" si="178"/>
        <v>0</v>
      </c>
      <c r="W185" s="52">
        <f t="shared" si="178"/>
        <v>0</v>
      </c>
      <c r="X185" s="52">
        <f t="shared" si="178"/>
        <v>0</v>
      </c>
      <c r="Y185" s="52">
        <f t="shared" si="178"/>
        <v>0</v>
      </c>
      <c r="Z185" s="52">
        <f t="shared" si="178"/>
        <v>0</v>
      </c>
      <c r="AA185" s="52">
        <f t="shared" si="178"/>
        <v>0</v>
      </c>
      <c r="AB185" s="52">
        <f t="shared" si="178"/>
        <v>0</v>
      </c>
      <c r="AC185" s="52">
        <f t="shared" si="178"/>
        <v>0</v>
      </c>
      <c r="AD185" s="52">
        <f t="shared" si="178"/>
        <v>0</v>
      </c>
      <c r="AE185" s="78">
        <f t="shared" si="176"/>
        <v>0</v>
      </c>
    </row>
    <row r="186" spans="1:31" ht="12.75" hidden="1" x14ac:dyDescent="0.2">
      <c r="A186" s="82" t="s">
        <v>319</v>
      </c>
      <c r="B186" s="48"/>
      <c r="C186" s="598"/>
      <c r="D186" s="743">
        <f>C186*$C$185*$C$178</f>
        <v>0</v>
      </c>
      <c r="E186" s="599"/>
      <c r="F186" s="602"/>
      <c r="G186" s="602"/>
      <c r="H186" s="602"/>
      <c r="I186" s="602"/>
      <c r="J186" s="602"/>
      <c r="K186" s="602"/>
      <c r="L186" s="602"/>
      <c r="M186" s="602"/>
      <c r="N186" s="602"/>
      <c r="O186" s="602"/>
      <c r="P186" s="602"/>
      <c r="Q186" s="602"/>
      <c r="R186" s="602"/>
      <c r="S186" s="602"/>
      <c r="T186" s="602"/>
      <c r="U186" s="602"/>
      <c r="V186" s="602"/>
      <c r="W186" s="602"/>
      <c r="X186" s="602"/>
      <c r="Y186" s="602"/>
      <c r="Z186" s="602"/>
      <c r="AA186" s="602"/>
      <c r="AB186" s="602"/>
      <c r="AC186" s="602"/>
      <c r="AD186" s="602"/>
      <c r="AE186" s="78">
        <f t="shared" si="176"/>
        <v>0</v>
      </c>
    </row>
    <row r="187" spans="1:31" ht="12.75" hidden="1" x14ac:dyDescent="0.2">
      <c r="A187" s="82" t="s">
        <v>320</v>
      </c>
      <c r="B187" s="48"/>
      <c r="C187" s="598"/>
      <c r="D187" s="743">
        <f t="shared" ref="D187:D189" si="179">C187*$C$185*$C$178</f>
        <v>0</v>
      </c>
      <c r="E187" s="599"/>
      <c r="F187" s="602"/>
      <c r="G187" s="602"/>
      <c r="H187" s="602"/>
      <c r="I187" s="602"/>
      <c r="J187" s="602"/>
      <c r="K187" s="602"/>
      <c r="L187" s="602"/>
      <c r="M187" s="602"/>
      <c r="N187" s="602"/>
      <c r="O187" s="602"/>
      <c r="P187" s="602"/>
      <c r="Q187" s="602"/>
      <c r="R187" s="602"/>
      <c r="S187" s="602"/>
      <c r="T187" s="602"/>
      <c r="U187" s="602"/>
      <c r="V187" s="602"/>
      <c r="W187" s="602"/>
      <c r="X187" s="602"/>
      <c r="Y187" s="602"/>
      <c r="Z187" s="602"/>
      <c r="AA187" s="602"/>
      <c r="AB187" s="602"/>
      <c r="AC187" s="602"/>
      <c r="AD187" s="602"/>
      <c r="AE187" s="78">
        <f t="shared" si="176"/>
        <v>0</v>
      </c>
    </row>
    <row r="188" spans="1:31" ht="12.75" hidden="1" x14ac:dyDescent="0.2">
      <c r="A188" s="82" t="s">
        <v>321</v>
      </c>
      <c r="B188" s="48"/>
      <c r="C188" s="598"/>
      <c r="D188" s="743">
        <f t="shared" si="179"/>
        <v>0</v>
      </c>
      <c r="E188" s="599"/>
      <c r="F188" s="602"/>
      <c r="G188" s="602"/>
      <c r="H188" s="602"/>
      <c r="I188" s="602"/>
      <c r="J188" s="602"/>
      <c r="K188" s="602"/>
      <c r="L188" s="602"/>
      <c r="M188" s="602"/>
      <c r="N188" s="602"/>
      <c r="O188" s="602"/>
      <c r="P188" s="602"/>
      <c r="Q188" s="602"/>
      <c r="R188" s="602"/>
      <c r="S188" s="602"/>
      <c r="T188" s="602"/>
      <c r="U188" s="602"/>
      <c r="V188" s="602"/>
      <c r="W188" s="602"/>
      <c r="X188" s="602"/>
      <c r="Y188" s="602"/>
      <c r="Z188" s="602"/>
      <c r="AA188" s="602"/>
      <c r="AB188" s="602"/>
      <c r="AC188" s="602"/>
      <c r="AD188" s="602"/>
      <c r="AE188" s="78">
        <f t="shared" si="176"/>
        <v>0</v>
      </c>
    </row>
    <row r="189" spans="1:31" ht="12.75" hidden="1" x14ac:dyDescent="0.2">
      <c r="A189" s="82" t="s">
        <v>322</v>
      </c>
      <c r="B189" s="48"/>
      <c r="C189" s="598"/>
      <c r="D189" s="743">
        <f t="shared" si="179"/>
        <v>0</v>
      </c>
      <c r="E189" s="599"/>
      <c r="F189" s="602"/>
      <c r="G189" s="602"/>
      <c r="H189" s="602"/>
      <c r="I189" s="602"/>
      <c r="J189" s="602"/>
      <c r="K189" s="602"/>
      <c r="L189" s="602"/>
      <c r="M189" s="602"/>
      <c r="N189" s="602"/>
      <c r="O189" s="602"/>
      <c r="P189" s="602"/>
      <c r="Q189" s="602"/>
      <c r="R189" s="602"/>
      <c r="S189" s="602"/>
      <c r="T189" s="602"/>
      <c r="U189" s="602"/>
      <c r="V189" s="602"/>
      <c r="W189" s="602"/>
      <c r="X189" s="602"/>
      <c r="Y189" s="602"/>
      <c r="Z189" s="602"/>
      <c r="AA189" s="602"/>
      <c r="AB189" s="602"/>
      <c r="AC189" s="602"/>
      <c r="AD189" s="602"/>
      <c r="AE189" s="78">
        <f t="shared" si="176"/>
        <v>0</v>
      </c>
    </row>
    <row r="190" spans="1:31" ht="12.75" hidden="1" x14ac:dyDescent="0.2">
      <c r="A190" s="82" t="s">
        <v>323</v>
      </c>
      <c r="B190" s="48"/>
      <c r="C190" s="598"/>
      <c r="D190" s="743">
        <f>C190*$C$185*$C$178</f>
        <v>0</v>
      </c>
      <c r="E190" s="599"/>
      <c r="F190" s="602"/>
      <c r="G190" s="602"/>
      <c r="H190" s="602"/>
      <c r="I190" s="602"/>
      <c r="J190" s="602"/>
      <c r="K190" s="602"/>
      <c r="L190" s="602"/>
      <c r="M190" s="602"/>
      <c r="N190" s="602"/>
      <c r="O190" s="602"/>
      <c r="P190" s="602"/>
      <c r="Q190" s="602"/>
      <c r="R190" s="602"/>
      <c r="S190" s="602"/>
      <c r="T190" s="602"/>
      <c r="U190" s="602"/>
      <c r="V190" s="602"/>
      <c r="W190" s="602"/>
      <c r="X190" s="602"/>
      <c r="Y190" s="602"/>
      <c r="Z190" s="602"/>
      <c r="AA190" s="602"/>
      <c r="AB190" s="602"/>
      <c r="AC190" s="602"/>
      <c r="AD190" s="602"/>
      <c r="AE190" s="78">
        <f t="shared" si="176"/>
        <v>0</v>
      </c>
    </row>
    <row r="191" spans="1:31" ht="12.75" hidden="1" x14ac:dyDescent="0.2">
      <c r="A191" s="81" t="s">
        <v>324</v>
      </c>
      <c r="B191" s="32"/>
      <c r="C191" s="33"/>
      <c r="D191" s="745"/>
      <c r="E191" s="34"/>
      <c r="F191" s="52"/>
      <c r="G191" s="52">
        <f>SUM(G192:G196)</f>
        <v>0</v>
      </c>
      <c r="H191" s="52">
        <f t="shared" ref="H191:I191" si="180">SUM(H192:H196)</f>
        <v>0</v>
      </c>
      <c r="I191" s="52">
        <f t="shared" si="180"/>
        <v>0</v>
      </c>
      <c r="J191" s="52">
        <f>SUM(J192:J196)</f>
        <v>0</v>
      </c>
      <c r="K191" s="52">
        <f t="shared" ref="K191:AD191" si="181">SUM(K192:K196)</f>
        <v>0</v>
      </c>
      <c r="L191" s="52">
        <f t="shared" si="181"/>
        <v>0</v>
      </c>
      <c r="M191" s="52">
        <f t="shared" si="181"/>
        <v>0</v>
      </c>
      <c r="N191" s="52">
        <f t="shared" si="181"/>
        <v>0</v>
      </c>
      <c r="O191" s="52">
        <f t="shared" si="181"/>
        <v>0</v>
      </c>
      <c r="P191" s="52">
        <f t="shared" si="181"/>
        <v>0</v>
      </c>
      <c r="Q191" s="52">
        <f t="shared" si="181"/>
        <v>0</v>
      </c>
      <c r="R191" s="52">
        <f t="shared" si="181"/>
        <v>0</v>
      </c>
      <c r="S191" s="52">
        <f t="shared" si="181"/>
        <v>0</v>
      </c>
      <c r="T191" s="52">
        <f t="shared" si="181"/>
        <v>0</v>
      </c>
      <c r="U191" s="52">
        <f t="shared" si="181"/>
        <v>0</v>
      </c>
      <c r="V191" s="52">
        <f t="shared" si="181"/>
        <v>0</v>
      </c>
      <c r="W191" s="52">
        <f t="shared" si="181"/>
        <v>0</v>
      </c>
      <c r="X191" s="52">
        <f t="shared" si="181"/>
        <v>0</v>
      </c>
      <c r="Y191" s="52">
        <f t="shared" si="181"/>
        <v>0</v>
      </c>
      <c r="Z191" s="52">
        <f t="shared" si="181"/>
        <v>0</v>
      </c>
      <c r="AA191" s="52">
        <f t="shared" si="181"/>
        <v>0</v>
      </c>
      <c r="AB191" s="52">
        <f t="shared" si="181"/>
        <v>0</v>
      </c>
      <c r="AC191" s="52">
        <f t="shared" si="181"/>
        <v>0</v>
      </c>
      <c r="AD191" s="52">
        <f t="shared" si="181"/>
        <v>0</v>
      </c>
      <c r="AE191" s="78">
        <f t="shared" si="176"/>
        <v>0</v>
      </c>
    </row>
    <row r="192" spans="1:31" ht="12.75" hidden="1" x14ac:dyDescent="0.2">
      <c r="A192" s="82" t="s">
        <v>325</v>
      </c>
      <c r="B192" s="48"/>
      <c r="C192" s="598"/>
      <c r="D192" s="743">
        <f>C192*$C$191*$C$178</f>
        <v>0</v>
      </c>
      <c r="E192" s="599"/>
      <c r="F192" s="602"/>
      <c r="G192" s="602"/>
      <c r="H192" s="602"/>
      <c r="I192" s="602"/>
      <c r="J192" s="602"/>
      <c r="K192" s="602"/>
      <c r="L192" s="602"/>
      <c r="M192" s="602"/>
      <c r="N192" s="602"/>
      <c r="O192" s="602"/>
      <c r="P192" s="602"/>
      <c r="Q192" s="602"/>
      <c r="R192" s="602"/>
      <c r="S192" s="602"/>
      <c r="T192" s="602"/>
      <c r="U192" s="602"/>
      <c r="V192" s="602"/>
      <c r="W192" s="602"/>
      <c r="X192" s="602"/>
      <c r="Y192" s="602"/>
      <c r="Z192" s="602"/>
      <c r="AA192" s="602"/>
      <c r="AB192" s="602"/>
      <c r="AC192" s="602"/>
      <c r="AD192" s="602"/>
      <c r="AE192" s="78">
        <f t="shared" si="176"/>
        <v>0</v>
      </c>
    </row>
    <row r="193" spans="1:31" ht="12.75" hidden="1" x14ac:dyDescent="0.2">
      <c r="A193" s="82" t="s">
        <v>326</v>
      </c>
      <c r="B193" s="48"/>
      <c r="C193" s="598"/>
      <c r="D193" s="743">
        <f t="shared" ref="D193:D195" si="182">C193*$C$191*$C$178</f>
        <v>0</v>
      </c>
      <c r="E193" s="599"/>
      <c r="F193" s="602"/>
      <c r="G193" s="602"/>
      <c r="H193" s="602"/>
      <c r="I193" s="602"/>
      <c r="J193" s="602"/>
      <c r="K193" s="602"/>
      <c r="L193" s="602"/>
      <c r="M193" s="602"/>
      <c r="N193" s="602"/>
      <c r="O193" s="602"/>
      <c r="P193" s="602"/>
      <c r="Q193" s="602"/>
      <c r="R193" s="602"/>
      <c r="S193" s="602"/>
      <c r="T193" s="602"/>
      <c r="U193" s="602"/>
      <c r="V193" s="602"/>
      <c r="W193" s="602"/>
      <c r="X193" s="602"/>
      <c r="Y193" s="602"/>
      <c r="Z193" s="602"/>
      <c r="AA193" s="602"/>
      <c r="AB193" s="602"/>
      <c r="AC193" s="602"/>
      <c r="AD193" s="602"/>
      <c r="AE193" s="78">
        <f t="shared" si="176"/>
        <v>0</v>
      </c>
    </row>
    <row r="194" spans="1:31" ht="12.75" hidden="1" x14ac:dyDescent="0.2">
      <c r="A194" s="82" t="s">
        <v>327</v>
      </c>
      <c r="B194" s="48"/>
      <c r="C194" s="598"/>
      <c r="D194" s="743">
        <f t="shared" si="182"/>
        <v>0</v>
      </c>
      <c r="E194" s="599"/>
      <c r="F194" s="602"/>
      <c r="G194" s="602"/>
      <c r="H194" s="602"/>
      <c r="I194" s="602"/>
      <c r="J194" s="602"/>
      <c r="K194" s="602"/>
      <c r="L194" s="602"/>
      <c r="M194" s="602"/>
      <c r="N194" s="602"/>
      <c r="O194" s="602"/>
      <c r="P194" s="602"/>
      <c r="Q194" s="602"/>
      <c r="R194" s="602"/>
      <c r="S194" s="602"/>
      <c r="T194" s="602"/>
      <c r="U194" s="602"/>
      <c r="V194" s="602"/>
      <c r="W194" s="602"/>
      <c r="X194" s="602"/>
      <c r="Y194" s="602"/>
      <c r="Z194" s="602"/>
      <c r="AA194" s="602"/>
      <c r="AB194" s="602"/>
      <c r="AC194" s="602"/>
      <c r="AD194" s="602"/>
      <c r="AE194" s="78">
        <f t="shared" si="176"/>
        <v>0</v>
      </c>
    </row>
    <row r="195" spans="1:31" ht="12.75" hidden="1" x14ac:dyDescent="0.2">
      <c r="A195" s="82" t="s">
        <v>328</v>
      </c>
      <c r="B195" s="48"/>
      <c r="C195" s="598"/>
      <c r="D195" s="743">
        <f t="shared" si="182"/>
        <v>0</v>
      </c>
      <c r="E195" s="599"/>
      <c r="F195" s="602"/>
      <c r="G195" s="602"/>
      <c r="H195" s="602"/>
      <c r="I195" s="602"/>
      <c r="J195" s="602"/>
      <c r="K195" s="602"/>
      <c r="L195" s="602"/>
      <c r="M195" s="602"/>
      <c r="N195" s="602"/>
      <c r="O195" s="602"/>
      <c r="P195" s="602"/>
      <c r="Q195" s="602"/>
      <c r="R195" s="602"/>
      <c r="S195" s="602"/>
      <c r="T195" s="602"/>
      <c r="U195" s="602"/>
      <c r="V195" s="602"/>
      <c r="W195" s="602"/>
      <c r="X195" s="602"/>
      <c r="Y195" s="602"/>
      <c r="Z195" s="602"/>
      <c r="AA195" s="602"/>
      <c r="AB195" s="602"/>
      <c r="AC195" s="602"/>
      <c r="AD195" s="602"/>
      <c r="AE195" s="78">
        <f t="shared" si="176"/>
        <v>0</v>
      </c>
    </row>
    <row r="196" spans="1:31" ht="12.75" hidden="1" x14ac:dyDescent="0.2">
      <c r="A196" s="82" t="s">
        <v>329</v>
      </c>
      <c r="B196" s="48"/>
      <c r="C196" s="598"/>
      <c r="D196" s="743">
        <f>C196*$C$191*$C$178</f>
        <v>0</v>
      </c>
      <c r="E196" s="599"/>
      <c r="F196" s="602"/>
      <c r="G196" s="602"/>
      <c r="H196" s="602"/>
      <c r="I196" s="602"/>
      <c r="J196" s="602"/>
      <c r="K196" s="602"/>
      <c r="L196" s="602"/>
      <c r="M196" s="602"/>
      <c r="N196" s="602"/>
      <c r="O196" s="602"/>
      <c r="P196" s="602"/>
      <c r="Q196" s="602"/>
      <c r="R196" s="602"/>
      <c r="S196" s="602"/>
      <c r="T196" s="602"/>
      <c r="U196" s="602"/>
      <c r="V196" s="602"/>
      <c r="W196" s="602"/>
      <c r="X196" s="602"/>
      <c r="Y196" s="602"/>
      <c r="Z196" s="602"/>
      <c r="AA196" s="602"/>
      <c r="AB196" s="602"/>
      <c r="AC196" s="602"/>
      <c r="AD196" s="602"/>
      <c r="AE196" s="78">
        <f t="shared" si="176"/>
        <v>0</v>
      </c>
    </row>
    <row r="197" spans="1:31" ht="12.75" hidden="1" x14ac:dyDescent="0.2">
      <c r="A197" s="81" t="s">
        <v>330</v>
      </c>
      <c r="B197" s="32"/>
      <c r="C197" s="33"/>
      <c r="D197" s="745"/>
      <c r="E197" s="34"/>
      <c r="F197" s="52"/>
      <c r="G197" s="52">
        <f>SUM(G198:G202)</f>
        <v>0</v>
      </c>
      <c r="H197" s="52">
        <f>SUM(H198:H202)</f>
        <v>0</v>
      </c>
      <c r="I197" s="52">
        <f t="shared" ref="I197" si="183">SUM(I198:I202)</f>
        <v>0</v>
      </c>
      <c r="J197" s="52">
        <f>SUM(J198:J202)</f>
        <v>0</v>
      </c>
      <c r="K197" s="52">
        <f t="shared" ref="K197:AD197" si="184">SUM(K198:K202)</f>
        <v>0</v>
      </c>
      <c r="L197" s="52">
        <f t="shared" si="184"/>
        <v>0</v>
      </c>
      <c r="M197" s="52">
        <f t="shared" si="184"/>
        <v>0</v>
      </c>
      <c r="N197" s="52">
        <f t="shared" si="184"/>
        <v>0</v>
      </c>
      <c r="O197" s="52">
        <f t="shared" si="184"/>
        <v>0</v>
      </c>
      <c r="P197" s="52">
        <f t="shared" si="184"/>
        <v>0</v>
      </c>
      <c r="Q197" s="52">
        <f t="shared" si="184"/>
        <v>0</v>
      </c>
      <c r="R197" s="52">
        <f t="shared" si="184"/>
        <v>0</v>
      </c>
      <c r="S197" s="52">
        <f t="shared" si="184"/>
        <v>0</v>
      </c>
      <c r="T197" s="52">
        <f t="shared" si="184"/>
        <v>0</v>
      </c>
      <c r="U197" s="52">
        <f t="shared" si="184"/>
        <v>0</v>
      </c>
      <c r="V197" s="52">
        <f t="shared" si="184"/>
        <v>0</v>
      </c>
      <c r="W197" s="52">
        <f t="shared" si="184"/>
        <v>0</v>
      </c>
      <c r="X197" s="52">
        <f t="shared" si="184"/>
        <v>0</v>
      </c>
      <c r="Y197" s="52">
        <f t="shared" si="184"/>
        <v>0</v>
      </c>
      <c r="Z197" s="52">
        <f t="shared" si="184"/>
        <v>0</v>
      </c>
      <c r="AA197" s="52">
        <f t="shared" si="184"/>
        <v>0</v>
      </c>
      <c r="AB197" s="52">
        <f t="shared" si="184"/>
        <v>0</v>
      </c>
      <c r="AC197" s="52">
        <f t="shared" si="184"/>
        <v>0</v>
      </c>
      <c r="AD197" s="52">
        <f t="shared" si="184"/>
        <v>0</v>
      </c>
      <c r="AE197" s="78">
        <f t="shared" si="176"/>
        <v>0</v>
      </c>
    </row>
    <row r="198" spans="1:31" ht="12.75" hidden="1" x14ac:dyDescent="0.2">
      <c r="A198" s="82" t="s">
        <v>331</v>
      </c>
      <c r="B198" s="48"/>
      <c r="C198" s="598"/>
      <c r="D198" s="743">
        <f>C198*$C$197*$C$178</f>
        <v>0</v>
      </c>
      <c r="E198" s="599"/>
      <c r="F198" s="602"/>
      <c r="G198" s="602"/>
      <c r="H198" s="602"/>
      <c r="I198" s="602"/>
      <c r="J198" s="602"/>
      <c r="K198" s="602"/>
      <c r="L198" s="602"/>
      <c r="M198" s="602"/>
      <c r="N198" s="602"/>
      <c r="O198" s="602"/>
      <c r="P198" s="602"/>
      <c r="Q198" s="602"/>
      <c r="R198" s="602"/>
      <c r="S198" s="602"/>
      <c r="T198" s="602"/>
      <c r="U198" s="602"/>
      <c r="V198" s="602"/>
      <c r="W198" s="602"/>
      <c r="X198" s="602"/>
      <c r="Y198" s="602"/>
      <c r="Z198" s="602"/>
      <c r="AA198" s="602"/>
      <c r="AB198" s="602"/>
      <c r="AC198" s="602"/>
      <c r="AD198" s="602"/>
      <c r="AE198" s="78">
        <f t="shared" si="176"/>
        <v>0</v>
      </c>
    </row>
    <row r="199" spans="1:31" ht="12.75" hidden="1" x14ac:dyDescent="0.2">
      <c r="A199" s="82" t="s">
        <v>332</v>
      </c>
      <c r="B199" s="48"/>
      <c r="C199" s="598"/>
      <c r="D199" s="743">
        <f t="shared" ref="D199:D200" si="185">C199*$C$197*$C$178</f>
        <v>0</v>
      </c>
      <c r="E199" s="599"/>
      <c r="F199" s="602"/>
      <c r="G199" s="602"/>
      <c r="H199" s="602"/>
      <c r="I199" s="602"/>
      <c r="J199" s="602"/>
      <c r="K199" s="602"/>
      <c r="L199" s="602"/>
      <c r="M199" s="602"/>
      <c r="N199" s="602"/>
      <c r="O199" s="602"/>
      <c r="P199" s="602"/>
      <c r="Q199" s="602"/>
      <c r="R199" s="602"/>
      <c r="S199" s="602"/>
      <c r="T199" s="602"/>
      <c r="U199" s="602"/>
      <c r="V199" s="602"/>
      <c r="W199" s="602"/>
      <c r="X199" s="602"/>
      <c r="Y199" s="602"/>
      <c r="Z199" s="602"/>
      <c r="AA199" s="602"/>
      <c r="AB199" s="602"/>
      <c r="AC199" s="602"/>
      <c r="AD199" s="602"/>
      <c r="AE199" s="78">
        <f t="shared" si="176"/>
        <v>0</v>
      </c>
    </row>
    <row r="200" spans="1:31" ht="12.75" hidden="1" x14ac:dyDescent="0.2">
      <c r="A200" s="82" t="s">
        <v>333</v>
      </c>
      <c r="B200" s="48"/>
      <c r="C200" s="598"/>
      <c r="D200" s="743">
        <f t="shared" si="185"/>
        <v>0</v>
      </c>
      <c r="E200" s="599"/>
      <c r="F200" s="602"/>
      <c r="G200" s="602"/>
      <c r="H200" s="602"/>
      <c r="I200" s="602"/>
      <c r="J200" s="602"/>
      <c r="K200" s="602"/>
      <c r="L200" s="602"/>
      <c r="M200" s="602"/>
      <c r="N200" s="602"/>
      <c r="O200" s="602"/>
      <c r="P200" s="602"/>
      <c r="Q200" s="602"/>
      <c r="R200" s="602"/>
      <c r="S200" s="602"/>
      <c r="T200" s="602"/>
      <c r="U200" s="602"/>
      <c r="V200" s="602"/>
      <c r="W200" s="602"/>
      <c r="X200" s="602"/>
      <c r="Y200" s="602"/>
      <c r="Z200" s="602"/>
      <c r="AA200" s="602"/>
      <c r="AB200" s="602"/>
      <c r="AC200" s="602"/>
      <c r="AD200" s="602"/>
      <c r="AE200" s="78">
        <f t="shared" si="176"/>
        <v>0</v>
      </c>
    </row>
    <row r="201" spans="1:31" ht="12.75" hidden="1" x14ac:dyDescent="0.2">
      <c r="A201" s="82" t="s">
        <v>334</v>
      </c>
      <c r="B201" s="48"/>
      <c r="C201" s="598"/>
      <c r="D201" s="743">
        <f>C201*$C$197*$C$178</f>
        <v>0</v>
      </c>
      <c r="E201" s="599"/>
      <c r="F201" s="602"/>
      <c r="G201" s="602"/>
      <c r="H201" s="602"/>
      <c r="I201" s="602"/>
      <c r="J201" s="602"/>
      <c r="K201" s="602"/>
      <c r="L201" s="602"/>
      <c r="M201" s="602"/>
      <c r="N201" s="602"/>
      <c r="O201" s="602"/>
      <c r="P201" s="602"/>
      <c r="Q201" s="602"/>
      <c r="R201" s="602"/>
      <c r="S201" s="602"/>
      <c r="T201" s="602"/>
      <c r="U201" s="602"/>
      <c r="V201" s="602"/>
      <c r="W201" s="602"/>
      <c r="X201" s="602"/>
      <c r="Y201" s="602"/>
      <c r="Z201" s="602"/>
      <c r="AA201" s="602"/>
      <c r="AB201" s="602"/>
      <c r="AC201" s="602"/>
      <c r="AD201" s="602"/>
      <c r="AE201" s="78">
        <f t="shared" si="176"/>
        <v>0</v>
      </c>
    </row>
    <row r="202" spans="1:31" ht="12.75" hidden="1" x14ac:dyDescent="0.2">
      <c r="A202" s="82" t="s">
        <v>335</v>
      </c>
      <c r="B202" s="48"/>
      <c r="C202" s="598"/>
      <c r="D202" s="743">
        <f>C202*$C$197*$C$178</f>
        <v>0</v>
      </c>
      <c r="E202" s="599"/>
      <c r="F202" s="602"/>
      <c r="G202" s="602"/>
      <c r="H202" s="602"/>
      <c r="I202" s="602"/>
      <c r="J202" s="602"/>
      <c r="K202" s="602"/>
      <c r="L202" s="602"/>
      <c r="M202" s="602"/>
      <c r="N202" s="602"/>
      <c r="O202" s="602"/>
      <c r="P202" s="602"/>
      <c r="Q202" s="602"/>
      <c r="R202" s="602"/>
      <c r="S202" s="602"/>
      <c r="T202" s="602"/>
      <c r="U202" s="602"/>
      <c r="V202" s="602"/>
      <c r="W202" s="602"/>
      <c r="X202" s="602"/>
      <c r="Y202" s="602"/>
      <c r="Z202" s="602"/>
      <c r="AA202" s="602"/>
      <c r="AB202" s="602"/>
      <c r="AC202" s="602"/>
      <c r="AD202" s="602"/>
      <c r="AE202" s="78">
        <f t="shared" si="176"/>
        <v>0</v>
      </c>
    </row>
    <row r="203" spans="1:31" ht="12.75" hidden="1" x14ac:dyDescent="0.2">
      <c r="A203" s="81" t="s">
        <v>336</v>
      </c>
      <c r="B203" s="32"/>
      <c r="C203" s="33"/>
      <c r="D203" s="745"/>
      <c r="E203" s="34"/>
      <c r="F203" s="52"/>
      <c r="G203" s="52">
        <f>SUM(G204:G208)</f>
        <v>0</v>
      </c>
      <c r="H203" s="52">
        <f>SUM(H204:H208)</f>
        <v>0</v>
      </c>
      <c r="I203" s="52">
        <f t="shared" ref="I203" si="186">SUM(I204:I208)</f>
        <v>0</v>
      </c>
      <c r="J203" s="52">
        <f>SUM(J204:J208)</f>
        <v>0</v>
      </c>
      <c r="K203" s="52">
        <f t="shared" ref="K203:AD203" si="187">SUM(K204:K208)</f>
        <v>0</v>
      </c>
      <c r="L203" s="52">
        <f t="shared" si="187"/>
        <v>0</v>
      </c>
      <c r="M203" s="52">
        <f t="shared" si="187"/>
        <v>0</v>
      </c>
      <c r="N203" s="52">
        <f t="shared" si="187"/>
        <v>0</v>
      </c>
      <c r="O203" s="52">
        <f t="shared" si="187"/>
        <v>0</v>
      </c>
      <c r="P203" s="52">
        <f t="shared" si="187"/>
        <v>0</v>
      </c>
      <c r="Q203" s="52">
        <f t="shared" si="187"/>
        <v>0</v>
      </c>
      <c r="R203" s="52">
        <f t="shared" si="187"/>
        <v>0</v>
      </c>
      <c r="S203" s="52">
        <f t="shared" si="187"/>
        <v>0</v>
      </c>
      <c r="T203" s="52">
        <f t="shared" si="187"/>
        <v>0</v>
      </c>
      <c r="U203" s="52">
        <f t="shared" si="187"/>
        <v>0</v>
      </c>
      <c r="V203" s="52">
        <f t="shared" si="187"/>
        <v>0</v>
      </c>
      <c r="W203" s="52">
        <f t="shared" si="187"/>
        <v>0</v>
      </c>
      <c r="X203" s="52">
        <f t="shared" si="187"/>
        <v>0</v>
      </c>
      <c r="Y203" s="52">
        <f t="shared" si="187"/>
        <v>0</v>
      </c>
      <c r="Z203" s="52">
        <f t="shared" si="187"/>
        <v>0</v>
      </c>
      <c r="AA203" s="52">
        <f t="shared" si="187"/>
        <v>0</v>
      </c>
      <c r="AB203" s="52">
        <f t="shared" si="187"/>
        <v>0</v>
      </c>
      <c r="AC203" s="52">
        <f t="shared" si="187"/>
        <v>0</v>
      </c>
      <c r="AD203" s="52">
        <f t="shared" si="187"/>
        <v>0</v>
      </c>
      <c r="AE203" s="78">
        <f t="shared" si="176"/>
        <v>0</v>
      </c>
    </row>
    <row r="204" spans="1:31" ht="12.75" hidden="1" x14ac:dyDescent="0.2">
      <c r="A204" s="82" t="s">
        <v>337</v>
      </c>
      <c r="B204" s="48"/>
      <c r="C204" s="598"/>
      <c r="D204" s="743">
        <f>C204*$C$203*$C$178</f>
        <v>0</v>
      </c>
      <c r="E204" s="599"/>
      <c r="F204" s="602"/>
      <c r="G204" s="602"/>
      <c r="H204" s="602"/>
      <c r="I204" s="602"/>
      <c r="J204" s="602"/>
      <c r="K204" s="602"/>
      <c r="L204" s="602"/>
      <c r="M204" s="602"/>
      <c r="N204" s="602"/>
      <c r="O204" s="602"/>
      <c r="P204" s="602"/>
      <c r="Q204" s="602"/>
      <c r="R204" s="602"/>
      <c r="S204" s="602"/>
      <c r="T204" s="602"/>
      <c r="U204" s="602"/>
      <c r="V204" s="602"/>
      <c r="W204" s="602"/>
      <c r="X204" s="602"/>
      <c r="Y204" s="602"/>
      <c r="Z204" s="602"/>
      <c r="AA204" s="602"/>
      <c r="AB204" s="602"/>
      <c r="AC204" s="602"/>
      <c r="AD204" s="602"/>
      <c r="AE204" s="78">
        <f t="shared" si="176"/>
        <v>0</v>
      </c>
    </row>
    <row r="205" spans="1:31" ht="12.75" hidden="1" x14ac:dyDescent="0.2">
      <c r="A205" s="82" t="s">
        <v>338</v>
      </c>
      <c r="B205" s="48"/>
      <c r="C205" s="598"/>
      <c r="D205" s="743">
        <f t="shared" ref="D205:D208" si="188">C205*$C$203*$C$178</f>
        <v>0</v>
      </c>
      <c r="E205" s="599"/>
      <c r="F205" s="602"/>
      <c r="G205" s="602"/>
      <c r="H205" s="602"/>
      <c r="I205" s="602"/>
      <c r="J205" s="602"/>
      <c r="K205" s="602"/>
      <c r="L205" s="602"/>
      <c r="M205" s="602"/>
      <c r="N205" s="602"/>
      <c r="O205" s="602"/>
      <c r="P205" s="602"/>
      <c r="Q205" s="602"/>
      <c r="R205" s="602"/>
      <c r="S205" s="602"/>
      <c r="T205" s="602"/>
      <c r="U205" s="602"/>
      <c r="V205" s="602"/>
      <c r="W205" s="602"/>
      <c r="X205" s="602"/>
      <c r="Y205" s="602"/>
      <c r="Z205" s="602"/>
      <c r="AA205" s="602"/>
      <c r="AB205" s="602"/>
      <c r="AC205" s="602"/>
      <c r="AD205" s="602"/>
      <c r="AE205" s="78">
        <f t="shared" si="176"/>
        <v>0</v>
      </c>
    </row>
    <row r="206" spans="1:31" ht="12.75" hidden="1" x14ac:dyDescent="0.2">
      <c r="A206" s="82" t="s">
        <v>339</v>
      </c>
      <c r="B206" s="48"/>
      <c r="C206" s="598"/>
      <c r="D206" s="743">
        <f t="shared" si="188"/>
        <v>0</v>
      </c>
      <c r="E206" s="599"/>
      <c r="F206" s="602"/>
      <c r="G206" s="602"/>
      <c r="H206" s="602"/>
      <c r="I206" s="602"/>
      <c r="J206" s="602"/>
      <c r="K206" s="602"/>
      <c r="L206" s="602"/>
      <c r="M206" s="602"/>
      <c r="N206" s="602"/>
      <c r="O206" s="602"/>
      <c r="P206" s="602"/>
      <c r="Q206" s="602"/>
      <c r="R206" s="602"/>
      <c r="S206" s="602"/>
      <c r="T206" s="602"/>
      <c r="U206" s="602"/>
      <c r="V206" s="602"/>
      <c r="W206" s="602"/>
      <c r="X206" s="602"/>
      <c r="Y206" s="602"/>
      <c r="Z206" s="602"/>
      <c r="AA206" s="602"/>
      <c r="AB206" s="602"/>
      <c r="AC206" s="602"/>
      <c r="AD206" s="602"/>
      <c r="AE206" s="78">
        <f t="shared" si="176"/>
        <v>0</v>
      </c>
    </row>
    <row r="207" spans="1:31" ht="12.75" hidden="1" x14ac:dyDescent="0.2">
      <c r="A207" s="82" t="s">
        <v>340</v>
      </c>
      <c r="B207" s="48"/>
      <c r="C207" s="598"/>
      <c r="D207" s="743">
        <f>C207*$C$203*$C$178</f>
        <v>0</v>
      </c>
      <c r="E207" s="599"/>
      <c r="F207" s="602"/>
      <c r="G207" s="602"/>
      <c r="H207" s="602"/>
      <c r="I207" s="602"/>
      <c r="J207" s="602"/>
      <c r="K207" s="602"/>
      <c r="L207" s="602"/>
      <c r="M207" s="602"/>
      <c r="N207" s="602"/>
      <c r="O207" s="602"/>
      <c r="P207" s="602"/>
      <c r="Q207" s="602"/>
      <c r="R207" s="602"/>
      <c r="S207" s="602"/>
      <c r="T207" s="602"/>
      <c r="U207" s="602"/>
      <c r="V207" s="602"/>
      <c r="W207" s="602"/>
      <c r="X207" s="602"/>
      <c r="Y207" s="602"/>
      <c r="Z207" s="602"/>
      <c r="AA207" s="602"/>
      <c r="AB207" s="602"/>
      <c r="AC207" s="602"/>
      <c r="AD207" s="602"/>
      <c r="AE207" s="78">
        <f t="shared" si="176"/>
        <v>0</v>
      </c>
    </row>
    <row r="208" spans="1:31" ht="12.75" hidden="1" x14ac:dyDescent="0.2">
      <c r="A208" s="82" t="s">
        <v>341</v>
      </c>
      <c r="B208" s="48"/>
      <c r="C208" s="598"/>
      <c r="D208" s="743">
        <f t="shared" si="188"/>
        <v>0</v>
      </c>
      <c r="E208" s="599"/>
      <c r="F208" s="602"/>
      <c r="G208" s="602"/>
      <c r="H208" s="602"/>
      <c r="I208" s="602"/>
      <c r="J208" s="602"/>
      <c r="K208" s="602"/>
      <c r="L208" s="602"/>
      <c r="M208" s="602"/>
      <c r="N208" s="602"/>
      <c r="O208" s="602"/>
      <c r="P208" s="602"/>
      <c r="Q208" s="602"/>
      <c r="R208" s="602"/>
      <c r="S208" s="602"/>
      <c r="T208" s="602"/>
      <c r="U208" s="602"/>
      <c r="V208" s="602"/>
      <c r="W208" s="602"/>
      <c r="X208" s="602"/>
      <c r="Y208" s="602"/>
      <c r="Z208" s="602"/>
      <c r="AA208" s="602"/>
      <c r="AB208" s="602"/>
      <c r="AC208" s="602"/>
      <c r="AD208" s="602"/>
      <c r="AE208" s="78">
        <f t="shared" si="176"/>
        <v>0</v>
      </c>
    </row>
    <row r="209" spans="1:33" ht="18" customHeight="1" x14ac:dyDescent="0.2">
      <c r="A209" s="1106" t="s">
        <v>342</v>
      </c>
      <c r="B209" s="1107"/>
      <c r="C209" s="1107"/>
      <c r="D209" s="1107"/>
      <c r="E209" s="1107"/>
      <c r="F209" s="1107"/>
      <c r="G209" s="786">
        <f>(IFERROR(((G19/$F$19)*$D$19),0)+(IFERROR(((G20/$F$20)*$D$20),0)))+(IFERROR(((G21/$F$21)*D21),0))+(IFERROR(((G22/$F$22)*$D$22),0))+(IFERROR(((G23/$F$23)*$D$23),0))+(IFERROR(((G25/$F$25)*$D$25),0))+(IFERROR(((G26/$F$26)*$D$26),0))+(IFERROR(((G27/$F$27)*$D$27),0))+(IFERROR(((G28/$F$28)*$D$28),0))+(IFERROR(((G29/$F$29)*$D$29),0))+(IFERROR(((G31/$F$31)*$D$31),0))+(IFERROR(((G32/$F$32)*$D$32),0))+(IFERROR(((G33/$F$33)*$D$33),0))+(IFERROR(((G34/$F$34)*$D$34),0))+(IFERROR(((G35/$F$35)*$D$35),0))+(IFERROR(((G37/$F$37)*$D$37),0))+(IFERROR(((G38/$F$38)*$D$38),0))+(IFERROR(((G39/$F$39)*$D$39),0))+(IFERROR(((G40/$F$40)*$D$40),0))+(IFERROR(((G41/$F$41)*$D$41),0))+(IFERROR(((G43/$F$43)*$D$43),0))+(IFERROR(((G44/$F$44)*$D$44),0))+(IFERROR(((G45/$F$45)*$D$45),0))+(IFERROR(((G46/$F$46)*$D$46),0))+(IFERROR(((G47/$F$47)*$D$47),0))+(IFERROR(((G49/$F$49)*$D$49),0))+(IFERROR(((G50/$F$50)*$D$50),0))+(IFERROR(((G51/$F$51)*$D$51),0))+(IFERROR(((G52/$F$52)*$D$52),0))+(IFERROR(((G53/$F$53)*$D$53),0))+(IFERROR(((G56/$F$56)*$D$56),0))+(IFERROR(((G57/$F$57)*$D$57),0))+(IFERROR(((G58/$F$58)*$D$58),0))+(IFERROR(((G59/$F$59)*$D$59),0))+(IFERROR(((G60/$F$60)*$D$60),0))+(IFERROR(((G62/$F$62)*$D$62),0))+(IFERROR(((G63/$F$63)*$D$63),0))+(IFERROR(((G64/$F$64)*$D$64),0))+(IFERROR(((G65/$F$65)*$D$65),0))+(IFERROR(((G66/$F$66)*$D$66),0))+(IFERROR(((G68/$F$68)*$D$68),0))+(IFERROR(((G69/$F$69)*$D$69),0))+(IFERROR(((G70/$F$70)*$D$70),0))+(IFERROR(((G71/$F$71)*$D$71),0))+(IFERROR(((G72/$F$72)*$D$72),0))+(IFERROR(((G74/$F$74)*$D$74),0))+(IFERROR(((G75/$F$75)*$D$75),0))+(IFERROR(((G76/$F$76)*$D$76),0))+(IFERROR(((G77/$F$77)*$D$77),0))+(IFERROR(((G78/$F$78)*$D$78),0))+(IFERROR(((G80/$F$80)*$D$80),0))+(IFERROR(((G81/$F$81)*$D$81),0))+(IFERROR(((G82/$F$82)*$D$82),0))+(IFERROR(((G83/$F$83)*$D$83),0))+(IFERROR(((G84/$F$84)*$D$84),0))+(IFERROR(((G87/$F$87)*$D$87),0))+(IFERROR(((G88/$F$88)*$D$88),0))+(IFERROR(((G89/$F$89)*$D$89),0))+(IFERROR(((G90/$F$90)*$D$90),0))+(IFERROR(((G91/$F$91)*$D$91),0))+(IFERROR(((G93/$F$93)*$D$93),0))+(IFERROR(((G94/$F$94)*$D$94),0))+(IFERROR(((G95/$F$95)*$D$95),0))+(IFERROR(((G96/$F$96)*$D$96),0))+(IFERROR(((G97/$F$97)*$D$97),0))+(IFERROR(((G99/$F$99)*$D$99),0))+(IFERROR(((G100/$F$100)*$D$100),0))+(IFERROR(((G101/$F$101)*$D$101),0))+(IFERROR(((G102/$F$102)*$D$102),0))+(IFERROR(((G103/$F$103)*$D$103),0))+(IFERROR(((G105/$F$105)*$D$105),0))+(IFERROR(((G106/$F$106)*$D$106),0))+(IFERROR(((G107/$F$107)*$D$107),0))+(IFERROR(((G108/$F$108)*$D$108),0))+(IFERROR(((G109/$F$109)*$D$109),0))+(IFERROR(((G111/$F$111)*$D$111),0))+(IFERROR(((G112/$F$112)*$D$112),0))+(IFERROR(((G113/$F$113)*$D$113),0))+(IFERROR(((G114/$F$114)*$D$114),0))+(IFERROR(((G115/$F$115)*$D$115),0))+(IFERROR(((G118/$F$118)*$D$118),0))+(IFERROR(((G119/$F$119)*$D$119),0))+(IFERROR(((G120/$F$120)*$D$120),0))+(IFERROR(((G121/$F$121)*$D$121),0))+(IFERROR(((G122/$F$122)*$D$122),0))+(IFERROR(((G124/$F$124)*$D$124),0))+(IFERROR(((G125/$F$125)*$D$125),0))+(IFERROR(((G126/$F$126)*$D$126),0))+(IFERROR(((G127/$F$127)*$D$127),0))+(IFERROR(((G128/$F$128)*$D$128),0))+(IFERROR(((G130/$F$130)*$D$130),0))+(IFERROR(((G131/$F$131)*$D$131),0))+(IFERROR(((G132/$F$132)*$D$132),0))+(IFERROR(((G133/$F$133)*$D$133),0))+(IFERROR(((G134/$F$134)*$D$134),0))+(IFERROR(((G136/$F$136)*$D$136),0))+(IFERROR(((G137/$F$137)*$D$137),0))+(IFERROR(((G138/$F$138)*$D$138),0))+(IFERROR(((G139/$F$139)*$D$139),0))+(IFERROR(((G140/$F$140)*$D$140),0))+(IFERROR(((G142/$F$142)*$D$142),0))+(IFERROR(((G143/$F$143)*$D$143),0))+(IFERROR(((G144/$F$144)*$D$144),0))+(IFERROR(((G145/$F$145)*$D$145),0))+(IFERROR(((G146/$F$146)*$D$146),0))+(IFERROR(((G149/$F$149)*$D$149),0))+(IFERROR(((G150/$F$150)*$D$150),0))+(IFERROR(((G151/$F$151)*$D$151),0))+(IFERROR(((G152/$F$152)*$D$152),0))+(IFERROR(((G153/$F$153)*$D$153),0))+(IFERROR(((G155/$F$155)*$D$155),0))+(IFERROR(((G156/$F$156)*$D$156),0))+(IFERROR(((G157/$F$157)*$D$157),0))+(IFERROR(((G158/$F$158)*$D$158),0))+(IFERROR(((G159/$F$159)*$D$159),0))+(IFERROR(((G161/$F$161)*$D$161),0))+(IFERROR(((G162/$F$162)*$D$162),0))+(IFERROR(((G163/$F$163)*$D$163),0))+(IFERROR(((G164/$F$164)*$D$164),0))+(IFERROR(((G165/$F$165)*$D$165),0))+(IFERROR(((G167/$F$167)*$D$167),0))+(IFERROR(((G168/F168)*D168),0))+(IFERROR(((G169/$F$169)*$D$169),0))+(IFERROR(((G170/$F$170)*$D$170),0))+(IFERROR(((G171/$F$171)*$D$171),0))+(IFERROR(((G173/$F$173)*$D$173),0))+(IFERROR(((G174/$F$174)*$D$174),0))+(IFERROR(((G175/$F$175)*$D$175),0))+(IFERROR(((G176/$F$176)*$D$176),0))+(IFERROR(((G177/$F$177)*$D$177),0))+(IFERROR(((G180/$F$180)*$D$180),0))+(IFERROR(((G181/$F$181)*$D$181),0))+(IFERROR(((G182/$F$182)*$D$182),0))+(IFERROR(((G183/$F$183)*$D$183),0))+(IFERROR(((G184/$F$184)*$D$184),0))+(IFERROR(((G186/$F$186)*$D$186),0))+(IFERROR(((G187/$F$187)*$D$187),0))+(IFERROR(((G188/$F$188)*$D$188),0))+(IFERROR(((G189/$F$189)*$D$189),0))+(IFERROR(((G190/$F$190)*$D$190),0))+(IFERROR(((G192/$F$192)*$D$192),0))+(IFERROR(((G193/$F$193)*$D$193),0))+(IFERROR(((G194/$F$194)*$D$194),0))+(IFERROR(((G195/$F$195)*$D$195),0))+(IFERROR(((G196/$F$196)*$D$196),0))+(IFERROR(((G198/$F$198)*$D$198),0))+(IFERROR(((G199/$F$199)*$D$199),0))+(IFERROR(((G200/$F$200)*$D$200),0))+(IFERROR(((G201/$F$201)*$D$201),0))+(IFERROR(((G202/$F$202)*$D$202),0))+(IFERROR(((G204/$F$204)*$D$204),0))+(IFERROR(((G205/$F$205)*$D$205),0))+(IFERROR(((G206/$F$206)*$D$206),0))+(IFERROR(((G207/$F$207)*$D$207),0))+(IFERROR(((G208/$F$208)*$D$208),0))</f>
        <v>0</v>
      </c>
      <c r="H209" s="926">
        <f>SUM(H17:H21)</f>
        <v>0.93193499999999996</v>
      </c>
      <c r="I209" s="786">
        <f t="shared" ref="I209:R209" si="189">SUM(I17:I21)</f>
        <v>0</v>
      </c>
      <c r="J209" s="925">
        <f t="shared" si="189"/>
        <v>5.4595999999999999E-2</v>
      </c>
      <c r="K209" s="786">
        <f ca="1">SUM(K17:K209)</f>
        <v>0</v>
      </c>
      <c r="L209" s="786">
        <f t="shared" si="189"/>
        <v>0</v>
      </c>
      <c r="M209" s="786">
        <f t="shared" si="189"/>
        <v>0</v>
      </c>
      <c r="N209" s="786">
        <f t="shared" si="189"/>
        <v>0</v>
      </c>
      <c r="O209" s="786">
        <f t="shared" si="189"/>
        <v>0</v>
      </c>
      <c r="P209" s="786">
        <f t="shared" si="189"/>
        <v>0</v>
      </c>
      <c r="Q209" s="786">
        <f t="shared" si="189"/>
        <v>1.3469E-2</v>
      </c>
      <c r="R209" s="786">
        <f t="shared" si="189"/>
        <v>0</v>
      </c>
      <c r="S209" s="742">
        <f t="shared" ref="S209:AD209" si="190">(IFERROR(((S19/$F$19)*$D$19),0)+(IFERROR(((S20/$F$20)*$D$20),0)))+(IFERROR(((S21/$F$21)*P21),0))+(IFERROR(((S22/$F$22)*$D$22),0))+(IFERROR(((S23/$F$23)*$D$23),0))+(IFERROR(((S25/$F$25)*$D$25),0))+(IFERROR(((S26/$F$26)*$D$26),0))+(IFERROR(((S27/$F$27)*$D$27),0))+(IFERROR(((S28/$F$28)*$D$28),0))+(IFERROR(((S29/$F$29)*$D$29),0))+(IFERROR(((S31/$F$31)*$D$31),0))+(IFERROR(((S32/$F$32)*$D$32),0))+(IFERROR(((S33/$F$33)*$D$33),0))+(IFERROR(((S34/$F$34)*$D$34),0))+(IFERROR(((S35/$F$35)*$D$35),0))+(IFERROR(((S37/$F$37)*$D$37),0))+(IFERROR(((S38/$F$38)*$D$38),0))+(IFERROR(((S39/$F$39)*$D$39),0))+(IFERROR(((S40/$F$40)*$D$40),0))+(IFERROR(((S41/$F$41)*$D$41),0))+(IFERROR(((S43/$F$43)*$D$43),0))+(IFERROR(((S44/$F$44)*$D$44),0))+(IFERROR(((S45/$F$45)*$D$45),0))+(IFERROR(((S46/$F$46)*$D$46),0))+(IFERROR(((S47/$F$47)*$D$47),0))+(IFERROR(((S56/$F$56)*$D$56),0))+(IFERROR(((S57/$F$57)*$D$57),0))+(IFERROR(((S58/$F$58)*$D$58),0))+(IFERROR(((S59/$F$59)*$D$59),0))+(IFERROR(((S60/$F$60)*$D$60),0))+(IFERROR(((S62/$F$62)*$D$62),0))+(IFERROR(((S63/$F$63)*$D$63),0))+(IFERROR(((S64/$F$64)*$D$64),0))+(IFERROR(((S65/$F$65)*$D$65),0))+(IFERROR(((S66/$F$66)*$D$66),0))+(IFERROR(((S68/$F$68)*$D$68),0))+(IFERROR(((S69/$F$69)*$D$69),0))+(IFERROR(((S70/$F$70)*$D$70),0))+(IFERROR(((S71/$F$71)*$D$71),0))+(IFERROR(((S72/$F$72)*$D$72),0))+(IFERROR(((S74/$F$74)*$D$74),0))+(IFERROR(((S75/$F$75)*$D$75),0))+(IFERROR(((S76/$F$76)*$D$76),0))+(IFERROR(((S77/$F$77)*$D$77),0))+(IFERROR(((S78/$F$78)*$D$78),0))+(IFERROR(((S80/$F$80)*$D$80),0))+(IFERROR(((S81/$F$81)*$D$81),0))+(IFERROR(((S82/$F$82)*$D$82),0))+(IFERROR(((S83/$F$83)*$D$83),0))+(IFERROR(((S84/$F$84)*$D$84),0))+(IFERROR(((S87/$F$87)*$D$87),0))+(IFERROR(((S88/$F$88)*$D$88),0))+(IFERROR(((S89/$F$89)*$D$89),0))+(IFERROR(((S90/$F$90)*$D$90),0))+(IFERROR(((S91/$F$91)*$D$91),0))+(IFERROR(((S93/$F$93)*$D$93),0))+(IFERROR(((S94/$F$94)*$D$94),0))+(IFERROR(((S95/$F$95)*$D$95),0))+(IFERROR(((S96/$F$96)*$D$96),0))+(IFERROR(((S97/$F$97)*$D$97),0))+(IFERROR(((S99/$F$99)*$D$99),0))+(IFERROR(((S100/$F$100)*$D$100),0))+(IFERROR(((S101/$F$101)*$D$101),0))+(IFERROR(((S102/$F$102)*$D$102),0))+(IFERROR(((S103/$F$103)*$D$103),0))+(IFERROR(((S105/$F$105)*$D$105),0))+(IFERROR(((S106/$F$106)*$D$106),0))+(IFERROR(((S107/$F$107)*$D$107),0))+(IFERROR(((S108/$F$108)*$D$108),0))+(IFERROR(((S109/$F$109)*$D$109),0))+(IFERROR(((S111/$F$111)*$D$111),0))+(IFERROR(((S112/$F$112)*$D$112),0))+(IFERROR(((S113/$F$113)*$D$113),0))+(IFERROR(((S114/$F$114)*$D$114),0))+(IFERROR(((S115/$F$115)*$D$115),0))+(IFERROR(((S118/$F$118)*$D$118),0))+(IFERROR(((S119/$F$119)*$D$119),0))+(IFERROR(((S120/$F$120)*$D$120),0))+(IFERROR(((S121/$F$121)*$D$121),0))+(IFERROR(((S122/$F$122)*$D$122),0))+(IFERROR(((S124/$F$124)*$D$124),0))+(IFERROR(((S125/$F$125)*$D$125),0))+(IFERROR(((S126/$F$126)*$D$126),0))+(IFERROR(((S127/$F$127)*$D$127),0))+(IFERROR(((S128/$F$128)*$D$128),0))+(IFERROR(((S130/$F$130)*$D$130),0))+(IFERROR(((S131/$F$131)*$D$131),0))+(IFERROR(((S132/$F$132)*$D$132),0))+(IFERROR(((S133/$F$133)*$D$133),0))+(IFERROR(((S134/$F$134)*$D$134),0))+(IFERROR(((S136/$F$136)*$D$136),0))+(IFERROR(((S137/$F$137)*$D$137),0))+(IFERROR(((S138/$F$138)*$D$138),0))+(IFERROR(((S139/$F$139)*$D$139),0))+(IFERROR(((S140/$F$140)*$D$140),0))+(IFERROR(((S142/$F$142)*$D$142),0))+(IFERROR(((S143/$F$143)*$D$143),0))+(IFERROR(((S144/$F$144)*$D$144),0))+(IFERROR(((S145/$F$145)*$D$145),0))+(IFERROR(((S146/$F$146)*$D$146),0))+(IFERROR(((S149/$F$149)*$D$149),0))+(IFERROR(((S150/$F$150)*$D$150),0))+(IFERROR(((S151/$F$151)*$D$151),0))+(IFERROR(((S152/$F$152)*$D$152),0))+(IFERROR(((S153/$F$153)*$D$153),0))+(IFERROR(((S155/$F$155)*$D$155),0))+(IFERROR(((S156/$F$156)*$D$156),0))+(IFERROR(((S157/$F$157)*$D$157),0))+(IFERROR(((S158/$F$158)*$D$158),0))+(IFERROR(((S159/$F$159)*$D$159),0))+(IFERROR(((S161/$F$161)*$D$161),0))+(IFERROR(((S162/$F$162)*$D$162),0))+(IFERROR(((S163/$F$163)*$D$163),0))+(IFERROR(((S164/$F$164)*$D$164),0))+(IFERROR(((S165/$F$165)*$D$165),0))+(IFERROR(((S167/$F$167)*$D$167),0))+(IFERROR(((S168/R168)*P168),0))+(IFERROR(((S169/$F$169)*$D$169),0))+(IFERROR(((S170/$F$170)*$D$170),0))+(IFERROR(((S171/$F$171)*$D$171),0))+(IFERROR(((S173/$F$173)*$D$173),0))+(IFERROR(((S174/$F$174)*$D$174),0))+(IFERROR(((S175/$F$175)*$D$175),0))+(IFERROR(((S176/$F$176)*$D$176),0))+(IFERROR(((S177/$F$177)*$D$177),0))+(IFERROR(((S180/$F$180)*$D$180),0))+(IFERROR(((S181/$F$181)*$D$181),0))+(IFERROR(((S182/$F$182)*$D$182),0))+(IFERROR(((S183/$F$183)*$D$183),0))+(IFERROR(((S184/$F$184)*$D$184),0))+(IFERROR(((S186/$F$186)*$D$186),0))+(IFERROR(((S187/$F$187)*$D$187),0))+(IFERROR(((S188/$F$188)*$D$188),0))+(IFERROR(((S189/$F$189)*$D$189),0))+(IFERROR(((S190/$F$190)*$D$190),0))+(IFERROR(((S192/$F$192)*$D$192),0))+(IFERROR(((S193/$F$193)*$D$193),0))+(IFERROR(((S194/$F$194)*$D$194),0))+(IFERROR(((S195/$F$195)*$D$195),0))+(IFERROR(((S196/$F$196)*$D$196),0))+(IFERROR(((S198/$F$198)*$D$198),0))+(IFERROR(((S199/$F$199)*$D$199),0))+(IFERROR(((S200/$F$200)*$D$200),0))+(IFERROR(((S201/$F$201)*$D$201),0))+(IFERROR(((S202/$F$202)*$D$202),0))+(IFERROR(((S204/$F$204)*$D$204),0))+(IFERROR(((S205/$F$205)*$D$205),0))+(IFERROR(((S206/$F$206)*$D$206),0))+(IFERROR(((S207/$F$207)*$D$207),0))+(IFERROR(((S208/$F$208)*$D$208),0))</f>
        <v>0</v>
      </c>
      <c r="T209" s="742">
        <f t="shared" si="190"/>
        <v>0</v>
      </c>
      <c r="U209" s="742">
        <f t="shared" si="190"/>
        <v>0</v>
      </c>
      <c r="V209" s="742">
        <f t="shared" si="190"/>
        <v>0</v>
      </c>
      <c r="W209" s="742">
        <f t="shared" si="190"/>
        <v>0</v>
      </c>
      <c r="X209" s="742">
        <f t="shared" si="190"/>
        <v>0</v>
      </c>
      <c r="Y209" s="742">
        <f t="shared" si="190"/>
        <v>0</v>
      </c>
      <c r="Z209" s="742">
        <f t="shared" si="190"/>
        <v>0</v>
      </c>
      <c r="AA209" s="742">
        <f t="shared" si="190"/>
        <v>0</v>
      </c>
      <c r="AB209" s="742">
        <f t="shared" si="190"/>
        <v>0</v>
      </c>
      <c r="AC209" s="742">
        <f t="shared" si="190"/>
        <v>0</v>
      </c>
      <c r="AD209" s="742">
        <f t="shared" si="190"/>
        <v>0</v>
      </c>
    </row>
    <row r="210" spans="1:33" ht="18" customHeight="1" thickBot="1" x14ac:dyDescent="0.25">
      <c r="A210" s="1108" t="s">
        <v>343</v>
      </c>
      <c r="B210" s="1109"/>
      <c r="C210" s="1109"/>
      <c r="D210" s="1109"/>
      <c r="E210" s="1109"/>
      <c r="F210" s="1109"/>
      <c r="G210" s="83">
        <f>G209</f>
        <v>0</v>
      </c>
      <c r="H210" s="933">
        <f>H209+G210</f>
        <v>0.93193499999999996</v>
      </c>
      <c r="I210" s="933">
        <f>I209+H210</f>
        <v>0.93193499999999996</v>
      </c>
      <c r="J210" s="933">
        <f>J209+I210</f>
        <v>0.98653099999999994</v>
      </c>
      <c r="K210" s="83">
        <f ca="1">K209+J210</f>
        <v>0.98653099999999994</v>
      </c>
      <c r="L210" s="83">
        <f t="shared" ref="L210:AC210" ca="1" si="191">L209+K210</f>
        <v>0.98653099999999994</v>
      </c>
      <c r="M210" s="83">
        <f t="shared" ca="1" si="191"/>
        <v>0.98653099999999994</v>
      </c>
      <c r="N210" s="83">
        <f t="shared" ca="1" si="191"/>
        <v>0.98653099999999994</v>
      </c>
      <c r="O210" s="83">
        <f t="shared" ca="1" si="191"/>
        <v>0.98653099999999994</v>
      </c>
      <c r="P210" s="83">
        <f t="shared" ca="1" si="191"/>
        <v>0.98653099999999994</v>
      </c>
      <c r="Q210" s="83">
        <f t="shared" ca="1" si="191"/>
        <v>0.99999999999999989</v>
      </c>
      <c r="R210" s="83">
        <f ca="1">R209+Q210</f>
        <v>0.99999999999999989</v>
      </c>
      <c r="S210" s="83">
        <f t="shared" ca="1" si="191"/>
        <v>0.99999999999999989</v>
      </c>
      <c r="T210" s="83">
        <f t="shared" ca="1" si="191"/>
        <v>0.99999999999999989</v>
      </c>
      <c r="U210" s="83">
        <f t="shared" ca="1" si="191"/>
        <v>0.99999999999999989</v>
      </c>
      <c r="V210" s="83">
        <f t="shared" ca="1" si="191"/>
        <v>0.99999999999999989</v>
      </c>
      <c r="W210" s="83">
        <f t="shared" ca="1" si="191"/>
        <v>0.99999999999999989</v>
      </c>
      <c r="X210" s="83">
        <f t="shared" ca="1" si="191"/>
        <v>0.99999999999999989</v>
      </c>
      <c r="Y210" s="83">
        <f t="shared" ca="1" si="191"/>
        <v>0.99999999999999989</v>
      </c>
      <c r="Z210" s="83">
        <f t="shared" ca="1" si="191"/>
        <v>0.99999999999999989</v>
      </c>
      <c r="AA210" s="83">
        <f t="shared" ca="1" si="191"/>
        <v>0.99999999999999989</v>
      </c>
      <c r="AB210" s="83">
        <f t="shared" ca="1" si="191"/>
        <v>0.99999999999999989</v>
      </c>
      <c r="AC210" s="83">
        <f t="shared" ca="1" si="191"/>
        <v>0.99999999999999989</v>
      </c>
      <c r="AD210" s="83">
        <f ca="1">AD209+AC210</f>
        <v>0.99999999999999989</v>
      </c>
    </row>
    <row r="211" spans="1:33" ht="18" customHeight="1" thickBot="1" x14ac:dyDescent="0.25">
      <c r="A211" s="73"/>
      <c r="B211" s="73"/>
      <c r="C211" s="73"/>
      <c r="D211" s="74"/>
      <c r="E211" s="73"/>
      <c r="F211" s="73"/>
      <c r="G211" s="351"/>
      <c r="H211" s="351"/>
      <c r="I211" s="351"/>
      <c r="J211" s="351"/>
      <c r="K211" s="351"/>
      <c r="L211" s="351"/>
      <c r="M211" s="351"/>
      <c r="N211" s="351"/>
      <c r="O211" s="351"/>
      <c r="P211" s="351"/>
      <c r="Q211" s="351"/>
      <c r="R211" s="351"/>
      <c r="S211" s="351"/>
      <c r="T211" s="351"/>
      <c r="U211" s="351"/>
      <c r="V211" s="351"/>
      <c r="W211" s="351"/>
      <c r="X211" s="351"/>
      <c r="Y211" s="351"/>
      <c r="Z211" s="351"/>
      <c r="AA211" s="351"/>
      <c r="AB211" s="351"/>
      <c r="AC211" s="351"/>
      <c r="AD211" s="351"/>
    </row>
    <row r="212" spans="1:33" ht="33" customHeight="1" thickBot="1" x14ac:dyDescent="0.25">
      <c r="A212" s="84"/>
      <c r="C212" s="85"/>
      <c r="E212" s="1082" t="s">
        <v>344</v>
      </c>
      <c r="F212" s="1083"/>
      <c r="G212" s="1083"/>
      <c r="H212" s="1083"/>
      <c r="I212" s="1083"/>
      <c r="J212" s="1083"/>
      <c r="K212" s="1083"/>
      <c r="L212" s="1083"/>
      <c r="M212" s="1083"/>
      <c r="N212" s="1083"/>
      <c r="O212" s="1083"/>
      <c r="P212" s="1083"/>
      <c r="Q212" s="1084"/>
      <c r="R212" s="377" t="s">
        <v>345</v>
      </c>
      <c r="S212" s="1085"/>
      <c r="T212" s="1086"/>
      <c r="U212" s="1086"/>
      <c r="V212" s="1086"/>
      <c r="W212" s="1086"/>
      <c r="X212" s="1086"/>
      <c r="Y212" s="1086"/>
      <c r="Z212" s="1086"/>
      <c r="AA212" s="1086"/>
      <c r="AB212" s="1086"/>
      <c r="AC212" s="1086"/>
      <c r="AD212" s="1087"/>
    </row>
    <row r="213" spans="1:33" ht="18" customHeight="1" x14ac:dyDescent="0.2">
      <c r="E213" s="1113" t="s">
        <v>346</v>
      </c>
      <c r="F213" s="1114"/>
      <c r="G213" s="1114"/>
      <c r="H213" s="1114"/>
      <c r="I213" s="1114"/>
      <c r="J213" s="1114"/>
      <c r="K213" s="1114"/>
      <c r="L213" s="1114"/>
      <c r="M213" s="1114"/>
      <c r="N213" s="1114"/>
      <c r="O213" s="1114"/>
      <c r="P213" s="1114"/>
      <c r="Q213" s="1114"/>
      <c r="R213" s="1115"/>
      <c r="S213" s="1115"/>
      <c r="T213" s="1115"/>
      <c r="U213" s="1115"/>
      <c r="V213" s="1115"/>
      <c r="W213" s="1115"/>
      <c r="X213" s="1115"/>
      <c r="Y213" s="1115"/>
      <c r="Z213" s="1115"/>
      <c r="AA213" s="1115"/>
      <c r="AB213" s="1115"/>
      <c r="AC213" s="1115"/>
      <c r="AD213" s="1116"/>
    </row>
    <row r="214" spans="1:33" ht="18" customHeight="1" x14ac:dyDescent="0.2">
      <c r="E214" s="1117" t="s">
        <v>347</v>
      </c>
      <c r="F214" s="1076" t="s">
        <v>348</v>
      </c>
      <c r="G214" s="1076" t="s">
        <v>349</v>
      </c>
      <c r="H214" s="1076"/>
      <c r="I214" s="1076"/>
      <c r="J214" s="1076"/>
      <c r="K214" s="1076"/>
      <c r="L214" s="1076"/>
      <c r="M214" s="1076"/>
      <c r="N214" s="1076"/>
      <c r="O214" s="1076"/>
      <c r="P214" s="1076"/>
      <c r="Q214" s="1076"/>
      <c r="R214" s="1058"/>
      <c r="S214" s="1058"/>
      <c r="T214" s="1058"/>
      <c r="U214" s="1058"/>
      <c r="V214" s="1058"/>
      <c r="W214" s="1058"/>
      <c r="X214" s="1058"/>
      <c r="Y214" s="1058"/>
      <c r="Z214" s="1058"/>
      <c r="AA214" s="1058"/>
      <c r="AB214" s="1058"/>
      <c r="AC214" s="1058"/>
      <c r="AD214" s="1077"/>
    </row>
    <row r="215" spans="1:33" ht="30" customHeight="1" x14ac:dyDescent="0.2">
      <c r="E215" s="1117"/>
      <c r="F215" s="1076"/>
      <c r="G215" s="347" t="s">
        <v>122</v>
      </c>
      <c r="H215" s="347" t="s">
        <v>123</v>
      </c>
      <c r="I215" s="347" t="s">
        <v>124</v>
      </c>
      <c r="J215" s="347" t="s">
        <v>125</v>
      </c>
      <c r="K215" s="347" t="s">
        <v>126</v>
      </c>
      <c r="L215" s="347" t="s">
        <v>127</v>
      </c>
      <c r="M215" s="347" t="s">
        <v>128</v>
      </c>
      <c r="N215" s="347" t="s">
        <v>129</v>
      </c>
      <c r="O215" s="347" t="s">
        <v>130</v>
      </c>
      <c r="P215" s="347" t="s">
        <v>131</v>
      </c>
      <c r="Q215" s="347" t="s">
        <v>132</v>
      </c>
      <c r="R215" s="347" t="s">
        <v>133</v>
      </c>
      <c r="S215" s="347" t="s">
        <v>134</v>
      </c>
      <c r="T215" s="347" t="s">
        <v>135</v>
      </c>
      <c r="U215" s="347" t="s">
        <v>136</v>
      </c>
      <c r="V215" s="347" t="s">
        <v>137</v>
      </c>
      <c r="W215" s="347" t="s">
        <v>138</v>
      </c>
      <c r="X215" s="347" t="s">
        <v>139</v>
      </c>
      <c r="Y215" s="347" t="s">
        <v>140</v>
      </c>
      <c r="Z215" s="347" t="s">
        <v>141</v>
      </c>
      <c r="AA215" s="347" t="s">
        <v>142</v>
      </c>
      <c r="AB215" s="347" t="s">
        <v>143</v>
      </c>
      <c r="AC215" s="347" t="s">
        <v>144</v>
      </c>
      <c r="AD215" s="76" t="s">
        <v>145</v>
      </c>
    </row>
    <row r="216" spans="1:33" ht="21" customHeight="1" x14ac:dyDescent="0.2">
      <c r="E216" s="603">
        <v>1290000000</v>
      </c>
      <c r="F216" s="604">
        <f>+E216</f>
        <v>1290000000</v>
      </c>
      <c r="G216" s="605">
        <f>$F$216*G217</f>
        <v>0</v>
      </c>
      <c r="H216" s="605">
        <f>$F$216*H217</f>
        <v>1202196150</v>
      </c>
      <c r="I216" s="605">
        <f>$F$216*I217</f>
        <v>0</v>
      </c>
      <c r="J216" s="605">
        <f>$F$216*J217</f>
        <v>70428840</v>
      </c>
      <c r="K216" s="605">
        <f t="shared" ref="K216:AD216" ca="1" si="192">$F$216*K217</f>
        <v>0</v>
      </c>
      <c r="L216" s="605">
        <f t="shared" si="192"/>
        <v>0</v>
      </c>
      <c r="M216" s="605">
        <f>$F$216*M217</f>
        <v>0</v>
      </c>
      <c r="N216" s="605">
        <f t="shared" si="192"/>
        <v>0</v>
      </c>
      <c r="O216" s="605">
        <f t="shared" si="192"/>
        <v>0</v>
      </c>
      <c r="P216" s="605">
        <f t="shared" si="192"/>
        <v>0</v>
      </c>
      <c r="Q216" s="605">
        <f t="shared" si="192"/>
        <v>17375010</v>
      </c>
      <c r="R216" s="605">
        <f t="shared" si="192"/>
        <v>0</v>
      </c>
      <c r="S216" s="605">
        <f t="shared" si="192"/>
        <v>0</v>
      </c>
      <c r="T216" s="605">
        <f t="shared" si="192"/>
        <v>0</v>
      </c>
      <c r="U216" s="605">
        <f t="shared" si="192"/>
        <v>0</v>
      </c>
      <c r="V216" s="605">
        <f t="shared" si="192"/>
        <v>0</v>
      </c>
      <c r="W216" s="605">
        <f t="shared" si="192"/>
        <v>0</v>
      </c>
      <c r="X216" s="605">
        <f t="shared" si="192"/>
        <v>0</v>
      </c>
      <c r="Y216" s="605">
        <f t="shared" si="192"/>
        <v>0</v>
      </c>
      <c r="Z216" s="605">
        <f t="shared" si="192"/>
        <v>0</v>
      </c>
      <c r="AA216" s="605">
        <f t="shared" si="192"/>
        <v>0</v>
      </c>
      <c r="AB216" s="605">
        <f t="shared" si="192"/>
        <v>0</v>
      </c>
      <c r="AC216" s="605">
        <f t="shared" si="192"/>
        <v>0</v>
      </c>
      <c r="AD216" s="606">
        <f t="shared" si="192"/>
        <v>0</v>
      </c>
      <c r="AE216" s="376"/>
      <c r="AF216" s="376"/>
      <c r="AG216" s="376"/>
    </row>
    <row r="217" spans="1:33" ht="21" customHeight="1" x14ac:dyDescent="0.2">
      <c r="E217" s="1078" t="s">
        <v>350</v>
      </c>
      <c r="F217" s="1079"/>
      <c r="G217" s="352">
        <f>G209</f>
        <v>0</v>
      </c>
      <c r="H217" s="352">
        <f t="shared" ref="H217:AD217" si="193">H209</f>
        <v>0.93193499999999996</v>
      </c>
      <c r="I217" s="352">
        <f t="shared" si="193"/>
        <v>0</v>
      </c>
      <c r="J217" s="352">
        <f t="shared" si="193"/>
        <v>5.4595999999999999E-2</v>
      </c>
      <c r="K217" s="352">
        <f t="shared" ca="1" si="193"/>
        <v>0</v>
      </c>
      <c r="L217" s="352">
        <f t="shared" si="193"/>
        <v>0</v>
      </c>
      <c r="M217" s="352">
        <f t="shared" si="193"/>
        <v>0</v>
      </c>
      <c r="N217" s="352">
        <f t="shared" si="193"/>
        <v>0</v>
      </c>
      <c r="O217" s="352">
        <f t="shared" si="193"/>
        <v>0</v>
      </c>
      <c r="P217" s="352">
        <f t="shared" si="193"/>
        <v>0</v>
      </c>
      <c r="Q217" s="352">
        <f t="shared" si="193"/>
        <v>1.3469E-2</v>
      </c>
      <c r="R217" s="352">
        <f t="shared" si="193"/>
        <v>0</v>
      </c>
      <c r="S217" s="352">
        <f t="shared" si="193"/>
        <v>0</v>
      </c>
      <c r="T217" s="352">
        <f t="shared" si="193"/>
        <v>0</v>
      </c>
      <c r="U217" s="352">
        <f t="shared" si="193"/>
        <v>0</v>
      </c>
      <c r="V217" s="352">
        <f t="shared" si="193"/>
        <v>0</v>
      </c>
      <c r="W217" s="352">
        <f t="shared" si="193"/>
        <v>0</v>
      </c>
      <c r="X217" s="352">
        <f t="shared" si="193"/>
        <v>0</v>
      </c>
      <c r="Y217" s="352">
        <f t="shared" si="193"/>
        <v>0</v>
      </c>
      <c r="Z217" s="352">
        <f t="shared" si="193"/>
        <v>0</v>
      </c>
      <c r="AA217" s="352">
        <f t="shared" si="193"/>
        <v>0</v>
      </c>
      <c r="AB217" s="352">
        <f t="shared" si="193"/>
        <v>0</v>
      </c>
      <c r="AC217" s="352">
        <f t="shared" si="193"/>
        <v>0</v>
      </c>
      <c r="AD217" s="353">
        <f t="shared" si="193"/>
        <v>0</v>
      </c>
    </row>
    <row r="218" spans="1:33" ht="21" customHeight="1" thickBot="1" x14ac:dyDescent="0.25">
      <c r="E218" s="1078" t="s">
        <v>351</v>
      </c>
      <c r="F218" s="1079"/>
      <c r="G218" s="352">
        <f>+G217</f>
        <v>0</v>
      </c>
      <c r="H218" s="352">
        <f>+G218+H217</f>
        <v>0.93193499999999996</v>
      </c>
      <c r="I218" s="352">
        <f>+H218+I217</f>
        <v>0.93193499999999996</v>
      </c>
      <c r="J218" s="352">
        <f>+I218+J217</f>
        <v>0.98653099999999994</v>
      </c>
      <c r="K218" s="352">
        <f t="shared" ref="K218:Q218" ca="1" si="194">+J218+K217</f>
        <v>0.98653099999999994</v>
      </c>
      <c r="L218" s="352">
        <f ca="1">+K218+L217</f>
        <v>0.98653099999999994</v>
      </c>
      <c r="M218" s="352">
        <f t="shared" ca="1" si="194"/>
        <v>0.98653099999999994</v>
      </c>
      <c r="N218" s="352">
        <f t="shared" ca="1" si="194"/>
        <v>0.98653099999999994</v>
      </c>
      <c r="O218" s="352">
        <f t="shared" ca="1" si="194"/>
        <v>0.98653099999999994</v>
      </c>
      <c r="P218" s="352">
        <f t="shared" ca="1" si="194"/>
        <v>0.98653099999999994</v>
      </c>
      <c r="Q218" s="352">
        <f t="shared" ca="1" si="194"/>
        <v>0.99999999999999989</v>
      </c>
      <c r="R218" s="352">
        <f t="shared" ref="R218" ca="1" si="195">+Q218+R217</f>
        <v>0.99999999999999989</v>
      </c>
      <c r="S218" s="352">
        <f t="shared" ref="S218" ca="1" si="196">+R218+S217</f>
        <v>0.99999999999999989</v>
      </c>
      <c r="T218" s="352">
        <f t="shared" ref="T218" ca="1" si="197">+S218+T217</f>
        <v>0.99999999999999989</v>
      </c>
      <c r="U218" s="352">
        <f t="shared" ref="U218" ca="1" si="198">+T218+U217</f>
        <v>0.99999999999999989</v>
      </c>
      <c r="V218" s="352">
        <f t="shared" ref="V218" ca="1" si="199">+U218+V217</f>
        <v>0.99999999999999989</v>
      </c>
      <c r="W218" s="352">
        <f t="shared" ref="W218" ca="1" si="200">+V218+W217</f>
        <v>0.99999999999999989</v>
      </c>
      <c r="X218" s="352">
        <f t="shared" ref="X218" ca="1" si="201">+W218+X217</f>
        <v>0.99999999999999989</v>
      </c>
      <c r="Y218" s="352">
        <f t="shared" ref="Y218" ca="1" si="202">+X218+Y217</f>
        <v>0.99999999999999989</v>
      </c>
      <c r="Z218" s="352">
        <f t="shared" ref="Z218" ca="1" si="203">+Y218+Z217</f>
        <v>0.99999999999999989</v>
      </c>
      <c r="AA218" s="352">
        <f t="shared" ref="AA218" ca="1" si="204">+Z218+AA217</f>
        <v>0.99999999999999989</v>
      </c>
      <c r="AB218" s="352">
        <f t="shared" ref="AB218" ca="1" si="205">+AA218+AB217</f>
        <v>0.99999999999999989</v>
      </c>
      <c r="AC218" s="352">
        <f t="shared" ref="AC218" ca="1" si="206">+AB218+AC217</f>
        <v>0.99999999999999989</v>
      </c>
      <c r="AD218" s="353">
        <f t="shared" ref="AD218" ca="1" si="207">+AC218+AD217</f>
        <v>0.99999999999999989</v>
      </c>
    </row>
    <row r="219" spans="1:33" ht="21" customHeight="1" x14ac:dyDescent="0.2">
      <c r="C219" s="1069" t="s">
        <v>352</v>
      </c>
      <c r="D219" s="1070"/>
      <c r="E219" s="1118" t="s">
        <v>353</v>
      </c>
      <c r="F219" s="1119"/>
      <c r="G219" s="93"/>
      <c r="H219" s="93"/>
      <c r="I219" s="93"/>
      <c r="J219" s="93"/>
      <c r="K219" s="93"/>
      <c r="L219" s="93"/>
      <c r="M219" s="93"/>
      <c r="N219" s="93"/>
      <c r="O219" s="93"/>
      <c r="P219" s="93"/>
      <c r="Q219" s="93"/>
      <c r="R219" s="93"/>
      <c r="S219" s="93"/>
      <c r="T219" s="93"/>
      <c r="U219" s="93"/>
      <c r="V219" s="93"/>
      <c r="W219" s="93"/>
      <c r="X219" s="93"/>
      <c r="Y219" s="93"/>
      <c r="Z219" s="93"/>
      <c r="AA219" s="93"/>
      <c r="AB219" s="93"/>
      <c r="AC219" s="93"/>
      <c r="AD219" s="429"/>
    </row>
    <row r="220" spans="1:33" ht="21" customHeight="1" x14ac:dyDescent="0.2">
      <c r="C220" s="1071"/>
      <c r="D220" s="1072"/>
      <c r="E220" s="1111" t="s">
        <v>354</v>
      </c>
      <c r="F220" s="1112"/>
      <c r="G220" s="87">
        <f>IFERROR(G219/$F$216,0)</f>
        <v>0</v>
      </c>
      <c r="H220" s="87">
        <f t="shared" ref="H220:AD220" si="208">IFERROR(H219/$F$216,0)</f>
        <v>0</v>
      </c>
      <c r="I220" s="87">
        <f t="shared" si="208"/>
        <v>0</v>
      </c>
      <c r="J220" s="87">
        <f>IFERROR(J219/$F$216,0)</f>
        <v>0</v>
      </c>
      <c r="K220" s="87">
        <f t="shared" si="208"/>
        <v>0</v>
      </c>
      <c r="L220" s="87">
        <f t="shared" si="208"/>
        <v>0</v>
      </c>
      <c r="M220" s="87">
        <f t="shared" si="208"/>
        <v>0</v>
      </c>
      <c r="N220" s="87">
        <f t="shared" si="208"/>
        <v>0</v>
      </c>
      <c r="O220" s="87">
        <f t="shared" si="208"/>
        <v>0</v>
      </c>
      <c r="P220" s="87">
        <f t="shared" si="208"/>
        <v>0</v>
      </c>
      <c r="Q220" s="87">
        <f t="shared" si="208"/>
        <v>0</v>
      </c>
      <c r="R220" s="87">
        <f t="shared" si="208"/>
        <v>0</v>
      </c>
      <c r="S220" s="87">
        <f t="shared" si="208"/>
        <v>0</v>
      </c>
      <c r="T220" s="87">
        <f t="shared" si="208"/>
        <v>0</v>
      </c>
      <c r="U220" s="87">
        <f t="shared" si="208"/>
        <v>0</v>
      </c>
      <c r="V220" s="87">
        <f t="shared" si="208"/>
        <v>0</v>
      </c>
      <c r="W220" s="87">
        <f t="shared" si="208"/>
        <v>0</v>
      </c>
      <c r="X220" s="87">
        <f t="shared" si="208"/>
        <v>0</v>
      </c>
      <c r="Y220" s="87">
        <f t="shared" si="208"/>
        <v>0</v>
      </c>
      <c r="Z220" s="87">
        <f t="shared" si="208"/>
        <v>0</v>
      </c>
      <c r="AA220" s="87">
        <f t="shared" si="208"/>
        <v>0</v>
      </c>
      <c r="AB220" s="87">
        <f t="shared" si="208"/>
        <v>0</v>
      </c>
      <c r="AC220" s="87">
        <f t="shared" si="208"/>
        <v>0</v>
      </c>
      <c r="AD220" s="354">
        <f t="shared" si="208"/>
        <v>0</v>
      </c>
    </row>
    <row r="221" spans="1:33" ht="21" customHeight="1" thickBot="1" x14ac:dyDescent="0.25">
      <c r="C221" s="1073"/>
      <c r="D221" s="1074"/>
      <c r="E221" s="1080" t="s">
        <v>355</v>
      </c>
      <c r="F221" s="1081"/>
      <c r="G221" s="355">
        <f>G220</f>
        <v>0</v>
      </c>
      <c r="H221" s="355">
        <f>G221+H220</f>
        <v>0</v>
      </c>
      <c r="I221" s="355">
        <f>H221+I220</f>
        <v>0</v>
      </c>
      <c r="J221" s="355">
        <f>I221+J220</f>
        <v>0</v>
      </c>
      <c r="K221" s="355">
        <f>J221+K220</f>
        <v>0</v>
      </c>
      <c r="L221" s="355">
        <f>K221+L220</f>
        <v>0</v>
      </c>
      <c r="M221" s="355">
        <f t="shared" ref="M221:Q221" si="209">L221+M220</f>
        <v>0</v>
      </c>
      <c r="N221" s="355">
        <f t="shared" si="209"/>
        <v>0</v>
      </c>
      <c r="O221" s="355">
        <f t="shared" si="209"/>
        <v>0</v>
      </c>
      <c r="P221" s="355">
        <f t="shared" si="209"/>
        <v>0</v>
      </c>
      <c r="Q221" s="355">
        <f t="shared" si="209"/>
        <v>0</v>
      </c>
      <c r="R221" s="355">
        <f t="shared" ref="R221" si="210">Q221+R220</f>
        <v>0</v>
      </c>
      <c r="S221" s="355">
        <f t="shared" ref="S221" si="211">R221+S220</f>
        <v>0</v>
      </c>
      <c r="T221" s="355">
        <f t="shared" ref="T221" si="212">S221+T220</f>
        <v>0</v>
      </c>
      <c r="U221" s="355">
        <f t="shared" ref="U221" si="213">T221+U220</f>
        <v>0</v>
      </c>
      <c r="V221" s="355">
        <f t="shared" ref="V221" si="214">U221+V220</f>
        <v>0</v>
      </c>
      <c r="W221" s="355">
        <f t="shared" ref="W221" si="215">V221+W220</f>
        <v>0</v>
      </c>
      <c r="X221" s="355">
        <f t="shared" ref="X221" si="216">W221+X220</f>
        <v>0</v>
      </c>
      <c r="Y221" s="355">
        <f t="shared" ref="Y221" si="217">X221+Y220</f>
        <v>0</v>
      </c>
      <c r="Z221" s="355">
        <f t="shared" ref="Z221" si="218">Y221+Z220</f>
        <v>0</v>
      </c>
      <c r="AA221" s="355">
        <f t="shared" ref="AA221" si="219">Z221+AA220</f>
        <v>0</v>
      </c>
      <c r="AB221" s="355">
        <f t="shared" ref="AB221" si="220">AA221+AB220</f>
        <v>0</v>
      </c>
      <c r="AC221" s="355">
        <f t="shared" ref="AC221" si="221">AB221+AC220</f>
        <v>0</v>
      </c>
      <c r="AD221" s="356">
        <f t="shared" ref="AD221" si="222">AC221+AD220</f>
        <v>0</v>
      </c>
    </row>
    <row r="222" spans="1:33" ht="18" customHeight="1" thickBot="1" x14ac:dyDescent="0.25">
      <c r="E222" s="88"/>
      <c r="F222" s="88"/>
      <c r="G222" s="85"/>
      <c r="H222" s="85"/>
      <c r="I222" s="85"/>
      <c r="J222" s="85"/>
      <c r="K222" s="85"/>
      <c r="L222" s="85"/>
      <c r="M222" s="85"/>
      <c r="N222" s="85"/>
      <c r="O222" s="85"/>
      <c r="P222" s="85"/>
      <c r="Q222" s="85"/>
      <c r="R222" s="85"/>
      <c r="S222" s="85"/>
      <c r="T222" s="85"/>
      <c r="U222" s="85"/>
      <c r="V222" s="85"/>
      <c r="W222" s="85"/>
      <c r="X222" s="85"/>
      <c r="Y222" s="85"/>
      <c r="Z222" s="85"/>
      <c r="AA222" s="85"/>
      <c r="AB222" s="85"/>
      <c r="AC222" s="85"/>
      <c r="AD222" s="85"/>
    </row>
    <row r="223" spans="1:33" ht="20.100000000000001" customHeight="1" x14ac:dyDescent="0.2">
      <c r="C223" s="1100" t="s">
        <v>356</v>
      </c>
      <c r="D223" s="1101"/>
      <c r="E223" s="1101"/>
      <c r="F223" s="1101"/>
      <c r="G223" s="1101"/>
      <c r="H223" s="1101"/>
      <c r="I223" s="1101"/>
      <c r="J223" s="1101"/>
      <c r="K223" s="1101"/>
      <c r="L223" s="1101"/>
      <c r="M223" s="1101"/>
      <c r="N223" s="1101"/>
      <c r="O223" s="1101"/>
      <c r="P223" s="1101"/>
      <c r="Q223" s="1101"/>
      <c r="R223" s="1101"/>
      <c r="S223" s="1101"/>
      <c r="T223" s="1101"/>
      <c r="U223" s="1101"/>
      <c r="V223" s="1101"/>
      <c r="W223" s="1101"/>
      <c r="X223" s="1101"/>
      <c r="Y223" s="1101"/>
      <c r="Z223" s="1101"/>
      <c r="AA223" s="1101"/>
      <c r="AB223" s="1101"/>
      <c r="AC223" s="1101"/>
      <c r="AD223" s="1101"/>
      <c r="AE223" s="1102"/>
    </row>
    <row r="224" spans="1:33" ht="20.100000000000001" customHeight="1" x14ac:dyDescent="0.2">
      <c r="C224" s="1049" t="s">
        <v>357</v>
      </c>
      <c r="D224" s="1056" t="s">
        <v>358</v>
      </c>
      <c r="E224" s="1052" t="s">
        <v>359</v>
      </c>
      <c r="F224" s="1058" t="s">
        <v>349</v>
      </c>
      <c r="G224" s="1059"/>
      <c r="H224" s="1059"/>
      <c r="I224" s="1059"/>
      <c r="J224" s="1059"/>
      <c r="K224" s="1059"/>
      <c r="L224" s="1059"/>
      <c r="M224" s="1059"/>
      <c r="N224" s="1059"/>
      <c r="O224" s="1059"/>
      <c r="P224" s="1059"/>
      <c r="Q224" s="1059"/>
      <c r="R224" s="1059"/>
      <c r="S224" s="1059"/>
      <c r="T224" s="1059"/>
      <c r="U224" s="1059"/>
      <c r="V224" s="1059"/>
      <c r="W224" s="1059"/>
      <c r="X224" s="1059"/>
      <c r="Y224" s="1059"/>
      <c r="Z224" s="1059"/>
      <c r="AA224" s="1059"/>
      <c r="AB224" s="1059"/>
      <c r="AC224" s="1059"/>
      <c r="AD224" s="1059"/>
      <c r="AE224" s="1060"/>
    </row>
    <row r="225" spans="2:43" ht="45.75" customHeight="1" x14ac:dyDescent="0.2">
      <c r="C225" s="1049"/>
      <c r="D225" s="1057"/>
      <c r="E225" s="1052"/>
      <c r="F225" s="89"/>
      <c r="G225" s="347" t="s">
        <v>122</v>
      </c>
      <c r="H225" s="347" t="s">
        <v>123</v>
      </c>
      <c r="I225" s="347" t="s">
        <v>124</v>
      </c>
      <c r="J225" s="347" t="s">
        <v>125</v>
      </c>
      <c r="K225" s="347" t="s">
        <v>126</v>
      </c>
      <c r="L225" s="347" t="s">
        <v>127</v>
      </c>
      <c r="M225" s="347" t="s">
        <v>128</v>
      </c>
      <c r="N225" s="347" t="s">
        <v>129</v>
      </c>
      <c r="O225" s="347" t="s">
        <v>130</v>
      </c>
      <c r="P225" s="347" t="s">
        <v>131</v>
      </c>
      <c r="Q225" s="347" t="s">
        <v>132</v>
      </c>
      <c r="R225" s="347" t="s">
        <v>133</v>
      </c>
      <c r="S225" s="347" t="s">
        <v>134</v>
      </c>
      <c r="T225" s="347" t="s">
        <v>135</v>
      </c>
      <c r="U225" s="347" t="s">
        <v>136</v>
      </c>
      <c r="V225" s="347" t="s">
        <v>137</v>
      </c>
      <c r="W225" s="347" t="s">
        <v>138</v>
      </c>
      <c r="X225" s="347" t="s">
        <v>139</v>
      </c>
      <c r="Y225" s="347" t="s">
        <v>140</v>
      </c>
      <c r="Z225" s="347" t="s">
        <v>141</v>
      </c>
      <c r="AA225" s="347" t="s">
        <v>142</v>
      </c>
      <c r="AB225" s="347" t="s">
        <v>143</v>
      </c>
      <c r="AC225" s="347" t="s">
        <v>144</v>
      </c>
      <c r="AD225" s="347" t="s">
        <v>145</v>
      </c>
      <c r="AE225" s="76" t="s">
        <v>360</v>
      </c>
    </row>
    <row r="226" spans="2:43" ht="26.25" customHeight="1" x14ac:dyDescent="0.2">
      <c r="C226" s="1050">
        <f>E216+D226</f>
        <v>1290000000</v>
      </c>
      <c r="D226" s="1051"/>
      <c r="E226" s="1051">
        <f>F216+D226</f>
        <v>1290000000</v>
      </c>
      <c r="F226" s="90" t="s">
        <v>353</v>
      </c>
      <c r="G226" s="427">
        <f>G219</f>
        <v>0</v>
      </c>
      <c r="H226" s="427">
        <f t="shared" ref="H226:Q226" si="223">H219</f>
        <v>0</v>
      </c>
      <c r="I226" s="427">
        <f t="shared" si="223"/>
        <v>0</v>
      </c>
      <c r="J226" s="427">
        <f t="shared" si="223"/>
        <v>0</v>
      </c>
      <c r="K226" s="427">
        <f t="shared" si="223"/>
        <v>0</v>
      </c>
      <c r="L226" s="427">
        <f t="shared" si="223"/>
        <v>0</v>
      </c>
      <c r="M226" s="427">
        <f t="shared" si="223"/>
        <v>0</v>
      </c>
      <c r="N226" s="427">
        <f t="shared" si="223"/>
        <v>0</v>
      </c>
      <c r="O226" s="427">
        <f t="shared" si="223"/>
        <v>0</v>
      </c>
      <c r="P226" s="427">
        <f t="shared" si="223"/>
        <v>0</v>
      </c>
      <c r="Q226" s="427">
        <f t="shared" si="223"/>
        <v>0</v>
      </c>
      <c r="R226" s="427">
        <f t="shared" ref="R226:AC226" si="224">R219</f>
        <v>0</v>
      </c>
      <c r="S226" s="427">
        <f t="shared" si="224"/>
        <v>0</v>
      </c>
      <c r="T226" s="427">
        <f t="shared" si="224"/>
        <v>0</v>
      </c>
      <c r="U226" s="427">
        <f t="shared" si="224"/>
        <v>0</v>
      </c>
      <c r="V226" s="427">
        <f t="shared" si="224"/>
        <v>0</v>
      </c>
      <c r="W226" s="427">
        <f t="shared" si="224"/>
        <v>0</v>
      </c>
      <c r="X226" s="427">
        <f t="shared" si="224"/>
        <v>0</v>
      </c>
      <c r="Y226" s="427">
        <f t="shared" si="224"/>
        <v>0</v>
      </c>
      <c r="Z226" s="427">
        <f t="shared" si="224"/>
        <v>0</v>
      </c>
      <c r="AA226" s="427">
        <f t="shared" si="224"/>
        <v>0</v>
      </c>
      <c r="AB226" s="427">
        <f t="shared" si="224"/>
        <v>0</v>
      </c>
      <c r="AC226" s="427">
        <f t="shared" si="224"/>
        <v>0</v>
      </c>
      <c r="AD226" s="427">
        <f>AD219</f>
        <v>0</v>
      </c>
      <c r="AE226" s="357">
        <f>SUM(G226:AD226)</f>
        <v>0</v>
      </c>
    </row>
    <row r="227" spans="2:43" ht="18" customHeight="1" x14ac:dyDescent="0.2">
      <c r="C227" s="1050"/>
      <c r="D227" s="1051"/>
      <c r="E227" s="1051"/>
      <c r="F227" s="91" t="s">
        <v>350</v>
      </c>
      <c r="G227" s="7">
        <f>IFERROR(G226/$E$226,0)</f>
        <v>0</v>
      </c>
      <c r="H227" s="7">
        <f t="shared" ref="H227:AD227" si="225">IFERROR(H226/$E$226,0)</f>
        <v>0</v>
      </c>
      <c r="I227" s="7">
        <f t="shared" si="225"/>
        <v>0</v>
      </c>
      <c r="J227" s="7">
        <f t="shared" si="225"/>
        <v>0</v>
      </c>
      <c r="K227" s="7">
        <f t="shared" si="225"/>
        <v>0</v>
      </c>
      <c r="L227" s="7">
        <f t="shared" si="225"/>
        <v>0</v>
      </c>
      <c r="M227" s="7">
        <f t="shared" si="225"/>
        <v>0</v>
      </c>
      <c r="N227" s="7">
        <f t="shared" si="225"/>
        <v>0</v>
      </c>
      <c r="O227" s="7">
        <f t="shared" si="225"/>
        <v>0</v>
      </c>
      <c r="P227" s="7">
        <f t="shared" si="225"/>
        <v>0</v>
      </c>
      <c r="Q227" s="7">
        <f t="shared" si="225"/>
        <v>0</v>
      </c>
      <c r="R227" s="7">
        <f t="shared" si="225"/>
        <v>0</v>
      </c>
      <c r="S227" s="7">
        <f t="shared" si="225"/>
        <v>0</v>
      </c>
      <c r="T227" s="7">
        <f t="shared" si="225"/>
        <v>0</v>
      </c>
      <c r="U227" s="7">
        <f t="shared" si="225"/>
        <v>0</v>
      </c>
      <c r="V227" s="7">
        <f t="shared" si="225"/>
        <v>0</v>
      </c>
      <c r="W227" s="7">
        <f t="shared" si="225"/>
        <v>0</v>
      </c>
      <c r="X227" s="7">
        <f t="shared" si="225"/>
        <v>0</v>
      </c>
      <c r="Y227" s="7">
        <f t="shared" si="225"/>
        <v>0</v>
      </c>
      <c r="Z227" s="7">
        <f t="shared" si="225"/>
        <v>0</v>
      </c>
      <c r="AA227" s="7">
        <f t="shared" si="225"/>
        <v>0</v>
      </c>
      <c r="AB227" s="7">
        <f t="shared" si="225"/>
        <v>0</v>
      </c>
      <c r="AC227" s="7">
        <f t="shared" si="225"/>
        <v>0</v>
      </c>
      <c r="AD227" s="7">
        <f t="shared" si="225"/>
        <v>0</v>
      </c>
      <c r="AE227" s="358"/>
    </row>
    <row r="228" spans="2:43" ht="27.75" customHeight="1" x14ac:dyDescent="0.2">
      <c r="C228" s="1050"/>
      <c r="D228" s="1051"/>
      <c r="E228" s="1051"/>
      <c r="F228" s="92" t="s">
        <v>351</v>
      </c>
      <c r="G228" s="87">
        <f>+G227</f>
        <v>0</v>
      </c>
      <c r="H228" s="87">
        <f>+G228+H227</f>
        <v>0</v>
      </c>
      <c r="I228" s="87">
        <f>+H228+I227</f>
        <v>0</v>
      </c>
      <c r="J228" s="87">
        <f>+I228+J227</f>
        <v>0</v>
      </c>
      <c r="K228" s="87">
        <f t="shared" ref="K228" si="226">+J228+K227</f>
        <v>0</v>
      </c>
      <c r="L228" s="87">
        <f t="shared" ref="L228" si="227">+K228+L227</f>
        <v>0</v>
      </c>
      <c r="M228" s="87">
        <f t="shared" ref="M228" si="228">+L228+M227</f>
        <v>0</v>
      </c>
      <c r="N228" s="87">
        <f t="shared" ref="N228" si="229">+M228+N227</f>
        <v>0</v>
      </c>
      <c r="O228" s="87">
        <f t="shared" ref="O228" si="230">+N228+O227</f>
        <v>0</v>
      </c>
      <c r="P228" s="87">
        <f t="shared" ref="P228" si="231">+O228+P227</f>
        <v>0</v>
      </c>
      <c r="Q228" s="87">
        <f t="shared" ref="Q228" si="232">+P228+Q227</f>
        <v>0</v>
      </c>
      <c r="R228" s="87">
        <f t="shared" ref="R228" si="233">+Q228+R227</f>
        <v>0</v>
      </c>
      <c r="S228" s="87">
        <f t="shared" ref="S228" si="234">+R228+S227</f>
        <v>0</v>
      </c>
      <c r="T228" s="87">
        <f t="shared" ref="T228" si="235">+S228+T227</f>
        <v>0</v>
      </c>
      <c r="U228" s="87">
        <f t="shared" ref="U228" si="236">+T228+U227</f>
        <v>0</v>
      </c>
      <c r="V228" s="87">
        <f t="shared" ref="V228" si="237">+U228+V227</f>
        <v>0</v>
      </c>
      <c r="W228" s="87">
        <f t="shared" ref="W228" si="238">+V228+W227</f>
        <v>0</v>
      </c>
      <c r="X228" s="87">
        <f t="shared" ref="X228" si="239">+W228+X227</f>
        <v>0</v>
      </c>
      <c r="Y228" s="87">
        <f t="shared" ref="Y228" si="240">+X228+Y227</f>
        <v>0</v>
      </c>
      <c r="Z228" s="87">
        <f t="shared" ref="Z228" si="241">+Y228+Z227</f>
        <v>0</v>
      </c>
      <c r="AA228" s="87">
        <f t="shared" ref="AA228" si="242">+Z228+AA227</f>
        <v>0</v>
      </c>
      <c r="AB228" s="87">
        <f t="shared" ref="AB228" si="243">+AA228+AB227</f>
        <v>0</v>
      </c>
      <c r="AC228" s="87">
        <f t="shared" ref="AC228" si="244">+AB228+AC227</f>
        <v>0</v>
      </c>
      <c r="AD228" s="87">
        <f>+AC228+AD227</f>
        <v>0</v>
      </c>
      <c r="AE228" s="358"/>
    </row>
    <row r="229" spans="2:43" ht="28.5" customHeight="1" x14ac:dyDescent="0.2">
      <c r="C229" s="1050"/>
      <c r="D229" s="1051"/>
      <c r="E229" s="1051"/>
      <c r="F229" s="90" t="s">
        <v>361</v>
      </c>
      <c r="G229" s="93"/>
      <c r="H229" s="93"/>
      <c r="I229" s="93"/>
      <c r="J229" s="93"/>
      <c r="K229" s="93"/>
      <c r="L229" s="93"/>
      <c r="M229" s="93"/>
      <c r="N229" s="93"/>
      <c r="O229" s="93"/>
      <c r="P229" s="93"/>
      <c r="Q229" s="93"/>
      <c r="R229" s="93"/>
      <c r="S229" s="93"/>
      <c r="T229" s="93"/>
      <c r="U229" s="93"/>
      <c r="V229" s="93"/>
      <c r="W229" s="93"/>
      <c r="X229" s="93"/>
      <c r="Y229" s="93"/>
      <c r="Z229" s="93"/>
      <c r="AA229" s="93"/>
      <c r="AB229" s="93"/>
      <c r="AC229" s="93"/>
      <c r="AD229" s="93"/>
      <c r="AE229" s="357">
        <f>SUM(G229:AD229)</f>
        <v>0</v>
      </c>
    </row>
    <row r="230" spans="2:43" ht="18" customHeight="1" x14ac:dyDescent="0.2">
      <c r="C230" s="1050"/>
      <c r="D230" s="1051"/>
      <c r="E230" s="1051"/>
      <c r="F230" s="91" t="s">
        <v>350</v>
      </c>
      <c r="G230" s="7">
        <f>IFERROR(G229/$E$226,0)</f>
        <v>0</v>
      </c>
      <c r="H230" s="7">
        <f t="shared" ref="H230:AD230" si="245">IFERROR(H229/$E$226,0)</f>
        <v>0</v>
      </c>
      <c r="I230" s="7">
        <f t="shared" si="245"/>
        <v>0</v>
      </c>
      <c r="J230" s="7">
        <f t="shared" si="245"/>
        <v>0</v>
      </c>
      <c r="K230" s="7">
        <f t="shared" si="245"/>
        <v>0</v>
      </c>
      <c r="L230" s="7">
        <f t="shared" si="245"/>
        <v>0</v>
      </c>
      <c r="M230" s="7">
        <f t="shared" si="245"/>
        <v>0</v>
      </c>
      <c r="N230" s="7">
        <f t="shared" si="245"/>
        <v>0</v>
      </c>
      <c r="O230" s="7">
        <f t="shared" si="245"/>
        <v>0</v>
      </c>
      <c r="P230" s="7">
        <f t="shared" si="245"/>
        <v>0</v>
      </c>
      <c r="Q230" s="7">
        <f t="shared" si="245"/>
        <v>0</v>
      </c>
      <c r="R230" s="7">
        <f t="shared" si="245"/>
        <v>0</v>
      </c>
      <c r="S230" s="7">
        <f t="shared" si="245"/>
        <v>0</v>
      </c>
      <c r="T230" s="7">
        <f t="shared" si="245"/>
        <v>0</v>
      </c>
      <c r="U230" s="7">
        <f t="shared" si="245"/>
        <v>0</v>
      </c>
      <c r="V230" s="7">
        <f t="shared" si="245"/>
        <v>0</v>
      </c>
      <c r="W230" s="7">
        <f t="shared" si="245"/>
        <v>0</v>
      </c>
      <c r="X230" s="7">
        <f t="shared" si="245"/>
        <v>0</v>
      </c>
      <c r="Y230" s="7">
        <f t="shared" si="245"/>
        <v>0</v>
      </c>
      <c r="Z230" s="7">
        <f t="shared" si="245"/>
        <v>0</v>
      </c>
      <c r="AA230" s="7">
        <f t="shared" si="245"/>
        <v>0</v>
      </c>
      <c r="AB230" s="7">
        <f t="shared" si="245"/>
        <v>0</v>
      </c>
      <c r="AC230" s="7">
        <f t="shared" si="245"/>
        <v>0</v>
      </c>
      <c r="AD230" s="7">
        <f t="shared" si="245"/>
        <v>0</v>
      </c>
      <c r="AE230" s="358"/>
    </row>
    <row r="231" spans="2:43" ht="26.25" customHeight="1" x14ac:dyDescent="0.2">
      <c r="C231" s="1050"/>
      <c r="D231" s="1051"/>
      <c r="E231" s="1051"/>
      <c r="F231" s="92" t="s">
        <v>351</v>
      </c>
      <c r="G231" s="87">
        <f>+G230</f>
        <v>0</v>
      </c>
      <c r="H231" s="87">
        <f>+G231+H230</f>
        <v>0</v>
      </c>
      <c r="I231" s="87">
        <f>+H231+I230</f>
        <v>0</v>
      </c>
      <c r="J231" s="87">
        <f>+I231+J230</f>
        <v>0</v>
      </c>
      <c r="K231" s="87">
        <f>+J231+K230</f>
        <v>0</v>
      </c>
      <c r="L231" s="87">
        <f t="shared" ref="L231" si="246">+K231+L230</f>
        <v>0</v>
      </c>
      <c r="M231" s="87">
        <f t="shared" ref="M231" si="247">+L231+M230</f>
        <v>0</v>
      </c>
      <c r="N231" s="87">
        <f t="shared" ref="N231" si="248">+M231+N230</f>
        <v>0</v>
      </c>
      <c r="O231" s="87">
        <f t="shared" ref="O231" si="249">+N231+O230</f>
        <v>0</v>
      </c>
      <c r="P231" s="87">
        <f t="shared" ref="P231" si="250">+O231+P230</f>
        <v>0</v>
      </c>
      <c r="Q231" s="87">
        <f t="shared" ref="Q231" si="251">+P231+Q230</f>
        <v>0</v>
      </c>
      <c r="R231" s="87">
        <f t="shared" ref="R231" si="252">+Q231+R230</f>
        <v>0</v>
      </c>
      <c r="S231" s="87">
        <f t="shared" ref="S231" si="253">+R231+S230</f>
        <v>0</v>
      </c>
      <c r="T231" s="87">
        <f t="shared" ref="T231" si="254">+S231+T230</f>
        <v>0</v>
      </c>
      <c r="U231" s="87">
        <f t="shared" ref="U231" si="255">+T231+U230</f>
        <v>0</v>
      </c>
      <c r="V231" s="87">
        <f t="shared" ref="V231" si="256">+U231+V230</f>
        <v>0</v>
      </c>
      <c r="W231" s="87">
        <f t="shared" ref="W231" si="257">+V231+W230</f>
        <v>0</v>
      </c>
      <c r="X231" s="87">
        <f t="shared" ref="X231" si="258">+W231+X230</f>
        <v>0</v>
      </c>
      <c r="Y231" s="87">
        <f t="shared" ref="Y231" si="259">+X231+Y230</f>
        <v>0</v>
      </c>
      <c r="Z231" s="87">
        <f t="shared" ref="Z231" si="260">+Y231+Z230</f>
        <v>0</v>
      </c>
      <c r="AA231" s="87">
        <f t="shared" ref="AA231" si="261">+Z231+AA230</f>
        <v>0</v>
      </c>
      <c r="AB231" s="87">
        <f t="shared" ref="AB231" si="262">+AA231+AB230</f>
        <v>0</v>
      </c>
      <c r="AC231" s="87">
        <f t="shared" ref="AC231" si="263">+AB231+AC230</f>
        <v>0</v>
      </c>
      <c r="AD231" s="87">
        <f>+AC231+AD230</f>
        <v>0</v>
      </c>
      <c r="AE231" s="358"/>
    </row>
    <row r="232" spans="2:43" ht="18" customHeight="1" thickBot="1" x14ac:dyDescent="0.25">
      <c r="C232" s="1053" t="s">
        <v>362</v>
      </c>
      <c r="D232" s="1054"/>
      <c r="E232" s="1054"/>
      <c r="F232" s="1055"/>
      <c r="G232" s="355">
        <f>G228+G231</f>
        <v>0</v>
      </c>
      <c r="H232" s="355">
        <f t="shared" ref="H232:Q232" si="264">H228+H231</f>
        <v>0</v>
      </c>
      <c r="I232" s="355">
        <f t="shared" si="264"/>
        <v>0</v>
      </c>
      <c r="J232" s="355">
        <f t="shared" si="264"/>
        <v>0</v>
      </c>
      <c r="K232" s="355">
        <f>K228+K231</f>
        <v>0</v>
      </c>
      <c r="L232" s="355">
        <f>L228+L231</f>
        <v>0</v>
      </c>
      <c r="M232" s="355">
        <f t="shared" si="264"/>
        <v>0</v>
      </c>
      <c r="N232" s="355">
        <f t="shared" si="264"/>
        <v>0</v>
      </c>
      <c r="O232" s="355">
        <f t="shared" si="264"/>
        <v>0</v>
      </c>
      <c r="P232" s="355">
        <f t="shared" si="264"/>
        <v>0</v>
      </c>
      <c r="Q232" s="355">
        <f t="shared" si="264"/>
        <v>0</v>
      </c>
      <c r="R232" s="355">
        <f t="shared" ref="R232:AC232" si="265">R228+R231</f>
        <v>0</v>
      </c>
      <c r="S232" s="355">
        <f t="shared" si="265"/>
        <v>0</v>
      </c>
      <c r="T232" s="355">
        <f t="shared" si="265"/>
        <v>0</v>
      </c>
      <c r="U232" s="355">
        <f t="shared" si="265"/>
        <v>0</v>
      </c>
      <c r="V232" s="355">
        <f t="shared" si="265"/>
        <v>0</v>
      </c>
      <c r="W232" s="355">
        <f t="shared" si="265"/>
        <v>0</v>
      </c>
      <c r="X232" s="355">
        <f t="shared" si="265"/>
        <v>0</v>
      </c>
      <c r="Y232" s="355">
        <f t="shared" si="265"/>
        <v>0</v>
      </c>
      <c r="Z232" s="355">
        <f t="shared" si="265"/>
        <v>0</v>
      </c>
      <c r="AA232" s="355">
        <f t="shared" si="265"/>
        <v>0</v>
      </c>
      <c r="AB232" s="355">
        <f t="shared" si="265"/>
        <v>0</v>
      </c>
      <c r="AC232" s="355">
        <f t="shared" si="265"/>
        <v>0</v>
      </c>
      <c r="AD232" s="355">
        <f>AD228+AD231</f>
        <v>0</v>
      </c>
      <c r="AE232" s="359">
        <f>IFERROR((AE226+AE229)/E226,0)</f>
        <v>0</v>
      </c>
    </row>
    <row r="233" spans="2:43" ht="18" customHeight="1" x14ac:dyDescent="0.2">
      <c r="E233" s="88"/>
      <c r="F233" s="88"/>
      <c r="G233" s="85"/>
      <c r="H233" s="85"/>
      <c r="I233" s="85"/>
      <c r="J233" s="85"/>
      <c r="K233" s="85"/>
      <c r="L233" s="85"/>
      <c r="M233" s="85"/>
      <c r="N233" s="85"/>
      <c r="O233" s="85"/>
      <c r="P233" s="85"/>
      <c r="Q233" s="85"/>
      <c r="R233" s="85"/>
      <c r="S233" s="85"/>
      <c r="T233" s="85"/>
      <c r="U233" s="85"/>
      <c r="V233" s="85"/>
      <c r="W233" s="85"/>
      <c r="X233" s="85"/>
      <c r="Y233" s="85"/>
      <c r="Z233" s="85"/>
      <c r="AA233" s="85"/>
      <c r="AB233" s="85"/>
      <c r="AC233" s="85"/>
      <c r="AD233" s="85"/>
      <c r="AE233" s="739">
        <f>AE226+AE229</f>
        <v>0</v>
      </c>
      <c r="AF233" s="740">
        <f>E226-AE233</f>
        <v>1290000000</v>
      </c>
    </row>
    <row r="234" spans="2:43" ht="18" customHeight="1" x14ac:dyDescent="0.2">
      <c r="E234" s="88"/>
      <c r="G234" s="85"/>
      <c r="H234" s="85"/>
      <c r="I234" s="85"/>
      <c r="J234" s="85"/>
      <c r="K234" s="85"/>
      <c r="L234" s="85"/>
      <c r="M234" s="85"/>
      <c r="N234" s="85"/>
      <c r="O234" s="85"/>
      <c r="P234" s="85"/>
      <c r="Q234" s="85"/>
      <c r="R234" s="85"/>
      <c r="S234" s="85"/>
      <c r="T234" s="85"/>
      <c r="U234" s="85"/>
      <c r="V234" s="85"/>
      <c r="W234" s="85"/>
      <c r="X234" s="85"/>
      <c r="Y234" s="85"/>
      <c r="Z234" s="85"/>
      <c r="AA234" s="85"/>
      <c r="AB234" s="85"/>
      <c r="AC234" s="85"/>
      <c r="AD234" s="85"/>
    </row>
    <row r="235" spans="2:43" ht="18" customHeight="1" x14ac:dyDescent="0.2">
      <c r="E235" s="88"/>
      <c r="M235" s="85"/>
      <c r="N235" s="85"/>
      <c r="O235" s="85"/>
      <c r="P235" s="85"/>
      <c r="Q235" s="85"/>
      <c r="R235" s="85"/>
      <c r="S235" s="85"/>
      <c r="T235" s="85"/>
      <c r="U235" s="85"/>
      <c r="V235" s="85"/>
      <c r="W235" s="85"/>
      <c r="X235" s="85"/>
      <c r="Y235" s="85"/>
      <c r="Z235" s="85"/>
      <c r="AA235" s="85"/>
      <c r="AB235" s="85"/>
      <c r="AC235" s="85"/>
      <c r="AD235" s="85"/>
    </row>
    <row r="236" spans="2:43" ht="18" customHeight="1" x14ac:dyDescent="0.2">
      <c r="E236" s="88"/>
      <c r="F236" s="88"/>
      <c r="G236" s="85"/>
      <c r="H236" s="85"/>
      <c r="I236" s="85"/>
      <c r="J236" s="85"/>
      <c r="K236" s="85"/>
      <c r="L236" s="85"/>
      <c r="M236" s="85"/>
      <c r="N236" s="85"/>
      <c r="O236" s="85"/>
      <c r="P236" s="85"/>
      <c r="Q236" s="85"/>
      <c r="R236" s="85"/>
      <c r="S236" s="85"/>
      <c r="T236" s="85"/>
      <c r="U236" s="85"/>
      <c r="V236" s="85"/>
      <c r="W236" s="85"/>
      <c r="X236" s="85"/>
      <c r="Y236" s="85"/>
      <c r="Z236" s="85"/>
      <c r="AA236" s="85"/>
      <c r="AB236" s="85"/>
      <c r="AC236" s="85"/>
      <c r="AD236" s="85"/>
    </row>
    <row r="238" spans="2:43" ht="18" customHeight="1" x14ac:dyDescent="0.2">
      <c r="G238" s="94"/>
      <c r="H238" s="94"/>
      <c r="I238" s="94"/>
    </row>
    <row r="239" spans="2:43" s="95" customFormat="1" ht="18" customHeight="1" x14ac:dyDescent="0.2">
      <c r="B239" s="1045" t="s">
        <v>363</v>
      </c>
      <c r="C239" s="1045"/>
      <c r="D239" s="53"/>
      <c r="E239" s="96"/>
      <c r="F239" s="60"/>
      <c r="G239" s="1045" t="s">
        <v>364</v>
      </c>
      <c r="H239" s="1045"/>
      <c r="I239" s="1045"/>
      <c r="J239" s="96"/>
      <c r="K239" s="96"/>
      <c r="L239" s="96"/>
      <c r="M239" s="96"/>
      <c r="N239" s="96"/>
      <c r="O239" s="96"/>
      <c r="P239" s="96"/>
      <c r="Q239" s="96"/>
      <c r="R239" s="96"/>
      <c r="S239" s="96"/>
      <c r="T239" s="96"/>
      <c r="U239" s="96"/>
      <c r="V239" s="96"/>
      <c r="W239" s="96"/>
      <c r="X239" s="96"/>
      <c r="Y239" s="96"/>
      <c r="Z239" s="96"/>
      <c r="AA239" s="96"/>
      <c r="AB239" s="96"/>
      <c r="AC239" s="96"/>
      <c r="AE239" s="97"/>
      <c r="AF239" s="97"/>
      <c r="AG239" s="97"/>
      <c r="AH239" s="97"/>
      <c r="AI239" s="1046"/>
      <c r="AJ239" s="1046"/>
      <c r="AK239" s="1046"/>
      <c r="AL239" s="1046"/>
      <c r="AM239" s="1046"/>
      <c r="AN239" s="1046"/>
      <c r="AO239" s="97"/>
      <c r="AP239" s="97"/>
      <c r="AQ239" s="98"/>
    </row>
    <row r="240" spans="2:43" s="95" customFormat="1" ht="18" customHeight="1" x14ac:dyDescent="0.2">
      <c r="B240" s="1047" t="s">
        <v>365</v>
      </c>
      <c r="C240" s="1047"/>
      <c r="D240" s="54"/>
      <c r="F240" s="60"/>
      <c r="H240" s="1" t="s">
        <v>366</v>
      </c>
      <c r="I240" s="97"/>
      <c r="J240" s="97"/>
      <c r="K240" s="97"/>
      <c r="L240" s="97"/>
      <c r="M240" s="97"/>
      <c r="N240" s="97"/>
      <c r="O240" s="97"/>
      <c r="P240" s="97"/>
      <c r="Q240" s="97"/>
      <c r="R240" s="97"/>
      <c r="S240" s="97"/>
      <c r="T240" s="97"/>
      <c r="U240" s="97"/>
      <c r="V240" s="97"/>
      <c r="W240" s="97"/>
      <c r="X240" s="97"/>
      <c r="Y240" s="97"/>
      <c r="Z240" s="97"/>
      <c r="AA240" s="97"/>
      <c r="AB240" s="97"/>
      <c r="AC240" s="97"/>
      <c r="AE240" s="97"/>
      <c r="AF240" s="97"/>
      <c r="AG240" s="97"/>
      <c r="AH240" s="97"/>
      <c r="AI240" s="1048"/>
      <c r="AJ240" s="1048"/>
      <c r="AK240" s="1048"/>
      <c r="AL240" s="1048"/>
      <c r="AM240" s="1048"/>
      <c r="AN240" s="1048"/>
      <c r="AO240" s="96"/>
      <c r="AP240" s="96"/>
      <c r="AQ240" s="96"/>
    </row>
  </sheetData>
  <sheetProtection formatCells="0" formatColumns="0" formatRows="0" insertColumns="0" insertRows="0" insertHyperlinks="0" deleteColumns="0" deleteRows="0" sort="0" autoFilter="0" pivotTables="0"/>
  <mergeCells count="53">
    <mergeCell ref="C223:AE223"/>
    <mergeCell ref="E14:E15"/>
    <mergeCell ref="F14:F15"/>
    <mergeCell ref="G14:AD14"/>
    <mergeCell ref="A209:F209"/>
    <mergeCell ref="A210:F210"/>
    <mergeCell ref="A14:A15"/>
    <mergeCell ref="B14:B15"/>
    <mergeCell ref="C14:C15"/>
    <mergeCell ref="E220:F220"/>
    <mergeCell ref="E213:AD213"/>
    <mergeCell ref="E214:E215"/>
    <mergeCell ref="F214:F215"/>
    <mergeCell ref="E219:F219"/>
    <mergeCell ref="A5:B5"/>
    <mergeCell ref="A6:B6"/>
    <mergeCell ref="C6:AD6"/>
    <mergeCell ref="C5:AD5"/>
    <mergeCell ref="A1:B3"/>
    <mergeCell ref="C1:AD1"/>
    <mergeCell ref="C2:AD2"/>
    <mergeCell ref="C3:G3"/>
    <mergeCell ref="H3:AD3"/>
    <mergeCell ref="A8:B8"/>
    <mergeCell ref="C8:F8"/>
    <mergeCell ref="A9:B9"/>
    <mergeCell ref="C9:F9"/>
    <mergeCell ref="A10:B10"/>
    <mergeCell ref="C10:F10"/>
    <mergeCell ref="A11:B11"/>
    <mergeCell ref="C11:F11"/>
    <mergeCell ref="A13:AD13"/>
    <mergeCell ref="C219:D221"/>
    <mergeCell ref="D14:D15"/>
    <mergeCell ref="G214:AD214"/>
    <mergeCell ref="E217:F217"/>
    <mergeCell ref="E221:F221"/>
    <mergeCell ref="E218:F218"/>
    <mergeCell ref="E212:Q212"/>
    <mergeCell ref="S212:AD212"/>
    <mergeCell ref="B239:C239"/>
    <mergeCell ref="AI239:AN239"/>
    <mergeCell ref="B240:C240"/>
    <mergeCell ref="AI240:AN240"/>
    <mergeCell ref="C224:C225"/>
    <mergeCell ref="C226:C231"/>
    <mergeCell ref="E226:E231"/>
    <mergeCell ref="E224:E225"/>
    <mergeCell ref="D226:D231"/>
    <mergeCell ref="C232:F232"/>
    <mergeCell ref="D224:D225"/>
    <mergeCell ref="F224:AE224"/>
    <mergeCell ref="G239:I239"/>
  </mergeCells>
  <phoneticPr fontId="53" type="noConversion"/>
  <dataValidations count="7">
    <dataValidation allowBlank="1" showInputMessage="1" showErrorMessage="1" prompt="Ingrese el valor a pagar segun la forma de pago establecida en los estudios previos" sqref="JN216:JZ216 TJ216:TV216 ADF216:ADR216 ANB216:ANN216 AWX216:AXJ216 BGT216:BHF216 BQP216:BRB216 CAL216:CAX216 CKH216:CKT216 CUD216:CUP216 DDZ216:DEL216 DNV216:DOH216 DXR216:DYD216 EHN216:EHZ216 ERJ216:ERV216 FBF216:FBR216 FLB216:FLN216 FUX216:FVJ216 GET216:GFF216 GOP216:GPB216 GYL216:GYX216 HIH216:HIT216 HSD216:HSP216 IBZ216:ICL216 ILV216:IMH216 IVR216:IWD216 JFN216:JFZ216 JPJ216:JPV216 JZF216:JZR216 KJB216:KJN216 KSX216:KTJ216 LCT216:LDF216 LMP216:LNB216 LWL216:LWX216 MGH216:MGT216 MQD216:MQP216 MZZ216:NAL216 NJV216:NKH216 NTR216:NUD216 ODN216:ODZ216 ONJ216:ONV216 OXF216:OXR216 PHB216:PHN216 PQX216:PRJ216 QAT216:QBF216 QKP216:QLB216 QUL216:QUX216 REH216:RET216 ROD216:ROP216 RXZ216:RYL216 SHV216:SIH216 SRR216:SSD216 TBN216:TBZ216 TLJ216:TLV216 TVF216:TVR216 UFB216:UFN216 UOX216:UPJ216 UYT216:UZF216 VIP216:VJB216 VSL216:VSX216 WCH216:WCT216 WMD216:WMP216 WVZ216:WWL216 JN65769:JZ65769 TJ65769:TV65769 ADF65769:ADR65769 ANB65769:ANN65769 AWX65769:AXJ65769 BGT65769:BHF65769 BQP65769:BRB65769 CAL65769:CAX65769 CKH65769:CKT65769 CUD65769:CUP65769 DDZ65769:DEL65769 DNV65769:DOH65769 DXR65769:DYD65769 EHN65769:EHZ65769 ERJ65769:ERV65769 FBF65769:FBR65769 FLB65769:FLN65769 FUX65769:FVJ65769 GET65769:GFF65769 GOP65769:GPB65769 GYL65769:GYX65769 HIH65769:HIT65769 HSD65769:HSP65769 IBZ65769:ICL65769 ILV65769:IMH65769 IVR65769:IWD65769 JFN65769:JFZ65769 JPJ65769:JPV65769 JZF65769:JZR65769 KJB65769:KJN65769 KSX65769:KTJ65769 LCT65769:LDF65769 LMP65769:LNB65769 LWL65769:LWX65769 MGH65769:MGT65769 MQD65769:MQP65769 MZZ65769:NAL65769 NJV65769:NKH65769 NTR65769:NUD65769 ODN65769:ODZ65769 ONJ65769:ONV65769 OXF65769:OXR65769 PHB65769:PHN65769 PQX65769:PRJ65769 QAT65769:QBF65769 QKP65769:QLB65769 QUL65769:QUX65769 REH65769:RET65769 ROD65769:ROP65769 RXZ65769:RYL65769 SHV65769:SIH65769 SRR65769:SSD65769 TBN65769:TBZ65769 TLJ65769:TLV65769 TVF65769:TVR65769 UFB65769:UFN65769 UOX65769:UPJ65769 UYT65769:UZF65769 VIP65769:VJB65769 VSL65769:VSX65769 WCH65769:WCT65769 WMD65769:WMP65769 WVZ65769:WWL65769 JN131305:JZ131305 TJ131305:TV131305 ADF131305:ADR131305 ANB131305:ANN131305 AWX131305:AXJ131305 BGT131305:BHF131305 BQP131305:BRB131305 CAL131305:CAX131305 CKH131305:CKT131305 CUD131305:CUP131305 DDZ131305:DEL131305 DNV131305:DOH131305 DXR131305:DYD131305 EHN131305:EHZ131305 ERJ131305:ERV131305 FBF131305:FBR131305 FLB131305:FLN131305 FUX131305:FVJ131305 GET131305:GFF131305 GOP131305:GPB131305 GYL131305:GYX131305 HIH131305:HIT131305 HSD131305:HSP131305 IBZ131305:ICL131305 ILV131305:IMH131305 IVR131305:IWD131305 JFN131305:JFZ131305 JPJ131305:JPV131305 JZF131305:JZR131305 KJB131305:KJN131305 KSX131305:KTJ131305 LCT131305:LDF131305 LMP131305:LNB131305 LWL131305:LWX131305 MGH131305:MGT131305 MQD131305:MQP131305 MZZ131305:NAL131305 NJV131305:NKH131305 NTR131305:NUD131305 ODN131305:ODZ131305 ONJ131305:ONV131305 OXF131305:OXR131305 PHB131305:PHN131305 PQX131305:PRJ131305 QAT131305:QBF131305 QKP131305:QLB131305 QUL131305:QUX131305 REH131305:RET131305 ROD131305:ROP131305 RXZ131305:RYL131305 SHV131305:SIH131305 SRR131305:SSD131305 TBN131305:TBZ131305 TLJ131305:TLV131305 TVF131305:TVR131305 UFB131305:UFN131305 UOX131305:UPJ131305 UYT131305:UZF131305 VIP131305:VJB131305 VSL131305:VSX131305 WCH131305:WCT131305 WMD131305:WMP131305 WVZ131305:WWL131305 JN196841:JZ196841 TJ196841:TV196841 ADF196841:ADR196841 ANB196841:ANN196841 AWX196841:AXJ196841 BGT196841:BHF196841 BQP196841:BRB196841 CAL196841:CAX196841 CKH196841:CKT196841 CUD196841:CUP196841 DDZ196841:DEL196841 DNV196841:DOH196841 DXR196841:DYD196841 EHN196841:EHZ196841 ERJ196841:ERV196841 FBF196841:FBR196841 FLB196841:FLN196841 FUX196841:FVJ196841 GET196841:GFF196841 GOP196841:GPB196841 GYL196841:GYX196841 HIH196841:HIT196841 HSD196841:HSP196841 IBZ196841:ICL196841 ILV196841:IMH196841 IVR196841:IWD196841 JFN196841:JFZ196841 JPJ196841:JPV196841 JZF196841:JZR196841 KJB196841:KJN196841 KSX196841:KTJ196841 LCT196841:LDF196841 LMP196841:LNB196841 LWL196841:LWX196841 MGH196841:MGT196841 MQD196841:MQP196841 MZZ196841:NAL196841 NJV196841:NKH196841 NTR196841:NUD196841 ODN196841:ODZ196841 ONJ196841:ONV196841 OXF196841:OXR196841 PHB196841:PHN196841 PQX196841:PRJ196841 QAT196841:QBF196841 QKP196841:QLB196841 QUL196841:QUX196841 REH196841:RET196841 ROD196841:ROP196841 RXZ196841:RYL196841 SHV196841:SIH196841 SRR196841:SSD196841 TBN196841:TBZ196841 TLJ196841:TLV196841 TVF196841:TVR196841 UFB196841:UFN196841 UOX196841:UPJ196841 UYT196841:UZF196841 VIP196841:VJB196841 VSL196841:VSX196841 WCH196841:WCT196841 WMD196841:WMP196841 WVZ196841:WWL196841 JN262377:JZ262377 TJ262377:TV262377 ADF262377:ADR262377 ANB262377:ANN262377 AWX262377:AXJ262377 BGT262377:BHF262377 BQP262377:BRB262377 CAL262377:CAX262377 CKH262377:CKT262377 CUD262377:CUP262377 DDZ262377:DEL262377 DNV262377:DOH262377 DXR262377:DYD262377 EHN262377:EHZ262377 ERJ262377:ERV262377 FBF262377:FBR262377 FLB262377:FLN262377 FUX262377:FVJ262377 GET262377:GFF262377 GOP262377:GPB262377 GYL262377:GYX262377 HIH262377:HIT262377 HSD262377:HSP262377 IBZ262377:ICL262377 ILV262377:IMH262377 IVR262377:IWD262377 JFN262377:JFZ262377 JPJ262377:JPV262377 JZF262377:JZR262377 KJB262377:KJN262377 KSX262377:KTJ262377 LCT262377:LDF262377 LMP262377:LNB262377 LWL262377:LWX262377 MGH262377:MGT262377 MQD262377:MQP262377 MZZ262377:NAL262377 NJV262377:NKH262377 NTR262377:NUD262377 ODN262377:ODZ262377 ONJ262377:ONV262377 OXF262377:OXR262377 PHB262377:PHN262377 PQX262377:PRJ262377 QAT262377:QBF262377 QKP262377:QLB262377 QUL262377:QUX262377 REH262377:RET262377 ROD262377:ROP262377 RXZ262377:RYL262377 SHV262377:SIH262377 SRR262377:SSD262377 TBN262377:TBZ262377 TLJ262377:TLV262377 TVF262377:TVR262377 UFB262377:UFN262377 UOX262377:UPJ262377 UYT262377:UZF262377 VIP262377:VJB262377 VSL262377:VSX262377 WCH262377:WCT262377 WMD262377:WMP262377 WVZ262377:WWL262377 JN327913:JZ327913 TJ327913:TV327913 ADF327913:ADR327913 ANB327913:ANN327913 AWX327913:AXJ327913 BGT327913:BHF327913 BQP327913:BRB327913 CAL327913:CAX327913 CKH327913:CKT327913 CUD327913:CUP327913 DDZ327913:DEL327913 DNV327913:DOH327913 DXR327913:DYD327913 EHN327913:EHZ327913 ERJ327913:ERV327913 FBF327913:FBR327913 FLB327913:FLN327913 FUX327913:FVJ327913 GET327913:GFF327913 GOP327913:GPB327913 GYL327913:GYX327913 HIH327913:HIT327913 HSD327913:HSP327913 IBZ327913:ICL327913 ILV327913:IMH327913 IVR327913:IWD327913 JFN327913:JFZ327913 JPJ327913:JPV327913 JZF327913:JZR327913 KJB327913:KJN327913 KSX327913:KTJ327913 LCT327913:LDF327913 LMP327913:LNB327913 LWL327913:LWX327913 MGH327913:MGT327913 MQD327913:MQP327913 MZZ327913:NAL327913 NJV327913:NKH327913 NTR327913:NUD327913 ODN327913:ODZ327913 ONJ327913:ONV327913 OXF327913:OXR327913 PHB327913:PHN327913 PQX327913:PRJ327913 QAT327913:QBF327913 QKP327913:QLB327913 QUL327913:QUX327913 REH327913:RET327913 ROD327913:ROP327913 RXZ327913:RYL327913 SHV327913:SIH327913 SRR327913:SSD327913 TBN327913:TBZ327913 TLJ327913:TLV327913 TVF327913:TVR327913 UFB327913:UFN327913 UOX327913:UPJ327913 UYT327913:UZF327913 VIP327913:VJB327913 VSL327913:VSX327913 WCH327913:WCT327913 WMD327913:WMP327913 WVZ327913:WWL327913 JN393449:JZ393449 TJ393449:TV393449 ADF393449:ADR393449 ANB393449:ANN393449 AWX393449:AXJ393449 BGT393449:BHF393449 BQP393449:BRB393449 CAL393449:CAX393449 CKH393449:CKT393449 CUD393449:CUP393449 DDZ393449:DEL393449 DNV393449:DOH393449 DXR393449:DYD393449 EHN393449:EHZ393449 ERJ393449:ERV393449 FBF393449:FBR393449 FLB393449:FLN393449 FUX393449:FVJ393449 GET393449:GFF393449 GOP393449:GPB393449 GYL393449:GYX393449 HIH393449:HIT393449 HSD393449:HSP393449 IBZ393449:ICL393449 ILV393449:IMH393449 IVR393449:IWD393449 JFN393449:JFZ393449 JPJ393449:JPV393449 JZF393449:JZR393449 KJB393449:KJN393449 KSX393449:KTJ393449 LCT393449:LDF393449 LMP393449:LNB393449 LWL393449:LWX393449 MGH393449:MGT393449 MQD393449:MQP393449 MZZ393449:NAL393449 NJV393449:NKH393449 NTR393449:NUD393449 ODN393449:ODZ393449 ONJ393449:ONV393449 OXF393449:OXR393449 PHB393449:PHN393449 PQX393449:PRJ393449 QAT393449:QBF393449 QKP393449:QLB393449 QUL393449:QUX393449 REH393449:RET393449 ROD393449:ROP393449 RXZ393449:RYL393449 SHV393449:SIH393449 SRR393449:SSD393449 TBN393449:TBZ393449 TLJ393449:TLV393449 TVF393449:TVR393449 UFB393449:UFN393449 UOX393449:UPJ393449 UYT393449:UZF393449 VIP393449:VJB393449 VSL393449:VSX393449 WCH393449:WCT393449 WMD393449:WMP393449 WVZ393449:WWL393449 JN458985:JZ458985 TJ458985:TV458985 ADF458985:ADR458985 ANB458985:ANN458985 AWX458985:AXJ458985 BGT458985:BHF458985 BQP458985:BRB458985 CAL458985:CAX458985 CKH458985:CKT458985 CUD458985:CUP458985 DDZ458985:DEL458985 DNV458985:DOH458985 DXR458985:DYD458985 EHN458985:EHZ458985 ERJ458985:ERV458985 FBF458985:FBR458985 FLB458985:FLN458985 FUX458985:FVJ458985 GET458985:GFF458985 GOP458985:GPB458985 GYL458985:GYX458985 HIH458985:HIT458985 HSD458985:HSP458985 IBZ458985:ICL458985 ILV458985:IMH458985 IVR458985:IWD458985 JFN458985:JFZ458985 JPJ458985:JPV458985 JZF458985:JZR458985 KJB458985:KJN458985 KSX458985:KTJ458985 LCT458985:LDF458985 LMP458985:LNB458985 LWL458985:LWX458985 MGH458985:MGT458985 MQD458985:MQP458985 MZZ458985:NAL458985 NJV458985:NKH458985 NTR458985:NUD458985 ODN458985:ODZ458985 ONJ458985:ONV458985 OXF458985:OXR458985 PHB458985:PHN458985 PQX458985:PRJ458985 QAT458985:QBF458985 QKP458985:QLB458985 QUL458985:QUX458985 REH458985:RET458985 ROD458985:ROP458985 RXZ458985:RYL458985 SHV458985:SIH458985 SRR458985:SSD458985 TBN458985:TBZ458985 TLJ458985:TLV458985 TVF458985:TVR458985 UFB458985:UFN458985 UOX458985:UPJ458985 UYT458985:UZF458985 VIP458985:VJB458985 VSL458985:VSX458985 WCH458985:WCT458985 WMD458985:WMP458985 WVZ458985:WWL458985 JN524521:JZ524521 TJ524521:TV524521 ADF524521:ADR524521 ANB524521:ANN524521 AWX524521:AXJ524521 BGT524521:BHF524521 BQP524521:BRB524521 CAL524521:CAX524521 CKH524521:CKT524521 CUD524521:CUP524521 DDZ524521:DEL524521 DNV524521:DOH524521 DXR524521:DYD524521 EHN524521:EHZ524521 ERJ524521:ERV524521 FBF524521:FBR524521 FLB524521:FLN524521 FUX524521:FVJ524521 GET524521:GFF524521 GOP524521:GPB524521 GYL524521:GYX524521 HIH524521:HIT524521 HSD524521:HSP524521 IBZ524521:ICL524521 ILV524521:IMH524521 IVR524521:IWD524521 JFN524521:JFZ524521 JPJ524521:JPV524521 JZF524521:JZR524521 KJB524521:KJN524521 KSX524521:KTJ524521 LCT524521:LDF524521 LMP524521:LNB524521 LWL524521:LWX524521 MGH524521:MGT524521 MQD524521:MQP524521 MZZ524521:NAL524521 NJV524521:NKH524521 NTR524521:NUD524521 ODN524521:ODZ524521 ONJ524521:ONV524521 OXF524521:OXR524521 PHB524521:PHN524521 PQX524521:PRJ524521 QAT524521:QBF524521 QKP524521:QLB524521 QUL524521:QUX524521 REH524521:RET524521 ROD524521:ROP524521 RXZ524521:RYL524521 SHV524521:SIH524521 SRR524521:SSD524521 TBN524521:TBZ524521 TLJ524521:TLV524521 TVF524521:TVR524521 UFB524521:UFN524521 UOX524521:UPJ524521 UYT524521:UZF524521 VIP524521:VJB524521 VSL524521:VSX524521 WCH524521:WCT524521 WMD524521:WMP524521 WVZ524521:WWL524521 JN590057:JZ590057 TJ590057:TV590057 ADF590057:ADR590057 ANB590057:ANN590057 AWX590057:AXJ590057 BGT590057:BHF590057 BQP590057:BRB590057 CAL590057:CAX590057 CKH590057:CKT590057 CUD590057:CUP590057 DDZ590057:DEL590057 DNV590057:DOH590057 DXR590057:DYD590057 EHN590057:EHZ590057 ERJ590057:ERV590057 FBF590057:FBR590057 FLB590057:FLN590057 FUX590057:FVJ590057 GET590057:GFF590057 GOP590057:GPB590057 GYL590057:GYX590057 HIH590057:HIT590057 HSD590057:HSP590057 IBZ590057:ICL590057 ILV590057:IMH590057 IVR590057:IWD590057 JFN590057:JFZ590057 JPJ590057:JPV590057 JZF590057:JZR590057 KJB590057:KJN590057 KSX590057:KTJ590057 LCT590057:LDF590057 LMP590057:LNB590057 LWL590057:LWX590057 MGH590057:MGT590057 MQD590057:MQP590057 MZZ590057:NAL590057 NJV590057:NKH590057 NTR590057:NUD590057 ODN590057:ODZ590057 ONJ590057:ONV590057 OXF590057:OXR590057 PHB590057:PHN590057 PQX590057:PRJ590057 QAT590057:QBF590057 QKP590057:QLB590057 QUL590057:QUX590057 REH590057:RET590057 ROD590057:ROP590057 RXZ590057:RYL590057 SHV590057:SIH590057 SRR590057:SSD590057 TBN590057:TBZ590057 TLJ590057:TLV590057 TVF590057:TVR590057 UFB590057:UFN590057 UOX590057:UPJ590057 UYT590057:UZF590057 VIP590057:VJB590057 VSL590057:VSX590057 WCH590057:WCT590057 WMD590057:WMP590057 WVZ590057:WWL590057 JN655593:JZ655593 TJ655593:TV655593 ADF655593:ADR655593 ANB655593:ANN655593 AWX655593:AXJ655593 BGT655593:BHF655593 BQP655593:BRB655593 CAL655593:CAX655593 CKH655593:CKT655593 CUD655593:CUP655593 DDZ655593:DEL655593 DNV655593:DOH655593 DXR655593:DYD655593 EHN655593:EHZ655593 ERJ655593:ERV655593 FBF655593:FBR655593 FLB655593:FLN655593 FUX655593:FVJ655593 GET655593:GFF655593 GOP655593:GPB655593 GYL655593:GYX655593 HIH655593:HIT655593 HSD655593:HSP655593 IBZ655593:ICL655593 ILV655593:IMH655593 IVR655593:IWD655593 JFN655593:JFZ655593 JPJ655593:JPV655593 JZF655593:JZR655593 KJB655593:KJN655593 KSX655593:KTJ655593 LCT655593:LDF655593 LMP655593:LNB655593 LWL655593:LWX655593 MGH655593:MGT655593 MQD655593:MQP655593 MZZ655593:NAL655593 NJV655593:NKH655593 NTR655593:NUD655593 ODN655593:ODZ655593 ONJ655593:ONV655593 OXF655593:OXR655593 PHB655593:PHN655593 PQX655593:PRJ655593 QAT655593:QBF655593 QKP655593:QLB655593 QUL655593:QUX655593 REH655593:RET655593 ROD655593:ROP655593 RXZ655593:RYL655593 SHV655593:SIH655593 SRR655593:SSD655593 TBN655593:TBZ655593 TLJ655593:TLV655593 TVF655593:TVR655593 UFB655593:UFN655593 UOX655593:UPJ655593 UYT655593:UZF655593 VIP655593:VJB655593 VSL655593:VSX655593 WCH655593:WCT655593 WMD655593:WMP655593 WVZ655593:WWL655593 JN721129:JZ721129 TJ721129:TV721129 ADF721129:ADR721129 ANB721129:ANN721129 AWX721129:AXJ721129 BGT721129:BHF721129 BQP721129:BRB721129 CAL721129:CAX721129 CKH721129:CKT721129 CUD721129:CUP721129 DDZ721129:DEL721129 DNV721129:DOH721129 DXR721129:DYD721129 EHN721129:EHZ721129 ERJ721129:ERV721129 FBF721129:FBR721129 FLB721129:FLN721129 FUX721129:FVJ721129 GET721129:GFF721129 GOP721129:GPB721129 GYL721129:GYX721129 HIH721129:HIT721129 HSD721129:HSP721129 IBZ721129:ICL721129 ILV721129:IMH721129 IVR721129:IWD721129 JFN721129:JFZ721129 JPJ721129:JPV721129 JZF721129:JZR721129 KJB721129:KJN721129 KSX721129:KTJ721129 LCT721129:LDF721129 LMP721129:LNB721129 LWL721129:LWX721129 MGH721129:MGT721129 MQD721129:MQP721129 MZZ721129:NAL721129 NJV721129:NKH721129 NTR721129:NUD721129 ODN721129:ODZ721129 ONJ721129:ONV721129 OXF721129:OXR721129 PHB721129:PHN721129 PQX721129:PRJ721129 QAT721129:QBF721129 QKP721129:QLB721129 QUL721129:QUX721129 REH721129:RET721129 ROD721129:ROP721129 RXZ721129:RYL721129 SHV721129:SIH721129 SRR721129:SSD721129 TBN721129:TBZ721129 TLJ721129:TLV721129 TVF721129:TVR721129 UFB721129:UFN721129 UOX721129:UPJ721129 UYT721129:UZF721129 VIP721129:VJB721129 VSL721129:VSX721129 WCH721129:WCT721129 WMD721129:WMP721129 WVZ721129:WWL721129 JN786665:JZ786665 TJ786665:TV786665 ADF786665:ADR786665 ANB786665:ANN786665 AWX786665:AXJ786665 BGT786665:BHF786665 BQP786665:BRB786665 CAL786665:CAX786665 CKH786665:CKT786665 CUD786665:CUP786665 DDZ786665:DEL786665 DNV786665:DOH786665 DXR786665:DYD786665 EHN786665:EHZ786665 ERJ786665:ERV786665 FBF786665:FBR786665 FLB786665:FLN786665 FUX786665:FVJ786665 GET786665:GFF786665 GOP786665:GPB786665 GYL786665:GYX786665 HIH786665:HIT786665 HSD786665:HSP786665 IBZ786665:ICL786665 ILV786665:IMH786665 IVR786665:IWD786665 JFN786665:JFZ786665 JPJ786665:JPV786665 JZF786665:JZR786665 KJB786665:KJN786665 KSX786665:KTJ786665 LCT786665:LDF786665 LMP786665:LNB786665 LWL786665:LWX786665 MGH786665:MGT786665 MQD786665:MQP786665 MZZ786665:NAL786665 NJV786665:NKH786665 NTR786665:NUD786665 ODN786665:ODZ786665 ONJ786665:ONV786665 OXF786665:OXR786665 PHB786665:PHN786665 PQX786665:PRJ786665 QAT786665:QBF786665 QKP786665:QLB786665 QUL786665:QUX786665 REH786665:RET786665 ROD786665:ROP786665 RXZ786665:RYL786665 SHV786665:SIH786665 SRR786665:SSD786665 TBN786665:TBZ786665 TLJ786665:TLV786665 TVF786665:TVR786665 UFB786665:UFN786665 UOX786665:UPJ786665 UYT786665:UZF786665 VIP786665:VJB786665 VSL786665:VSX786665 WCH786665:WCT786665 WMD786665:WMP786665 WVZ786665:WWL786665 JN852201:JZ852201 TJ852201:TV852201 ADF852201:ADR852201 ANB852201:ANN852201 AWX852201:AXJ852201 BGT852201:BHF852201 BQP852201:BRB852201 CAL852201:CAX852201 CKH852201:CKT852201 CUD852201:CUP852201 DDZ852201:DEL852201 DNV852201:DOH852201 DXR852201:DYD852201 EHN852201:EHZ852201 ERJ852201:ERV852201 FBF852201:FBR852201 FLB852201:FLN852201 FUX852201:FVJ852201 GET852201:GFF852201 GOP852201:GPB852201 GYL852201:GYX852201 HIH852201:HIT852201 HSD852201:HSP852201 IBZ852201:ICL852201 ILV852201:IMH852201 IVR852201:IWD852201 JFN852201:JFZ852201 JPJ852201:JPV852201 JZF852201:JZR852201 KJB852201:KJN852201 KSX852201:KTJ852201 LCT852201:LDF852201 LMP852201:LNB852201 LWL852201:LWX852201 MGH852201:MGT852201 MQD852201:MQP852201 MZZ852201:NAL852201 NJV852201:NKH852201 NTR852201:NUD852201 ODN852201:ODZ852201 ONJ852201:ONV852201 OXF852201:OXR852201 PHB852201:PHN852201 PQX852201:PRJ852201 QAT852201:QBF852201 QKP852201:QLB852201 QUL852201:QUX852201 REH852201:RET852201 ROD852201:ROP852201 RXZ852201:RYL852201 SHV852201:SIH852201 SRR852201:SSD852201 TBN852201:TBZ852201 TLJ852201:TLV852201 TVF852201:TVR852201 UFB852201:UFN852201 UOX852201:UPJ852201 UYT852201:UZF852201 VIP852201:VJB852201 VSL852201:VSX852201 WCH852201:WCT852201 WMD852201:WMP852201 WVZ852201:WWL852201 JN917737:JZ917737 TJ917737:TV917737 ADF917737:ADR917737 ANB917737:ANN917737 AWX917737:AXJ917737 BGT917737:BHF917737 BQP917737:BRB917737 CAL917737:CAX917737 CKH917737:CKT917737 CUD917737:CUP917737 DDZ917737:DEL917737 DNV917737:DOH917737 DXR917737:DYD917737 EHN917737:EHZ917737 ERJ917737:ERV917737 FBF917737:FBR917737 FLB917737:FLN917737 FUX917737:FVJ917737 GET917737:GFF917737 GOP917737:GPB917737 GYL917737:GYX917737 HIH917737:HIT917737 HSD917737:HSP917737 IBZ917737:ICL917737 ILV917737:IMH917737 IVR917737:IWD917737 JFN917737:JFZ917737 JPJ917737:JPV917737 JZF917737:JZR917737 KJB917737:KJN917737 KSX917737:KTJ917737 LCT917737:LDF917737 LMP917737:LNB917737 LWL917737:LWX917737 MGH917737:MGT917737 MQD917737:MQP917737 MZZ917737:NAL917737 NJV917737:NKH917737 NTR917737:NUD917737 ODN917737:ODZ917737 ONJ917737:ONV917737 OXF917737:OXR917737 PHB917737:PHN917737 PQX917737:PRJ917737 QAT917737:QBF917737 QKP917737:QLB917737 QUL917737:QUX917737 REH917737:RET917737 ROD917737:ROP917737 RXZ917737:RYL917737 SHV917737:SIH917737 SRR917737:SSD917737 TBN917737:TBZ917737 TLJ917737:TLV917737 TVF917737:TVR917737 UFB917737:UFN917737 UOX917737:UPJ917737 UYT917737:UZF917737 VIP917737:VJB917737 VSL917737:VSX917737 WCH917737:WCT917737 WMD917737:WMP917737 WVZ917737:WWL917737 JN983273:JZ983273 TJ983273:TV983273 ADF983273:ADR983273 ANB983273:ANN983273 AWX983273:AXJ983273 BGT983273:BHF983273 BQP983273:BRB983273 CAL983273:CAX983273 CKH983273:CKT983273 CUD983273:CUP983273 DDZ983273:DEL983273 DNV983273:DOH983273 DXR983273:DYD983273 EHN983273:EHZ983273 ERJ983273:ERV983273 FBF983273:FBR983273 FLB983273:FLN983273 FUX983273:FVJ983273 GET983273:GFF983273 GOP983273:GPB983273 GYL983273:GYX983273 HIH983273:HIT983273 HSD983273:HSP983273 IBZ983273:ICL983273 ILV983273:IMH983273 IVR983273:IWD983273 JFN983273:JFZ983273 JPJ983273:JPV983273 JZF983273:JZR983273 KJB983273:KJN983273 KSX983273:KTJ983273 LCT983273:LDF983273 LMP983273:LNB983273 LWL983273:LWX983273 MGH983273:MGT983273 MQD983273:MQP983273 MZZ983273:NAL983273 NJV983273:NKH983273 NTR983273:NUD983273 ODN983273:ODZ983273 ONJ983273:ONV983273 OXF983273:OXR983273 PHB983273:PHN983273 PQX983273:PRJ983273 QAT983273:QBF983273 QKP983273:QLB983273 QUL983273:QUX983273 REH983273:RET983273 ROD983273:ROP983273 RXZ983273:RYL983273 SHV983273:SIH983273 SRR983273:SSD983273 TBN983273:TBZ983273 TLJ983273:TLV983273 TVF983273:TVR983273 UFB983273:UFN983273 UOX983273:UPJ983273 UYT983273:UZF983273 VIP983273:VJB983273 VSL983273:VSX983273 WCH983273:WCT983273 WMD983273:WMP983273 WVZ983273:WWL983273 G65769:AD65769 G983273:AD983273 G917737:AD917737 G852201:AD852201 G786665:AD786665 G721129:AD721129 G655593:AD655593 G590057:AD590057 G524521:AD524521 G458985:AD458985 G393449:AD393449 G327913:AD327913 G262377:AD262377 G196841:AD196841 G131305:AD131305 G216:AD216" xr:uid="{00000000-0002-0000-0100-000000000000}"/>
    <dataValidation allowBlank="1" showInputMessage="1" showErrorMessage="1" prompt="Diligencie si es mensual, bimestral, trimestral o semestral." sqref="G65757:I65757 JN65757:JP65757 TJ65757:TL65757 ADF65757:ADH65757 ANB65757:AND65757 AWX65757:AWZ65757 BGT65757:BGV65757 BQP65757:BQR65757 CAL65757:CAN65757 CKH65757:CKJ65757 CUD65757:CUF65757 DDZ65757:DEB65757 DNV65757:DNX65757 DXR65757:DXT65757 EHN65757:EHP65757 ERJ65757:ERL65757 FBF65757:FBH65757 FLB65757:FLD65757 FUX65757:FUZ65757 GET65757:GEV65757 GOP65757:GOR65757 GYL65757:GYN65757 HIH65757:HIJ65757 HSD65757:HSF65757 IBZ65757:ICB65757 ILV65757:ILX65757 IVR65757:IVT65757 JFN65757:JFP65757 JPJ65757:JPL65757 JZF65757:JZH65757 KJB65757:KJD65757 KSX65757:KSZ65757 LCT65757:LCV65757 LMP65757:LMR65757 LWL65757:LWN65757 MGH65757:MGJ65757 MQD65757:MQF65757 MZZ65757:NAB65757 NJV65757:NJX65757 NTR65757:NTT65757 ODN65757:ODP65757 ONJ65757:ONL65757 OXF65757:OXH65757 PHB65757:PHD65757 PQX65757:PQZ65757 QAT65757:QAV65757 QKP65757:QKR65757 QUL65757:QUN65757 REH65757:REJ65757 ROD65757:ROF65757 RXZ65757:RYB65757 SHV65757:SHX65757 SRR65757:SRT65757 TBN65757:TBP65757 TLJ65757:TLL65757 TVF65757:TVH65757 UFB65757:UFD65757 UOX65757:UOZ65757 UYT65757:UYV65757 VIP65757:VIR65757 VSL65757:VSN65757 WCH65757:WCJ65757 WMD65757:WMF65757 WVZ65757:WWB65757 G131293:I131293 JN131293:JP131293 TJ131293:TL131293 ADF131293:ADH131293 ANB131293:AND131293 AWX131293:AWZ131293 BGT131293:BGV131293 BQP131293:BQR131293 CAL131293:CAN131293 CKH131293:CKJ131293 CUD131293:CUF131293 DDZ131293:DEB131293 DNV131293:DNX131293 DXR131293:DXT131293 EHN131293:EHP131293 ERJ131293:ERL131293 FBF131293:FBH131293 FLB131293:FLD131293 FUX131293:FUZ131293 GET131293:GEV131293 GOP131293:GOR131293 GYL131293:GYN131293 HIH131293:HIJ131293 HSD131293:HSF131293 IBZ131293:ICB131293 ILV131293:ILX131293 IVR131293:IVT131293 JFN131293:JFP131293 JPJ131293:JPL131293 JZF131293:JZH131293 KJB131293:KJD131293 KSX131293:KSZ131293 LCT131293:LCV131293 LMP131293:LMR131293 LWL131293:LWN131293 MGH131293:MGJ131293 MQD131293:MQF131293 MZZ131293:NAB131293 NJV131293:NJX131293 NTR131293:NTT131293 ODN131293:ODP131293 ONJ131293:ONL131293 OXF131293:OXH131293 PHB131293:PHD131293 PQX131293:PQZ131293 QAT131293:QAV131293 QKP131293:QKR131293 QUL131293:QUN131293 REH131293:REJ131293 ROD131293:ROF131293 RXZ131293:RYB131293 SHV131293:SHX131293 SRR131293:SRT131293 TBN131293:TBP131293 TLJ131293:TLL131293 TVF131293:TVH131293 UFB131293:UFD131293 UOX131293:UOZ131293 UYT131293:UYV131293 VIP131293:VIR131293 VSL131293:VSN131293 WCH131293:WCJ131293 WMD131293:WMF131293 WVZ131293:WWB131293 G196829:I196829 JN196829:JP196829 TJ196829:TL196829 ADF196829:ADH196829 ANB196829:AND196829 AWX196829:AWZ196829 BGT196829:BGV196829 BQP196829:BQR196829 CAL196829:CAN196829 CKH196829:CKJ196829 CUD196829:CUF196829 DDZ196829:DEB196829 DNV196829:DNX196829 DXR196829:DXT196829 EHN196829:EHP196829 ERJ196829:ERL196829 FBF196829:FBH196829 FLB196829:FLD196829 FUX196829:FUZ196829 GET196829:GEV196829 GOP196829:GOR196829 GYL196829:GYN196829 HIH196829:HIJ196829 HSD196829:HSF196829 IBZ196829:ICB196829 ILV196829:ILX196829 IVR196829:IVT196829 JFN196829:JFP196829 JPJ196829:JPL196829 JZF196829:JZH196829 KJB196829:KJD196829 KSX196829:KSZ196829 LCT196829:LCV196829 LMP196829:LMR196829 LWL196829:LWN196829 MGH196829:MGJ196829 MQD196829:MQF196829 MZZ196829:NAB196829 NJV196829:NJX196829 NTR196829:NTT196829 ODN196829:ODP196829 ONJ196829:ONL196829 OXF196829:OXH196829 PHB196829:PHD196829 PQX196829:PQZ196829 QAT196829:QAV196829 QKP196829:QKR196829 QUL196829:QUN196829 REH196829:REJ196829 ROD196829:ROF196829 RXZ196829:RYB196829 SHV196829:SHX196829 SRR196829:SRT196829 TBN196829:TBP196829 TLJ196829:TLL196829 TVF196829:TVH196829 UFB196829:UFD196829 UOX196829:UOZ196829 UYT196829:UYV196829 VIP196829:VIR196829 VSL196829:VSN196829 WCH196829:WCJ196829 WMD196829:WMF196829 WVZ196829:WWB196829 G262365:I262365 JN262365:JP262365 TJ262365:TL262365 ADF262365:ADH262365 ANB262365:AND262365 AWX262365:AWZ262365 BGT262365:BGV262365 BQP262365:BQR262365 CAL262365:CAN262365 CKH262365:CKJ262365 CUD262365:CUF262365 DDZ262365:DEB262365 DNV262365:DNX262365 DXR262365:DXT262365 EHN262365:EHP262365 ERJ262365:ERL262365 FBF262365:FBH262365 FLB262365:FLD262365 FUX262365:FUZ262365 GET262365:GEV262365 GOP262365:GOR262365 GYL262365:GYN262365 HIH262365:HIJ262365 HSD262365:HSF262365 IBZ262365:ICB262365 ILV262365:ILX262365 IVR262365:IVT262365 JFN262365:JFP262365 JPJ262365:JPL262365 JZF262365:JZH262365 KJB262365:KJD262365 KSX262365:KSZ262365 LCT262365:LCV262365 LMP262365:LMR262365 LWL262365:LWN262365 MGH262365:MGJ262365 MQD262365:MQF262365 MZZ262365:NAB262365 NJV262365:NJX262365 NTR262365:NTT262365 ODN262365:ODP262365 ONJ262365:ONL262365 OXF262365:OXH262365 PHB262365:PHD262365 PQX262365:PQZ262365 QAT262365:QAV262365 QKP262365:QKR262365 QUL262365:QUN262365 REH262365:REJ262365 ROD262365:ROF262365 RXZ262365:RYB262365 SHV262365:SHX262365 SRR262365:SRT262365 TBN262365:TBP262365 TLJ262365:TLL262365 TVF262365:TVH262365 UFB262365:UFD262365 UOX262365:UOZ262365 UYT262365:UYV262365 VIP262365:VIR262365 VSL262365:VSN262365 WCH262365:WCJ262365 WMD262365:WMF262365 WVZ262365:WWB262365 G327901:I327901 JN327901:JP327901 TJ327901:TL327901 ADF327901:ADH327901 ANB327901:AND327901 AWX327901:AWZ327901 BGT327901:BGV327901 BQP327901:BQR327901 CAL327901:CAN327901 CKH327901:CKJ327901 CUD327901:CUF327901 DDZ327901:DEB327901 DNV327901:DNX327901 DXR327901:DXT327901 EHN327901:EHP327901 ERJ327901:ERL327901 FBF327901:FBH327901 FLB327901:FLD327901 FUX327901:FUZ327901 GET327901:GEV327901 GOP327901:GOR327901 GYL327901:GYN327901 HIH327901:HIJ327901 HSD327901:HSF327901 IBZ327901:ICB327901 ILV327901:ILX327901 IVR327901:IVT327901 JFN327901:JFP327901 JPJ327901:JPL327901 JZF327901:JZH327901 KJB327901:KJD327901 KSX327901:KSZ327901 LCT327901:LCV327901 LMP327901:LMR327901 LWL327901:LWN327901 MGH327901:MGJ327901 MQD327901:MQF327901 MZZ327901:NAB327901 NJV327901:NJX327901 NTR327901:NTT327901 ODN327901:ODP327901 ONJ327901:ONL327901 OXF327901:OXH327901 PHB327901:PHD327901 PQX327901:PQZ327901 QAT327901:QAV327901 QKP327901:QKR327901 QUL327901:QUN327901 REH327901:REJ327901 ROD327901:ROF327901 RXZ327901:RYB327901 SHV327901:SHX327901 SRR327901:SRT327901 TBN327901:TBP327901 TLJ327901:TLL327901 TVF327901:TVH327901 UFB327901:UFD327901 UOX327901:UOZ327901 UYT327901:UYV327901 VIP327901:VIR327901 VSL327901:VSN327901 WCH327901:WCJ327901 WMD327901:WMF327901 WVZ327901:WWB327901 G393437:I393437 JN393437:JP393437 TJ393437:TL393437 ADF393437:ADH393437 ANB393437:AND393437 AWX393437:AWZ393437 BGT393437:BGV393437 BQP393437:BQR393437 CAL393437:CAN393437 CKH393437:CKJ393437 CUD393437:CUF393437 DDZ393437:DEB393437 DNV393437:DNX393437 DXR393437:DXT393437 EHN393437:EHP393437 ERJ393437:ERL393437 FBF393437:FBH393437 FLB393437:FLD393437 FUX393437:FUZ393437 GET393437:GEV393437 GOP393437:GOR393437 GYL393437:GYN393437 HIH393437:HIJ393437 HSD393437:HSF393437 IBZ393437:ICB393437 ILV393437:ILX393437 IVR393437:IVT393437 JFN393437:JFP393437 JPJ393437:JPL393437 JZF393437:JZH393437 KJB393437:KJD393437 KSX393437:KSZ393437 LCT393437:LCV393437 LMP393437:LMR393437 LWL393437:LWN393437 MGH393437:MGJ393437 MQD393437:MQF393437 MZZ393437:NAB393437 NJV393437:NJX393437 NTR393437:NTT393437 ODN393437:ODP393437 ONJ393437:ONL393437 OXF393437:OXH393437 PHB393437:PHD393437 PQX393437:PQZ393437 QAT393437:QAV393437 QKP393437:QKR393437 QUL393437:QUN393437 REH393437:REJ393437 ROD393437:ROF393437 RXZ393437:RYB393437 SHV393437:SHX393437 SRR393437:SRT393437 TBN393437:TBP393437 TLJ393437:TLL393437 TVF393437:TVH393437 UFB393437:UFD393437 UOX393437:UOZ393437 UYT393437:UYV393437 VIP393437:VIR393437 VSL393437:VSN393437 WCH393437:WCJ393437 WMD393437:WMF393437 WVZ393437:WWB393437 G458973:I458973 JN458973:JP458973 TJ458973:TL458973 ADF458973:ADH458973 ANB458973:AND458973 AWX458973:AWZ458973 BGT458973:BGV458973 BQP458973:BQR458973 CAL458973:CAN458973 CKH458973:CKJ458973 CUD458973:CUF458973 DDZ458973:DEB458973 DNV458973:DNX458973 DXR458973:DXT458973 EHN458973:EHP458973 ERJ458973:ERL458973 FBF458973:FBH458973 FLB458973:FLD458973 FUX458973:FUZ458973 GET458973:GEV458973 GOP458973:GOR458973 GYL458973:GYN458973 HIH458973:HIJ458973 HSD458973:HSF458973 IBZ458973:ICB458973 ILV458973:ILX458973 IVR458973:IVT458973 JFN458973:JFP458973 JPJ458973:JPL458973 JZF458973:JZH458973 KJB458973:KJD458973 KSX458973:KSZ458973 LCT458973:LCV458973 LMP458973:LMR458973 LWL458973:LWN458973 MGH458973:MGJ458973 MQD458973:MQF458973 MZZ458973:NAB458973 NJV458973:NJX458973 NTR458973:NTT458973 ODN458973:ODP458973 ONJ458973:ONL458973 OXF458973:OXH458973 PHB458973:PHD458973 PQX458973:PQZ458973 QAT458973:QAV458973 QKP458973:QKR458973 QUL458973:QUN458973 REH458973:REJ458973 ROD458973:ROF458973 RXZ458973:RYB458973 SHV458973:SHX458973 SRR458973:SRT458973 TBN458973:TBP458973 TLJ458973:TLL458973 TVF458973:TVH458973 UFB458973:UFD458973 UOX458973:UOZ458973 UYT458973:UYV458973 VIP458973:VIR458973 VSL458973:VSN458973 WCH458973:WCJ458973 WMD458973:WMF458973 WVZ458973:WWB458973 G524509:I524509 JN524509:JP524509 TJ524509:TL524509 ADF524509:ADH524509 ANB524509:AND524509 AWX524509:AWZ524509 BGT524509:BGV524509 BQP524509:BQR524509 CAL524509:CAN524509 CKH524509:CKJ524509 CUD524509:CUF524509 DDZ524509:DEB524509 DNV524509:DNX524509 DXR524509:DXT524509 EHN524509:EHP524509 ERJ524509:ERL524509 FBF524509:FBH524509 FLB524509:FLD524509 FUX524509:FUZ524509 GET524509:GEV524509 GOP524509:GOR524509 GYL524509:GYN524509 HIH524509:HIJ524509 HSD524509:HSF524509 IBZ524509:ICB524509 ILV524509:ILX524509 IVR524509:IVT524509 JFN524509:JFP524509 JPJ524509:JPL524509 JZF524509:JZH524509 KJB524509:KJD524509 KSX524509:KSZ524509 LCT524509:LCV524509 LMP524509:LMR524509 LWL524509:LWN524509 MGH524509:MGJ524509 MQD524509:MQF524509 MZZ524509:NAB524509 NJV524509:NJX524509 NTR524509:NTT524509 ODN524509:ODP524509 ONJ524509:ONL524509 OXF524509:OXH524509 PHB524509:PHD524509 PQX524509:PQZ524509 QAT524509:QAV524509 QKP524509:QKR524509 QUL524509:QUN524509 REH524509:REJ524509 ROD524509:ROF524509 RXZ524509:RYB524509 SHV524509:SHX524509 SRR524509:SRT524509 TBN524509:TBP524509 TLJ524509:TLL524509 TVF524509:TVH524509 UFB524509:UFD524509 UOX524509:UOZ524509 UYT524509:UYV524509 VIP524509:VIR524509 VSL524509:VSN524509 WCH524509:WCJ524509 WMD524509:WMF524509 WVZ524509:WWB524509 G590045:I590045 JN590045:JP590045 TJ590045:TL590045 ADF590045:ADH590045 ANB590045:AND590045 AWX590045:AWZ590045 BGT590045:BGV590045 BQP590045:BQR590045 CAL590045:CAN590045 CKH590045:CKJ590045 CUD590045:CUF590045 DDZ590045:DEB590045 DNV590045:DNX590045 DXR590045:DXT590045 EHN590045:EHP590045 ERJ590045:ERL590045 FBF590045:FBH590045 FLB590045:FLD590045 FUX590045:FUZ590045 GET590045:GEV590045 GOP590045:GOR590045 GYL590045:GYN590045 HIH590045:HIJ590045 HSD590045:HSF590045 IBZ590045:ICB590045 ILV590045:ILX590045 IVR590045:IVT590045 JFN590045:JFP590045 JPJ590045:JPL590045 JZF590045:JZH590045 KJB590045:KJD590045 KSX590045:KSZ590045 LCT590045:LCV590045 LMP590045:LMR590045 LWL590045:LWN590045 MGH590045:MGJ590045 MQD590045:MQF590045 MZZ590045:NAB590045 NJV590045:NJX590045 NTR590045:NTT590045 ODN590045:ODP590045 ONJ590045:ONL590045 OXF590045:OXH590045 PHB590045:PHD590045 PQX590045:PQZ590045 QAT590045:QAV590045 QKP590045:QKR590045 QUL590045:QUN590045 REH590045:REJ590045 ROD590045:ROF590045 RXZ590045:RYB590045 SHV590045:SHX590045 SRR590045:SRT590045 TBN590045:TBP590045 TLJ590045:TLL590045 TVF590045:TVH590045 UFB590045:UFD590045 UOX590045:UOZ590045 UYT590045:UYV590045 VIP590045:VIR590045 VSL590045:VSN590045 WCH590045:WCJ590045 WMD590045:WMF590045 WVZ590045:WWB590045 G655581:I655581 JN655581:JP655581 TJ655581:TL655581 ADF655581:ADH655581 ANB655581:AND655581 AWX655581:AWZ655581 BGT655581:BGV655581 BQP655581:BQR655581 CAL655581:CAN655581 CKH655581:CKJ655581 CUD655581:CUF655581 DDZ655581:DEB655581 DNV655581:DNX655581 DXR655581:DXT655581 EHN655581:EHP655581 ERJ655581:ERL655581 FBF655581:FBH655581 FLB655581:FLD655581 FUX655581:FUZ655581 GET655581:GEV655581 GOP655581:GOR655581 GYL655581:GYN655581 HIH655581:HIJ655581 HSD655581:HSF655581 IBZ655581:ICB655581 ILV655581:ILX655581 IVR655581:IVT655581 JFN655581:JFP655581 JPJ655581:JPL655581 JZF655581:JZH655581 KJB655581:KJD655581 KSX655581:KSZ655581 LCT655581:LCV655581 LMP655581:LMR655581 LWL655581:LWN655581 MGH655581:MGJ655581 MQD655581:MQF655581 MZZ655581:NAB655581 NJV655581:NJX655581 NTR655581:NTT655581 ODN655581:ODP655581 ONJ655581:ONL655581 OXF655581:OXH655581 PHB655581:PHD655581 PQX655581:PQZ655581 QAT655581:QAV655581 QKP655581:QKR655581 QUL655581:QUN655581 REH655581:REJ655581 ROD655581:ROF655581 RXZ655581:RYB655581 SHV655581:SHX655581 SRR655581:SRT655581 TBN655581:TBP655581 TLJ655581:TLL655581 TVF655581:TVH655581 UFB655581:UFD655581 UOX655581:UOZ655581 UYT655581:UYV655581 VIP655581:VIR655581 VSL655581:VSN655581 WCH655581:WCJ655581 WMD655581:WMF655581 WVZ655581:WWB655581 G721117:I721117 JN721117:JP721117 TJ721117:TL721117 ADF721117:ADH721117 ANB721117:AND721117 AWX721117:AWZ721117 BGT721117:BGV721117 BQP721117:BQR721117 CAL721117:CAN721117 CKH721117:CKJ721117 CUD721117:CUF721117 DDZ721117:DEB721117 DNV721117:DNX721117 DXR721117:DXT721117 EHN721117:EHP721117 ERJ721117:ERL721117 FBF721117:FBH721117 FLB721117:FLD721117 FUX721117:FUZ721117 GET721117:GEV721117 GOP721117:GOR721117 GYL721117:GYN721117 HIH721117:HIJ721117 HSD721117:HSF721117 IBZ721117:ICB721117 ILV721117:ILX721117 IVR721117:IVT721117 JFN721117:JFP721117 JPJ721117:JPL721117 JZF721117:JZH721117 KJB721117:KJD721117 KSX721117:KSZ721117 LCT721117:LCV721117 LMP721117:LMR721117 LWL721117:LWN721117 MGH721117:MGJ721117 MQD721117:MQF721117 MZZ721117:NAB721117 NJV721117:NJX721117 NTR721117:NTT721117 ODN721117:ODP721117 ONJ721117:ONL721117 OXF721117:OXH721117 PHB721117:PHD721117 PQX721117:PQZ721117 QAT721117:QAV721117 QKP721117:QKR721117 QUL721117:QUN721117 REH721117:REJ721117 ROD721117:ROF721117 RXZ721117:RYB721117 SHV721117:SHX721117 SRR721117:SRT721117 TBN721117:TBP721117 TLJ721117:TLL721117 TVF721117:TVH721117 UFB721117:UFD721117 UOX721117:UOZ721117 UYT721117:UYV721117 VIP721117:VIR721117 VSL721117:VSN721117 WCH721117:WCJ721117 WMD721117:WMF721117 WVZ721117:WWB721117 G786653:I786653 JN786653:JP786653 TJ786653:TL786653 ADF786653:ADH786653 ANB786653:AND786653 AWX786653:AWZ786653 BGT786653:BGV786653 BQP786653:BQR786653 CAL786653:CAN786653 CKH786653:CKJ786653 CUD786653:CUF786653 DDZ786653:DEB786653 DNV786653:DNX786653 DXR786653:DXT786653 EHN786653:EHP786653 ERJ786653:ERL786653 FBF786653:FBH786653 FLB786653:FLD786653 FUX786653:FUZ786653 GET786653:GEV786653 GOP786653:GOR786653 GYL786653:GYN786653 HIH786653:HIJ786653 HSD786653:HSF786653 IBZ786653:ICB786653 ILV786653:ILX786653 IVR786653:IVT786653 JFN786653:JFP786653 JPJ786653:JPL786653 JZF786653:JZH786653 KJB786653:KJD786653 KSX786653:KSZ786653 LCT786653:LCV786653 LMP786653:LMR786653 LWL786653:LWN786653 MGH786653:MGJ786653 MQD786653:MQF786653 MZZ786653:NAB786653 NJV786653:NJX786653 NTR786653:NTT786653 ODN786653:ODP786653 ONJ786653:ONL786653 OXF786653:OXH786653 PHB786653:PHD786653 PQX786653:PQZ786653 QAT786653:QAV786653 QKP786653:QKR786653 QUL786653:QUN786653 REH786653:REJ786653 ROD786653:ROF786653 RXZ786653:RYB786653 SHV786653:SHX786653 SRR786653:SRT786653 TBN786653:TBP786653 TLJ786653:TLL786653 TVF786653:TVH786653 UFB786653:UFD786653 UOX786653:UOZ786653 UYT786653:UYV786653 VIP786653:VIR786653 VSL786653:VSN786653 WCH786653:WCJ786653 WMD786653:WMF786653 WVZ786653:WWB786653 G852189:I852189 JN852189:JP852189 TJ852189:TL852189 ADF852189:ADH852189 ANB852189:AND852189 AWX852189:AWZ852189 BGT852189:BGV852189 BQP852189:BQR852189 CAL852189:CAN852189 CKH852189:CKJ852189 CUD852189:CUF852189 DDZ852189:DEB852189 DNV852189:DNX852189 DXR852189:DXT852189 EHN852189:EHP852189 ERJ852189:ERL852189 FBF852189:FBH852189 FLB852189:FLD852189 FUX852189:FUZ852189 GET852189:GEV852189 GOP852189:GOR852189 GYL852189:GYN852189 HIH852189:HIJ852189 HSD852189:HSF852189 IBZ852189:ICB852189 ILV852189:ILX852189 IVR852189:IVT852189 JFN852189:JFP852189 JPJ852189:JPL852189 JZF852189:JZH852189 KJB852189:KJD852189 KSX852189:KSZ852189 LCT852189:LCV852189 LMP852189:LMR852189 LWL852189:LWN852189 MGH852189:MGJ852189 MQD852189:MQF852189 MZZ852189:NAB852189 NJV852189:NJX852189 NTR852189:NTT852189 ODN852189:ODP852189 ONJ852189:ONL852189 OXF852189:OXH852189 PHB852189:PHD852189 PQX852189:PQZ852189 QAT852189:QAV852189 QKP852189:QKR852189 QUL852189:QUN852189 REH852189:REJ852189 ROD852189:ROF852189 RXZ852189:RYB852189 SHV852189:SHX852189 SRR852189:SRT852189 TBN852189:TBP852189 TLJ852189:TLL852189 TVF852189:TVH852189 UFB852189:UFD852189 UOX852189:UOZ852189 UYT852189:UYV852189 VIP852189:VIR852189 VSL852189:VSN852189 WCH852189:WCJ852189 WMD852189:WMF852189 WVZ852189:WWB852189 G917725:I917725 JN917725:JP917725 TJ917725:TL917725 ADF917725:ADH917725 ANB917725:AND917725 AWX917725:AWZ917725 BGT917725:BGV917725 BQP917725:BQR917725 CAL917725:CAN917725 CKH917725:CKJ917725 CUD917725:CUF917725 DDZ917725:DEB917725 DNV917725:DNX917725 DXR917725:DXT917725 EHN917725:EHP917725 ERJ917725:ERL917725 FBF917725:FBH917725 FLB917725:FLD917725 FUX917725:FUZ917725 GET917725:GEV917725 GOP917725:GOR917725 GYL917725:GYN917725 HIH917725:HIJ917725 HSD917725:HSF917725 IBZ917725:ICB917725 ILV917725:ILX917725 IVR917725:IVT917725 JFN917725:JFP917725 JPJ917725:JPL917725 JZF917725:JZH917725 KJB917725:KJD917725 KSX917725:KSZ917725 LCT917725:LCV917725 LMP917725:LMR917725 LWL917725:LWN917725 MGH917725:MGJ917725 MQD917725:MQF917725 MZZ917725:NAB917725 NJV917725:NJX917725 NTR917725:NTT917725 ODN917725:ODP917725 ONJ917725:ONL917725 OXF917725:OXH917725 PHB917725:PHD917725 PQX917725:PQZ917725 QAT917725:QAV917725 QKP917725:QKR917725 QUL917725:QUN917725 REH917725:REJ917725 ROD917725:ROF917725 RXZ917725:RYB917725 SHV917725:SHX917725 SRR917725:SRT917725 TBN917725:TBP917725 TLJ917725:TLL917725 TVF917725:TVH917725 UFB917725:UFD917725 UOX917725:UOZ917725 UYT917725:UYV917725 VIP917725:VIR917725 VSL917725:VSN917725 WCH917725:WCJ917725 WMD917725:WMF917725 WVZ917725:WWB917725 G983261:I983261 JN983261:JP983261 TJ983261:TL983261 ADF983261:ADH983261 ANB983261:AND983261 AWX983261:AWZ983261 BGT983261:BGV983261 BQP983261:BQR983261 CAL983261:CAN983261 CKH983261:CKJ983261 CUD983261:CUF983261 DDZ983261:DEB983261 DNV983261:DNX983261 DXR983261:DXT983261 EHN983261:EHP983261 ERJ983261:ERL983261 FBF983261:FBH983261 FLB983261:FLD983261 FUX983261:FUZ983261 GET983261:GEV983261 GOP983261:GOR983261 GYL983261:GYN983261 HIH983261:HIJ983261 HSD983261:HSF983261 IBZ983261:ICB983261 ILV983261:ILX983261 IVR983261:IVT983261 JFN983261:JFP983261 JPJ983261:JPL983261 JZF983261:JZH983261 KJB983261:KJD983261 KSX983261:KSZ983261 LCT983261:LCV983261 LMP983261:LMR983261 LWL983261:LWN983261 MGH983261:MGJ983261 MQD983261:MQF983261 MZZ983261:NAB983261 NJV983261:NJX983261 NTR983261:NTT983261 ODN983261:ODP983261 ONJ983261:ONL983261 OXF983261:OXH983261 PHB983261:PHD983261 PQX983261:PQZ983261 QAT983261:QAV983261 QKP983261:QKR983261 QUL983261:QUN983261 REH983261:REJ983261 ROD983261:ROF983261 RXZ983261:RYB983261 SHV983261:SHX983261 SRR983261:SRT983261 TBN983261:TBP983261 TLJ983261:TLL983261 TVF983261:TVH983261 UFB983261:UFD983261 UOX983261:UOZ983261 UYT983261:UYV983261 VIP983261:VIR983261 VSL983261:VSN983261 WCH983261:WCJ983261 WMD983261:WMF983261 WVZ983261:WWB983261 C11:F11 JK11:JM11 TG11:TI11 ADC11:ADE11 AMY11:ANA11 AWU11:AWW11 BGQ11:BGS11 BQM11:BQO11 CAI11:CAK11 CKE11:CKG11 CUA11:CUC11 DDW11:DDY11 DNS11:DNU11 DXO11:DXQ11 EHK11:EHM11 ERG11:ERI11 FBC11:FBE11 FKY11:FLA11 FUU11:FUW11 GEQ11:GES11 GOM11:GOO11 GYI11:GYK11 HIE11:HIG11 HSA11:HSC11 IBW11:IBY11 ILS11:ILU11 IVO11:IVQ11 JFK11:JFM11 JPG11:JPI11 JZC11:JZE11 KIY11:KJA11 KSU11:KSW11 LCQ11:LCS11 LMM11:LMO11 LWI11:LWK11 MGE11:MGG11 MQA11:MQC11 MZW11:MZY11 NJS11:NJU11 NTO11:NTQ11 ODK11:ODM11 ONG11:ONI11 OXC11:OXE11 PGY11:PHA11 PQU11:PQW11 QAQ11:QAS11 QKM11:QKO11 QUI11:QUK11 REE11:REG11 ROA11:ROC11 RXW11:RXY11 SHS11:SHU11 SRO11:SRQ11 TBK11:TBM11 TLG11:TLI11 TVC11:TVE11 UEY11:UFA11 UOU11:UOW11 UYQ11:UYS11 VIM11:VIO11 VSI11:VSK11 WCE11:WCG11 WMA11:WMC11 WVW11:WVY11 C65756:F65756 JK65756:JM65756 TG65756:TI65756 ADC65756:ADE65756 AMY65756:ANA65756 AWU65756:AWW65756 BGQ65756:BGS65756 BQM65756:BQO65756 CAI65756:CAK65756 CKE65756:CKG65756 CUA65756:CUC65756 DDW65756:DDY65756 DNS65756:DNU65756 DXO65756:DXQ65756 EHK65756:EHM65756 ERG65756:ERI65756 FBC65756:FBE65756 FKY65756:FLA65756 FUU65756:FUW65756 GEQ65756:GES65756 GOM65756:GOO65756 GYI65756:GYK65756 HIE65756:HIG65756 HSA65756:HSC65756 IBW65756:IBY65756 ILS65756:ILU65756 IVO65756:IVQ65756 JFK65756:JFM65756 JPG65756:JPI65756 JZC65756:JZE65756 KIY65756:KJA65756 KSU65756:KSW65756 LCQ65756:LCS65756 LMM65756:LMO65756 LWI65756:LWK65756 MGE65756:MGG65756 MQA65756:MQC65756 MZW65756:MZY65756 NJS65756:NJU65756 NTO65756:NTQ65756 ODK65756:ODM65756 ONG65756:ONI65756 OXC65756:OXE65756 PGY65756:PHA65756 PQU65756:PQW65756 QAQ65756:QAS65756 QKM65756:QKO65756 QUI65756:QUK65756 REE65756:REG65756 ROA65756:ROC65756 RXW65756:RXY65756 SHS65756:SHU65756 SRO65756:SRQ65756 TBK65756:TBM65756 TLG65756:TLI65756 TVC65756:TVE65756 UEY65756:UFA65756 UOU65756:UOW65756 UYQ65756:UYS65756 VIM65756:VIO65756 VSI65756:VSK65756 WCE65756:WCG65756 WMA65756:WMC65756 WVW65756:WVY65756 C131292:F131292 JK131292:JM131292 TG131292:TI131292 ADC131292:ADE131292 AMY131292:ANA131292 AWU131292:AWW131292 BGQ131292:BGS131292 BQM131292:BQO131292 CAI131292:CAK131292 CKE131292:CKG131292 CUA131292:CUC131292 DDW131292:DDY131292 DNS131292:DNU131292 DXO131292:DXQ131292 EHK131292:EHM131292 ERG131292:ERI131292 FBC131292:FBE131292 FKY131292:FLA131292 FUU131292:FUW131292 GEQ131292:GES131292 GOM131292:GOO131292 GYI131292:GYK131292 HIE131292:HIG131292 HSA131292:HSC131292 IBW131292:IBY131292 ILS131292:ILU131292 IVO131292:IVQ131292 JFK131292:JFM131292 JPG131292:JPI131292 JZC131292:JZE131292 KIY131292:KJA131292 KSU131292:KSW131292 LCQ131292:LCS131292 LMM131292:LMO131292 LWI131292:LWK131292 MGE131292:MGG131292 MQA131292:MQC131292 MZW131292:MZY131292 NJS131292:NJU131292 NTO131292:NTQ131292 ODK131292:ODM131292 ONG131292:ONI131292 OXC131292:OXE131292 PGY131292:PHA131292 PQU131292:PQW131292 QAQ131292:QAS131292 QKM131292:QKO131292 QUI131292:QUK131292 REE131292:REG131292 ROA131292:ROC131292 RXW131292:RXY131292 SHS131292:SHU131292 SRO131292:SRQ131292 TBK131292:TBM131292 TLG131292:TLI131292 TVC131292:TVE131292 UEY131292:UFA131292 UOU131292:UOW131292 UYQ131292:UYS131292 VIM131292:VIO131292 VSI131292:VSK131292 WCE131292:WCG131292 WMA131292:WMC131292 WVW131292:WVY131292 C196828:F196828 JK196828:JM196828 TG196828:TI196828 ADC196828:ADE196828 AMY196828:ANA196828 AWU196828:AWW196828 BGQ196828:BGS196828 BQM196828:BQO196828 CAI196828:CAK196828 CKE196828:CKG196828 CUA196828:CUC196828 DDW196828:DDY196828 DNS196828:DNU196828 DXO196828:DXQ196828 EHK196828:EHM196828 ERG196828:ERI196828 FBC196828:FBE196828 FKY196828:FLA196828 FUU196828:FUW196828 GEQ196828:GES196828 GOM196828:GOO196828 GYI196828:GYK196828 HIE196828:HIG196828 HSA196828:HSC196828 IBW196828:IBY196828 ILS196828:ILU196828 IVO196828:IVQ196828 JFK196828:JFM196828 JPG196828:JPI196828 JZC196828:JZE196828 KIY196828:KJA196828 KSU196828:KSW196828 LCQ196828:LCS196828 LMM196828:LMO196828 LWI196828:LWK196828 MGE196828:MGG196828 MQA196828:MQC196828 MZW196828:MZY196828 NJS196828:NJU196828 NTO196828:NTQ196828 ODK196828:ODM196828 ONG196828:ONI196828 OXC196828:OXE196828 PGY196828:PHA196828 PQU196828:PQW196828 QAQ196828:QAS196828 QKM196828:QKO196828 QUI196828:QUK196828 REE196828:REG196828 ROA196828:ROC196828 RXW196828:RXY196828 SHS196828:SHU196828 SRO196828:SRQ196828 TBK196828:TBM196828 TLG196828:TLI196828 TVC196828:TVE196828 UEY196828:UFA196828 UOU196828:UOW196828 UYQ196828:UYS196828 VIM196828:VIO196828 VSI196828:VSK196828 WCE196828:WCG196828 WMA196828:WMC196828 WVW196828:WVY196828 C262364:F262364 JK262364:JM262364 TG262364:TI262364 ADC262364:ADE262364 AMY262364:ANA262364 AWU262364:AWW262364 BGQ262364:BGS262364 BQM262364:BQO262364 CAI262364:CAK262364 CKE262364:CKG262364 CUA262364:CUC262364 DDW262364:DDY262364 DNS262364:DNU262364 DXO262364:DXQ262364 EHK262364:EHM262364 ERG262364:ERI262364 FBC262364:FBE262364 FKY262364:FLA262364 FUU262364:FUW262364 GEQ262364:GES262364 GOM262364:GOO262364 GYI262364:GYK262364 HIE262364:HIG262364 HSA262364:HSC262364 IBW262364:IBY262364 ILS262364:ILU262364 IVO262364:IVQ262364 JFK262364:JFM262364 JPG262364:JPI262364 JZC262364:JZE262364 KIY262364:KJA262364 KSU262364:KSW262364 LCQ262364:LCS262364 LMM262364:LMO262364 LWI262364:LWK262364 MGE262364:MGG262364 MQA262364:MQC262364 MZW262364:MZY262364 NJS262364:NJU262364 NTO262364:NTQ262364 ODK262364:ODM262364 ONG262364:ONI262364 OXC262364:OXE262364 PGY262364:PHA262364 PQU262364:PQW262364 QAQ262364:QAS262364 QKM262364:QKO262364 QUI262364:QUK262364 REE262364:REG262364 ROA262364:ROC262364 RXW262364:RXY262364 SHS262364:SHU262364 SRO262364:SRQ262364 TBK262364:TBM262364 TLG262364:TLI262364 TVC262364:TVE262364 UEY262364:UFA262364 UOU262364:UOW262364 UYQ262364:UYS262364 VIM262364:VIO262364 VSI262364:VSK262364 WCE262364:WCG262364 WMA262364:WMC262364 WVW262364:WVY262364 C327900:F327900 JK327900:JM327900 TG327900:TI327900 ADC327900:ADE327900 AMY327900:ANA327900 AWU327900:AWW327900 BGQ327900:BGS327900 BQM327900:BQO327900 CAI327900:CAK327900 CKE327900:CKG327900 CUA327900:CUC327900 DDW327900:DDY327900 DNS327900:DNU327900 DXO327900:DXQ327900 EHK327900:EHM327900 ERG327900:ERI327900 FBC327900:FBE327900 FKY327900:FLA327900 FUU327900:FUW327900 GEQ327900:GES327900 GOM327900:GOO327900 GYI327900:GYK327900 HIE327900:HIG327900 HSA327900:HSC327900 IBW327900:IBY327900 ILS327900:ILU327900 IVO327900:IVQ327900 JFK327900:JFM327900 JPG327900:JPI327900 JZC327900:JZE327900 KIY327900:KJA327900 KSU327900:KSW327900 LCQ327900:LCS327900 LMM327900:LMO327900 LWI327900:LWK327900 MGE327900:MGG327900 MQA327900:MQC327900 MZW327900:MZY327900 NJS327900:NJU327900 NTO327900:NTQ327900 ODK327900:ODM327900 ONG327900:ONI327900 OXC327900:OXE327900 PGY327900:PHA327900 PQU327900:PQW327900 QAQ327900:QAS327900 QKM327900:QKO327900 QUI327900:QUK327900 REE327900:REG327900 ROA327900:ROC327900 RXW327900:RXY327900 SHS327900:SHU327900 SRO327900:SRQ327900 TBK327900:TBM327900 TLG327900:TLI327900 TVC327900:TVE327900 UEY327900:UFA327900 UOU327900:UOW327900 UYQ327900:UYS327900 VIM327900:VIO327900 VSI327900:VSK327900 WCE327900:WCG327900 WMA327900:WMC327900 WVW327900:WVY327900 C393436:F393436 JK393436:JM393436 TG393436:TI393436 ADC393436:ADE393436 AMY393436:ANA393436 AWU393436:AWW393436 BGQ393436:BGS393436 BQM393436:BQO393436 CAI393436:CAK393436 CKE393436:CKG393436 CUA393436:CUC393436 DDW393436:DDY393436 DNS393436:DNU393436 DXO393436:DXQ393436 EHK393436:EHM393436 ERG393436:ERI393436 FBC393436:FBE393436 FKY393436:FLA393436 FUU393436:FUW393436 GEQ393436:GES393436 GOM393436:GOO393436 GYI393436:GYK393436 HIE393436:HIG393436 HSA393436:HSC393436 IBW393436:IBY393436 ILS393436:ILU393436 IVO393436:IVQ393436 JFK393436:JFM393436 JPG393436:JPI393436 JZC393436:JZE393436 KIY393436:KJA393436 KSU393436:KSW393436 LCQ393436:LCS393436 LMM393436:LMO393436 LWI393436:LWK393436 MGE393436:MGG393436 MQA393436:MQC393436 MZW393436:MZY393436 NJS393436:NJU393436 NTO393436:NTQ393436 ODK393436:ODM393436 ONG393436:ONI393436 OXC393436:OXE393436 PGY393436:PHA393436 PQU393436:PQW393436 QAQ393436:QAS393436 QKM393436:QKO393436 QUI393436:QUK393436 REE393436:REG393436 ROA393436:ROC393436 RXW393436:RXY393436 SHS393436:SHU393436 SRO393436:SRQ393436 TBK393436:TBM393436 TLG393436:TLI393436 TVC393436:TVE393436 UEY393436:UFA393436 UOU393436:UOW393436 UYQ393436:UYS393436 VIM393436:VIO393436 VSI393436:VSK393436 WCE393436:WCG393436 WMA393436:WMC393436 WVW393436:WVY393436 C458972:F458972 JK458972:JM458972 TG458972:TI458972 ADC458972:ADE458972 AMY458972:ANA458972 AWU458972:AWW458972 BGQ458972:BGS458972 BQM458972:BQO458972 CAI458972:CAK458972 CKE458972:CKG458972 CUA458972:CUC458972 DDW458972:DDY458972 DNS458972:DNU458972 DXO458972:DXQ458972 EHK458972:EHM458972 ERG458972:ERI458972 FBC458972:FBE458972 FKY458972:FLA458972 FUU458972:FUW458972 GEQ458972:GES458972 GOM458972:GOO458972 GYI458972:GYK458972 HIE458972:HIG458972 HSA458972:HSC458972 IBW458972:IBY458972 ILS458972:ILU458972 IVO458972:IVQ458972 JFK458972:JFM458972 JPG458972:JPI458972 JZC458972:JZE458972 KIY458972:KJA458972 KSU458972:KSW458972 LCQ458972:LCS458972 LMM458972:LMO458972 LWI458972:LWK458972 MGE458972:MGG458972 MQA458972:MQC458972 MZW458972:MZY458972 NJS458972:NJU458972 NTO458972:NTQ458972 ODK458972:ODM458972 ONG458972:ONI458972 OXC458972:OXE458972 PGY458972:PHA458972 PQU458972:PQW458972 QAQ458972:QAS458972 QKM458972:QKO458972 QUI458972:QUK458972 REE458972:REG458972 ROA458972:ROC458972 RXW458972:RXY458972 SHS458972:SHU458972 SRO458972:SRQ458972 TBK458972:TBM458972 TLG458972:TLI458972 TVC458972:TVE458972 UEY458972:UFA458972 UOU458972:UOW458972 UYQ458972:UYS458972 VIM458972:VIO458972 VSI458972:VSK458972 WCE458972:WCG458972 WMA458972:WMC458972 WVW458972:WVY458972 C524508:F524508 JK524508:JM524508 TG524508:TI524508 ADC524508:ADE524508 AMY524508:ANA524508 AWU524508:AWW524508 BGQ524508:BGS524508 BQM524508:BQO524508 CAI524508:CAK524508 CKE524508:CKG524508 CUA524508:CUC524508 DDW524508:DDY524508 DNS524508:DNU524508 DXO524508:DXQ524508 EHK524508:EHM524508 ERG524508:ERI524508 FBC524508:FBE524508 FKY524508:FLA524508 FUU524508:FUW524508 GEQ524508:GES524508 GOM524508:GOO524508 GYI524508:GYK524508 HIE524508:HIG524508 HSA524508:HSC524508 IBW524508:IBY524508 ILS524508:ILU524508 IVO524508:IVQ524508 JFK524508:JFM524508 JPG524508:JPI524508 JZC524508:JZE524508 KIY524508:KJA524508 KSU524508:KSW524508 LCQ524508:LCS524508 LMM524508:LMO524508 LWI524508:LWK524508 MGE524508:MGG524508 MQA524508:MQC524508 MZW524508:MZY524508 NJS524508:NJU524508 NTO524508:NTQ524508 ODK524508:ODM524508 ONG524508:ONI524508 OXC524508:OXE524508 PGY524508:PHA524508 PQU524508:PQW524508 QAQ524508:QAS524508 QKM524508:QKO524508 QUI524508:QUK524508 REE524508:REG524508 ROA524508:ROC524508 RXW524508:RXY524508 SHS524508:SHU524508 SRO524508:SRQ524508 TBK524508:TBM524508 TLG524508:TLI524508 TVC524508:TVE524508 UEY524508:UFA524508 UOU524508:UOW524508 UYQ524508:UYS524508 VIM524508:VIO524508 VSI524508:VSK524508 WCE524508:WCG524508 WMA524508:WMC524508 WVW524508:WVY524508 C590044:F590044 JK590044:JM590044 TG590044:TI590044 ADC590044:ADE590044 AMY590044:ANA590044 AWU590044:AWW590044 BGQ590044:BGS590044 BQM590044:BQO590044 CAI590044:CAK590044 CKE590044:CKG590044 CUA590044:CUC590044 DDW590044:DDY590044 DNS590044:DNU590044 DXO590044:DXQ590044 EHK590044:EHM590044 ERG590044:ERI590044 FBC590044:FBE590044 FKY590044:FLA590044 FUU590044:FUW590044 GEQ590044:GES590044 GOM590044:GOO590044 GYI590044:GYK590044 HIE590044:HIG590044 HSA590044:HSC590044 IBW590044:IBY590044 ILS590044:ILU590044 IVO590044:IVQ590044 JFK590044:JFM590044 JPG590044:JPI590044 JZC590044:JZE590044 KIY590044:KJA590044 KSU590044:KSW590044 LCQ590044:LCS590044 LMM590044:LMO590044 LWI590044:LWK590044 MGE590044:MGG590044 MQA590044:MQC590044 MZW590044:MZY590044 NJS590044:NJU590044 NTO590044:NTQ590044 ODK590044:ODM590044 ONG590044:ONI590044 OXC590044:OXE590044 PGY590044:PHA590044 PQU590044:PQW590044 QAQ590044:QAS590044 QKM590044:QKO590044 QUI590044:QUK590044 REE590044:REG590044 ROA590044:ROC590044 RXW590044:RXY590044 SHS590044:SHU590044 SRO590044:SRQ590044 TBK590044:TBM590044 TLG590044:TLI590044 TVC590044:TVE590044 UEY590044:UFA590044 UOU590044:UOW590044 UYQ590044:UYS590044 VIM590044:VIO590044 VSI590044:VSK590044 WCE590044:WCG590044 WMA590044:WMC590044 WVW590044:WVY590044 C655580:F655580 JK655580:JM655580 TG655580:TI655580 ADC655580:ADE655580 AMY655580:ANA655580 AWU655580:AWW655580 BGQ655580:BGS655580 BQM655580:BQO655580 CAI655580:CAK655580 CKE655580:CKG655580 CUA655580:CUC655580 DDW655580:DDY655580 DNS655580:DNU655580 DXO655580:DXQ655580 EHK655580:EHM655580 ERG655580:ERI655580 FBC655580:FBE655580 FKY655580:FLA655580 FUU655580:FUW655580 GEQ655580:GES655580 GOM655580:GOO655580 GYI655580:GYK655580 HIE655580:HIG655580 HSA655580:HSC655580 IBW655580:IBY655580 ILS655580:ILU655580 IVO655580:IVQ655580 JFK655580:JFM655580 JPG655580:JPI655580 JZC655580:JZE655580 KIY655580:KJA655580 KSU655580:KSW655580 LCQ655580:LCS655580 LMM655580:LMO655580 LWI655580:LWK655580 MGE655580:MGG655580 MQA655580:MQC655580 MZW655580:MZY655580 NJS655580:NJU655580 NTO655580:NTQ655580 ODK655580:ODM655580 ONG655580:ONI655580 OXC655580:OXE655580 PGY655580:PHA655580 PQU655580:PQW655580 QAQ655580:QAS655580 QKM655580:QKO655580 QUI655580:QUK655580 REE655580:REG655580 ROA655580:ROC655580 RXW655580:RXY655580 SHS655580:SHU655580 SRO655580:SRQ655580 TBK655580:TBM655580 TLG655580:TLI655580 TVC655580:TVE655580 UEY655580:UFA655580 UOU655580:UOW655580 UYQ655580:UYS655580 VIM655580:VIO655580 VSI655580:VSK655580 WCE655580:WCG655580 WMA655580:WMC655580 WVW655580:WVY655580 C721116:F721116 JK721116:JM721116 TG721116:TI721116 ADC721116:ADE721116 AMY721116:ANA721116 AWU721116:AWW721116 BGQ721116:BGS721116 BQM721116:BQO721116 CAI721116:CAK721116 CKE721116:CKG721116 CUA721116:CUC721116 DDW721116:DDY721116 DNS721116:DNU721116 DXO721116:DXQ721116 EHK721116:EHM721116 ERG721116:ERI721116 FBC721116:FBE721116 FKY721116:FLA721116 FUU721116:FUW721116 GEQ721116:GES721116 GOM721116:GOO721116 GYI721116:GYK721116 HIE721116:HIG721116 HSA721116:HSC721116 IBW721116:IBY721116 ILS721116:ILU721116 IVO721116:IVQ721116 JFK721116:JFM721116 JPG721116:JPI721116 JZC721116:JZE721116 KIY721116:KJA721116 KSU721116:KSW721116 LCQ721116:LCS721116 LMM721116:LMO721116 LWI721116:LWK721116 MGE721116:MGG721116 MQA721116:MQC721116 MZW721116:MZY721116 NJS721116:NJU721116 NTO721116:NTQ721116 ODK721116:ODM721116 ONG721116:ONI721116 OXC721116:OXE721116 PGY721116:PHA721116 PQU721116:PQW721116 QAQ721116:QAS721116 QKM721116:QKO721116 QUI721116:QUK721116 REE721116:REG721116 ROA721116:ROC721116 RXW721116:RXY721116 SHS721116:SHU721116 SRO721116:SRQ721116 TBK721116:TBM721116 TLG721116:TLI721116 TVC721116:TVE721116 UEY721116:UFA721116 UOU721116:UOW721116 UYQ721116:UYS721116 VIM721116:VIO721116 VSI721116:VSK721116 WCE721116:WCG721116 WMA721116:WMC721116 WVW721116:WVY721116 C786652:F786652 JK786652:JM786652 TG786652:TI786652 ADC786652:ADE786652 AMY786652:ANA786652 AWU786652:AWW786652 BGQ786652:BGS786652 BQM786652:BQO786652 CAI786652:CAK786652 CKE786652:CKG786652 CUA786652:CUC786652 DDW786652:DDY786652 DNS786652:DNU786652 DXO786652:DXQ786652 EHK786652:EHM786652 ERG786652:ERI786652 FBC786652:FBE786652 FKY786652:FLA786652 FUU786652:FUW786652 GEQ786652:GES786652 GOM786652:GOO786652 GYI786652:GYK786652 HIE786652:HIG786652 HSA786652:HSC786652 IBW786652:IBY786652 ILS786652:ILU786652 IVO786652:IVQ786652 JFK786652:JFM786652 JPG786652:JPI786652 JZC786652:JZE786652 KIY786652:KJA786652 KSU786652:KSW786652 LCQ786652:LCS786652 LMM786652:LMO786652 LWI786652:LWK786652 MGE786652:MGG786652 MQA786652:MQC786652 MZW786652:MZY786652 NJS786652:NJU786652 NTO786652:NTQ786652 ODK786652:ODM786652 ONG786652:ONI786652 OXC786652:OXE786652 PGY786652:PHA786652 PQU786652:PQW786652 QAQ786652:QAS786652 QKM786652:QKO786652 QUI786652:QUK786652 REE786652:REG786652 ROA786652:ROC786652 RXW786652:RXY786652 SHS786652:SHU786652 SRO786652:SRQ786652 TBK786652:TBM786652 TLG786652:TLI786652 TVC786652:TVE786652 UEY786652:UFA786652 UOU786652:UOW786652 UYQ786652:UYS786652 VIM786652:VIO786652 VSI786652:VSK786652 WCE786652:WCG786652 WMA786652:WMC786652 WVW786652:WVY786652 C852188:F852188 JK852188:JM852188 TG852188:TI852188 ADC852188:ADE852188 AMY852188:ANA852188 AWU852188:AWW852188 BGQ852188:BGS852188 BQM852188:BQO852188 CAI852188:CAK852188 CKE852188:CKG852188 CUA852188:CUC852188 DDW852188:DDY852188 DNS852188:DNU852188 DXO852188:DXQ852188 EHK852188:EHM852188 ERG852188:ERI852188 FBC852188:FBE852188 FKY852188:FLA852188 FUU852188:FUW852188 GEQ852188:GES852188 GOM852188:GOO852188 GYI852188:GYK852188 HIE852188:HIG852188 HSA852188:HSC852188 IBW852188:IBY852188 ILS852188:ILU852188 IVO852188:IVQ852188 JFK852188:JFM852188 JPG852188:JPI852188 JZC852188:JZE852188 KIY852188:KJA852188 KSU852188:KSW852188 LCQ852188:LCS852188 LMM852188:LMO852188 LWI852188:LWK852188 MGE852188:MGG852188 MQA852188:MQC852188 MZW852188:MZY852188 NJS852188:NJU852188 NTO852188:NTQ852188 ODK852188:ODM852188 ONG852188:ONI852188 OXC852188:OXE852188 PGY852188:PHA852188 PQU852188:PQW852188 QAQ852188:QAS852188 QKM852188:QKO852188 QUI852188:QUK852188 REE852188:REG852188 ROA852188:ROC852188 RXW852188:RXY852188 SHS852188:SHU852188 SRO852188:SRQ852188 TBK852188:TBM852188 TLG852188:TLI852188 TVC852188:TVE852188 UEY852188:UFA852188 UOU852188:UOW852188 UYQ852188:UYS852188 VIM852188:VIO852188 VSI852188:VSK852188 WCE852188:WCG852188 WMA852188:WMC852188 WVW852188:WVY852188 C917724:F917724 JK917724:JM917724 TG917724:TI917724 ADC917724:ADE917724 AMY917724:ANA917724 AWU917724:AWW917724 BGQ917724:BGS917724 BQM917724:BQO917724 CAI917724:CAK917724 CKE917724:CKG917724 CUA917724:CUC917724 DDW917724:DDY917724 DNS917724:DNU917724 DXO917724:DXQ917724 EHK917724:EHM917724 ERG917724:ERI917724 FBC917724:FBE917724 FKY917724:FLA917724 FUU917724:FUW917724 GEQ917724:GES917724 GOM917724:GOO917724 GYI917724:GYK917724 HIE917724:HIG917724 HSA917724:HSC917724 IBW917724:IBY917724 ILS917724:ILU917724 IVO917724:IVQ917724 JFK917724:JFM917724 JPG917724:JPI917724 JZC917724:JZE917724 KIY917724:KJA917724 KSU917724:KSW917724 LCQ917724:LCS917724 LMM917724:LMO917724 LWI917724:LWK917724 MGE917724:MGG917724 MQA917724:MQC917724 MZW917724:MZY917724 NJS917724:NJU917724 NTO917724:NTQ917724 ODK917724:ODM917724 ONG917724:ONI917724 OXC917724:OXE917724 PGY917724:PHA917724 PQU917724:PQW917724 QAQ917724:QAS917724 QKM917724:QKO917724 QUI917724:QUK917724 REE917724:REG917724 ROA917724:ROC917724 RXW917724:RXY917724 SHS917724:SHU917724 SRO917724:SRQ917724 TBK917724:TBM917724 TLG917724:TLI917724 TVC917724:TVE917724 UEY917724:UFA917724 UOU917724:UOW917724 UYQ917724:UYS917724 VIM917724:VIO917724 VSI917724:VSK917724 WCE917724:WCG917724 WMA917724:WMC917724 WVW917724:WVY917724 C983260:F983260 JK983260:JM983260 TG983260:TI983260 ADC983260:ADE983260 AMY983260:ANA983260 AWU983260:AWW983260 BGQ983260:BGS983260 BQM983260:BQO983260 CAI983260:CAK983260 CKE983260:CKG983260 CUA983260:CUC983260 DDW983260:DDY983260 DNS983260:DNU983260 DXO983260:DXQ983260 EHK983260:EHM983260 ERG983260:ERI983260 FBC983260:FBE983260 FKY983260:FLA983260 FUU983260:FUW983260 GEQ983260:GES983260 GOM983260:GOO983260 GYI983260:GYK983260 HIE983260:HIG983260 HSA983260:HSC983260 IBW983260:IBY983260 ILS983260:ILU983260 IVO983260:IVQ983260 JFK983260:JFM983260 JPG983260:JPI983260 JZC983260:JZE983260 KIY983260:KJA983260 KSU983260:KSW983260 LCQ983260:LCS983260 LMM983260:LMO983260 LWI983260:LWK983260 MGE983260:MGG983260 MQA983260:MQC983260 MZW983260:MZY983260 NJS983260:NJU983260 NTO983260:NTQ983260 ODK983260:ODM983260 ONG983260:ONI983260 OXC983260:OXE983260 PGY983260:PHA983260 PQU983260:PQW983260 QAQ983260:QAS983260 QKM983260:QKO983260 QUI983260:QUK983260 REE983260:REG983260 ROA983260:ROC983260 RXW983260:RXY983260 SHS983260:SHU983260 SRO983260:SRQ983260 TBK983260:TBM983260 TLG983260:TLI983260 TVC983260:TVE983260 UEY983260:UFA983260 UOU983260:UOW983260 UYQ983260:UYS983260 VIM983260:VIO983260 VSI983260:VSK983260 WCE983260:WCG983260 WMA983260:WMC983260 WVW983260:WVY983260 WVZ12:WWB12 WMD12:WMF12 WCH12:WCJ12 VSL12:VSN12 VIP12:VIR12 UYT12:UYV12 UOX12:UOZ12 UFB12:UFD12 TVF12:TVH12 TLJ12:TLL12 TBN12:TBP12 SRR12:SRT12 SHV12:SHX12 RXZ12:RYB12 ROD12:ROF12 REH12:REJ12 QUL12:QUN12 QKP12:QKR12 QAT12:QAV12 PQX12:PQZ12 PHB12:PHD12 OXF12:OXH12 ONJ12:ONL12 ODN12:ODP12 NTR12:NTT12 NJV12:NJX12 MZZ12:NAB12 MQD12:MQF12 MGH12:MGJ12 LWL12:LWN12 LMP12:LMR12 LCT12:LCV12 KSX12:KSZ12 KJB12:KJD12 JZF12:JZH12 JPJ12:JPL12 JFN12:JFP12 IVR12:IVT12 ILV12:ILX12 IBZ12:ICB12 HSD12:HSF12 HIH12:HIJ12 GYL12:GYN12 GOP12:GOR12 GET12:GEV12 FUX12:FUZ12 FLB12:FLD12 FBF12:FBH12 ERJ12:ERL12 EHN12:EHP12 DXR12:DXT12 DNV12:DNX12 DDZ12:DEB12 CUD12:CUF12 CKH12:CKJ12 CAL12:CAN12 BQP12:BQR12 BGT12:BGV12 AWX12:AWZ12 ANB12:AND12 ADF12:ADH12 TJ12:TL12 JN12:JP12 G12:I12" xr:uid="{00000000-0002-0000-0100-000001000000}"/>
    <dataValidation allowBlank="1" showInputMessage="1" showErrorMessage="1" prompt="Describa el nombre para los casos en los que se conozca el ejecutor. Para procesos de selección escribir &quot;proponentes varios&quot; y para contratación de prestación de servicios profesionales y/o de apoyo escribir &quot;contratista no definido&quot;." sqref="C8:D8 JK8 TG8 ADC8 AMY8 AWU8 BGQ8 BQM8 CAI8 CKE8 CUA8 DDW8 DNS8 DXO8 EHK8 ERG8 FBC8 FKY8 FUU8 GEQ8 GOM8 GYI8 HIE8 HSA8 IBW8 ILS8 IVO8 JFK8 JPG8 JZC8 KIY8 KSU8 LCQ8 LMM8 LWI8 MGE8 MQA8 MZW8 NJS8 NTO8 ODK8 ONG8 OXC8 PGY8 PQU8 QAQ8 QKM8 QUI8 REE8 ROA8 RXW8 SHS8 SRO8 TBK8 TLG8 TVC8 UEY8 UOU8 UYQ8 VIM8 VSI8 WCE8 WMA8 WVW8 C65750:D65750 JK65750 TG65750 ADC65750 AMY65750 AWU65750 BGQ65750 BQM65750 CAI65750 CKE65750 CUA65750 DDW65750 DNS65750 DXO65750 EHK65750 ERG65750 FBC65750 FKY65750 FUU65750 GEQ65750 GOM65750 GYI65750 HIE65750 HSA65750 IBW65750 ILS65750 IVO65750 JFK65750 JPG65750 JZC65750 KIY65750 KSU65750 LCQ65750 LMM65750 LWI65750 MGE65750 MQA65750 MZW65750 NJS65750 NTO65750 ODK65750 ONG65750 OXC65750 PGY65750 PQU65750 QAQ65750 QKM65750 QUI65750 REE65750 ROA65750 RXW65750 SHS65750 SRO65750 TBK65750 TLG65750 TVC65750 UEY65750 UOU65750 UYQ65750 VIM65750 VSI65750 WCE65750 WMA65750 WVW65750 C131286:D131286 JK131286 TG131286 ADC131286 AMY131286 AWU131286 BGQ131286 BQM131286 CAI131286 CKE131286 CUA131286 DDW131286 DNS131286 DXO131286 EHK131286 ERG131286 FBC131286 FKY131286 FUU131286 GEQ131286 GOM131286 GYI131286 HIE131286 HSA131286 IBW131286 ILS131286 IVO131286 JFK131286 JPG131286 JZC131286 KIY131286 KSU131286 LCQ131286 LMM131286 LWI131286 MGE131286 MQA131286 MZW131286 NJS131286 NTO131286 ODK131286 ONG131286 OXC131286 PGY131286 PQU131286 QAQ131286 QKM131286 QUI131286 REE131286 ROA131286 RXW131286 SHS131286 SRO131286 TBK131286 TLG131286 TVC131286 UEY131286 UOU131286 UYQ131286 VIM131286 VSI131286 WCE131286 WMA131286 WVW131286 C196822:D196822 JK196822 TG196822 ADC196822 AMY196822 AWU196822 BGQ196822 BQM196822 CAI196822 CKE196822 CUA196822 DDW196822 DNS196822 DXO196822 EHK196822 ERG196822 FBC196822 FKY196822 FUU196822 GEQ196822 GOM196822 GYI196822 HIE196822 HSA196822 IBW196822 ILS196822 IVO196822 JFK196822 JPG196822 JZC196822 KIY196822 KSU196822 LCQ196822 LMM196822 LWI196822 MGE196822 MQA196822 MZW196822 NJS196822 NTO196822 ODK196822 ONG196822 OXC196822 PGY196822 PQU196822 QAQ196822 QKM196822 QUI196822 REE196822 ROA196822 RXW196822 SHS196822 SRO196822 TBK196822 TLG196822 TVC196822 UEY196822 UOU196822 UYQ196822 VIM196822 VSI196822 WCE196822 WMA196822 WVW196822 C262358:D262358 JK262358 TG262358 ADC262358 AMY262358 AWU262358 BGQ262358 BQM262358 CAI262358 CKE262358 CUA262358 DDW262358 DNS262358 DXO262358 EHK262358 ERG262358 FBC262358 FKY262358 FUU262358 GEQ262358 GOM262358 GYI262358 HIE262358 HSA262358 IBW262358 ILS262358 IVO262358 JFK262358 JPG262358 JZC262358 KIY262358 KSU262358 LCQ262358 LMM262358 LWI262358 MGE262358 MQA262358 MZW262358 NJS262358 NTO262358 ODK262358 ONG262358 OXC262358 PGY262358 PQU262358 QAQ262358 QKM262358 QUI262358 REE262358 ROA262358 RXW262358 SHS262358 SRO262358 TBK262358 TLG262358 TVC262358 UEY262358 UOU262358 UYQ262358 VIM262358 VSI262358 WCE262358 WMA262358 WVW262358 C327894:D327894 JK327894 TG327894 ADC327894 AMY327894 AWU327894 BGQ327894 BQM327894 CAI327894 CKE327894 CUA327894 DDW327894 DNS327894 DXO327894 EHK327894 ERG327894 FBC327894 FKY327894 FUU327894 GEQ327894 GOM327894 GYI327894 HIE327894 HSA327894 IBW327894 ILS327894 IVO327894 JFK327894 JPG327894 JZC327894 KIY327894 KSU327894 LCQ327894 LMM327894 LWI327894 MGE327894 MQA327894 MZW327894 NJS327894 NTO327894 ODK327894 ONG327894 OXC327894 PGY327894 PQU327894 QAQ327894 QKM327894 QUI327894 REE327894 ROA327894 RXW327894 SHS327894 SRO327894 TBK327894 TLG327894 TVC327894 UEY327894 UOU327894 UYQ327894 VIM327894 VSI327894 WCE327894 WMA327894 WVW327894 C393430:D393430 JK393430 TG393430 ADC393430 AMY393430 AWU393430 BGQ393430 BQM393430 CAI393430 CKE393430 CUA393430 DDW393430 DNS393430 DXO393430 EHK393430 ERG393430 FBC393430 FKY393430 FUU393430 GEQ393430 GOM393430 GYI393430 HIE393430 HSA393430 IBW393430 ILS393430 IVO393430 JFK393430 JPG393430 JZC393430 KIY393430 KSU393430 LCQ393430 LMM393430 LWI393430 MGE393430 MQA393430 MZW393430 NJS393430 NTO393430 ODK393430 ONG393430 OXC393430 PGY393430 PQU393430 QAQ393430 QKM393430 QUI393430 REE393430 ROA393430 RXW393430 SHS393430 SRO393430 TBK393430 TLG393430 TVC393430 UEY393430 UOU393430 UYQ393430 VIM393430 VSI393430 WCE393430 WMA393430 WVW393430 C458966:D458966 JK458966 TG458966 ADC458966 AMY458966 AWU458966 BGQ458966 BQM458966 CAI458966 CKE458966 CUA458966 DDW458966 DNS458966 DXO458966 EHK458966 ERG458966 FBC458966 FKY458966 FUU458966 GEQ458966 GOM458966 GYI458966 HIE458966 HSA458966 IBW458966 ILS458966 IVO458966 JFK458966 JPG458966 JZC458966 KIY458966 KSU458966 LCQ458966 LMM458966 LWI458966 MGE458966 MQA458966 MZW458966 NJS458966 NTO458966 ODK458966 ONG458966 OXC458966 PGY458966 PQU458966 QAQ458966 QKM458966 QUI458966 REE458966 ROA458966 RXW458966 SHS458966 SRO458966 TBK458966 TLG458966 TVC458966 UEY458966 UOU458966 UYQ458966 VIM458966 VSI458966 WCE458966 WMA458966 WVW458966 C524502:D524502 JK524502 TG524502 ADC524502 AMY524502 AWU524502 BGQ524502 BQM524502 CAI524502 CKE524502 CUA524502 DDW524502 DNS524502 DXO524502 EHK524502 ERG524502 FBC524502 FKY524502 FUU524502 GEQ524502 GOM524502 GYI524502 HIE524502 HSA524502 IBW524502 ILS524502 IVO524502 JFK524502 JPG524502 JZC524502 KIY524502 KSU524502 LCQ524502 LMM524502 LWI524502 MGE524502 MQA524502 MZW524502 NJS524502 NTO524502 ODK524502 ONG524502 OXC524502 PGY524502 PQU524502 QAQ524502 QKM524502 QUI524502 REE524502 ROA524502 RXW524502 SHS524502 SRO524502 TBK524502 TLG524502 TVC524502 UEY524502 UOU524502 UYQ524502 VIM524502 VSI524502 WCE524502 WMA524502 WVW524502 C590038:D590038 JK590038 TG590038 ADC590038 AMY590038 AWU590038 BGQ590038 BQM590038 CAI590038 CKE590038 CUA590038 DDW590038 DNS590038 DXO590038 EHK590038 ERG590038 FBC590038 FKY590038 FUU590038 GEQ590038 GOM590038 GYI590038 HIE590038 HSA590038 IBW590038 ILS590038 IVO590038 JFK590038 JPG590038 JZC590038 KIY590038 KSU590038 LCQ590038 LMM590038 LWI590038 MGE590038 MQA590038 MZW590038 NJS590038 NTO590038 ODK590038 ONG590038 OXC590038 PGY590038 PQU590038 QAQ590038 QKM590038 QUI590038 REE590038 ROA590038 RXW590038 SHS590038 SRO590038 TBK590038 TLG590038 TVC590038 UEY590038 UOU590038 UYQ590038 VIM590038 VSI590038 WCE590038 WMA590038 WVW590038 C655574:D655574 JK655574 TG655574 ADC655574 AMY655574 AWU655574 BGQ655574 BQM655574 CAI655574 CKE655574 CUA655574 DDW655574 DNS655574 DXO655574 EHK655574 ERG655574 FBC655574 FKY655574 FUU655574 GEQ655574 GOM655574 GYI655574 HIE655574 HSA655574 IBW655574 ILS655574 IVO655574 JFK655574 JPG655574 JZC655574 KIY655574 KSU655574 LCQ655574 LMM655574 LWI655574 MGE655574 MQA655574 MZW655574 NJS655574 NTO655574 ODK655574 ONG655574 OXC655574 PGY655574 PQU655574 QAQ655574 QKM655574 QUI655574 REE655574 ROA655574 RXW655574 SHS655574 SRO655574 TBK655574 TLG655574 TVC655574 UEY655574 UOU655574 UYQ655574 VIM655574 VSI655574 WCE655574 WMA655574 WVW655574 C721110:D721110 JK721110 TG721110 ADC721110 AMY721110 AWU721110 BGQ721110 BQM721110 CAI721110 CKE721110 CUA721110 DDW721110 DNS721110 DXO721110 EHK721110 ERG721110 FBC721110 FKY721110 FUU721110 GEQ721110 GOM721110 GYI721110 HIE721110 HSA721110 IBW721110 ILS721110 IVO721110 JFK721110 JPG721110 JZC721110 KIY721110 KSU721110 LCQ721110 LMM721110 LWI721110 MGE721110 MQA721110 MZW721110 NJS721110 NTO721110 ODK721110 ONG721110 OXC721110 PGY721110 PQU721110 QAQ721110 QKM721110 QUI721110 REE721110 ROA721110 RXW721110 SHS721110 SRO721110 TBK721110 TLG721110 TVC721110 UEY721110 UOU721110 UYQ721110 VIM721110 VSI721110 WCE721110 WMA721110 WVW721110 C786646:D786646 JK786646 TG786646 ADC786646 AMY786646 AWU786646 BGQ786646 BQM786646 CAI786646 CKE786646 CUA786646 DDW786646 DNS786646 DXO786646 EHK786646 ERG786646 FBC786646 FKY786646 FUU786646 GEQ786646 GOM786646 GYI786646 HIE786646 HSA786646 IBW786646 ILS786646 IVO786646 JFK786646 JPG786646 JZC786646 KIY786646 KSU786646 LCQ786646 LMM786646 LWI786646 MGE786646 MQA786646 MZW786646 NJS786646 NTO786646 ODK786646 ONG786646 OXC786646 PGY786646 PQU786646 QAQ786646 QKM786646 QUI786646 REE786646 ROA786646 RXW786646 SHS786646 SRO786646 TBK786646 TLG786646 TVC786646 UEY786646 UOU786646 UYQ786646 VIM786646 VSI786646 WCE786646 WMA786646 WVW786646 C852182:D852182 JK852182 TG852182 ADC852182 AMY852182 AWU852182 BGQ852182 BQM852182 CAI852182 CKE852182 CUA852182 DDW852182 DNS852182 DXO852182 EHK852182 ERG852182 FBC852182 FKY852182 FUU852182 GEQ852182 GOM852182 GYI852182 HIE852182 HSA852182 IBW852182 ILS852182 IVO852182 JFK852182 JPG852182 JZC852182 KIY852182 KSU852182 LCQ852182 LMM852182 LWI852182 MGE852182 MQA852182 MZW852182 NJS852182 NTO852182 ODK852182 ONG852182 OXC852182 PGY852182 PQU852182 QAQ852182 QKM852182 QUI852182 REE852182 ROA852182 RXW852182 SHS852182 SRO852182 TBK852182 TLG852182 TVC852182 UEY852182 UOU852182 UYQ852182 VIM852182 VSI852182 WCE852182 WMA852182 WVW852182 C917718:D917718 JK917718 TG917718 ADC917718 AMY917718 AWU917718 BGQ917718 BQM917718 CAI917718 CKE917718 CUA917718 DDW917718 DNS917718 DXO917718 EHK917718 ERG917718 FBC917718 FKY917718 FUU917718 GEQ917718 GOM917718 GYI917718 HIE917718 HSA917718 IBW917718 ILS917718 IVO917718 JFK917718 JPG917718 JZC917718 KIY917718 KSU917718 LCQ917718 LMM917718 LWI917718 MGE917718 MQA917718 MZW917718 NJS917718 NTO917718 ODK917718 ONG917718 OXC917718 PGY917718 PQU917718 QAQ917718 QKM917718 QUI917718 REE917718 ROA917718 RXW917718 SHS917718 SRO917718 TBK917718 TLG917718 TVC917718 UEY917718 UOU917718 UYQ917718 VIM917718 VSI917718 WCE917718 WMA917718 WVW917718 C983254:D983254 JK983254 TG983254 ADC983254 AMY983254 AWU983254 BGQ983254 BQM983254 CAI983254 CKE983254 CUA983254 DDW983254 DNS983254 DXO983254 EHK983254 ERG983254 FBC983254 FKY983254 FUU983254 GEQ983254 GOM983254 GYI983254 HIE983254 HSA983254 IBW983254 ILS983254 IVO983254 JFK983254 JPG983254 JZC983254 KIY983254 KSU983254 LCQ983254 LMM983254 LWI983254 MGE983254 MQA983254 MZW983254 NJS983254 NTO983254 ODK983254 ONG983254 OXC983254 PGY983254 PQU983254 QAQ983254 QKM983254 QUI983254 REE983254 ROA983254 RXW983254 SHS983254 SRO983254 TBK983254 TLG983254 TVC983254 UEY983254 UOU983254 UYQ983254 VIM983254 VSI983254 WCE983254 WMA983254 WVW983254" xr:uid="{00000000-0002-0000-0100-000002000000}"/>
    <dataValidation allowBlank="1" showInputMessage="1" showErrorMessage="1" prompt="Diligencie con el nombre del supervisor y/o interventor delegado." sqref="C9:D9 JK9 TG9 ADC9 AMY9 AWU9 BGQ9 BQM9 CAI9 CKE9 CUA9 DDW9 DNS9 DXO9 EHK9 ERG9 FBC9 FKY9 FUU9 GEQ9 GOM9 GYI9 HIE9 HSA9 IBW9 ILS9 IVO9 JFK9 JPG9 JZC9 KIY9 KSU9 LCQ9 LMM9 LWI9 MGE9 MQA9 MZW9 NJS9 NTO9 ODK9 ONG9 OXC9 PGY9 PQU9 QAQ9 QKM9 QUI9 REE9 ROA9 RXW9 SHS9 SRO9 TBK9 TLG9 TVC9 UEY9 UOU9 UYQ9 VIM9 VSI9 WCE9 WMA9 WVW9 C65752:D65753 JK65752:JK65753 TG65752:TG65753 ADC65752:ADC65753 AMY65752:AMY65753 AWU65752:AWU65753 BGQ65752:BGQ65753 BQM65752:BQM65753 CAI65752:CAI65753 CKE65752:CKE65753 CUA65752:CUA65753 DDW65752:DDW65753 DNS65752:DNS65753 DXO65752:DXO65753 EHK65752:EHK65753 ERG65752:ERG65753 FBC65752:FBC65753 FKY65752:FKY65753 FUU65752:FUU65753 GEQ65752:GEQ65753 GOM65752:GOM65753 GYI65752:GYI65753 HIE65752:HIE65753 HSA65752:HSA65753 IBW65752:IBW65753 ILS65752:ILS65753 IVO65752:IVO65753 JFK65752:JFK65753 JPG65752:JPG65753 JZC65752:JZC65753 KIY65752:KIY65753 KSU65752:KSU65753 LCQ65752:LCQ65753 LMM65752:LMM65753 LWI65752:LWI65753 MGE65752:MGE65753 MQA65752:MQA65753 MZW65752:MZW65753 NJS65752:NJS65753 NTO65752:NTO65753 ODK65752:ODK65753 ONG65752:ONG65753 OXC65752:OXC65753 PGY65752:PGY65753 PQU65752:PQU65753 QAQ65752:QAQ65753 QKM65752:QKM65753 QUI65752:QUI65753 REE65752:REE65753 ROA65752:ROA65753 RXW65752:RXW65753 SHS65752:SHS65753 SRO65752:SRO65753 TBK65752:TBK65753 TLG65752:TLG65753 TVC65752:TVC65753 UEY65752:UEY65753 UOU65752:UOU65753 UYQ65752:UYQ65753 VIM65752:VIM65753 VSI65752:VSI65753 WCE65752:WCE65753 WMA65752:WMA65753 WVW65752:WVW65753 C131288:D131289 JK131288:JK131289 TG131288:TG131289 ADC131288:ADC131289 AMY131288:AMY131289 AWU131288:AWU131289 BGQ131288:BGQ131289 BQM131288:BQM131289 CAI131288:CAI131289 CKE131288:CKE131289 CUA131288:CUA131289 DDW131288:DDW131289 DNS131288:DNS131289 DXO131288:DXO131289 EHK131288:EHK131289 ERG131288:ERG131289 FBC131288:FBC131289 FKY131288:FKY131289 FUU131288:FUU131289 GEQ131288:GEQ131289 GOM131288:GOM131289 GYI131288:GYI131289 HIE131288:HIE131289 HSA131288:HSA131289 IBW131288:IBW131289 ILS131288:ILS131289 IVO131288:IVO131289 JFK131288:JFK131289 JPG131288:JPG131289 JZC131288:JZC131289 KIY131288:KIY131289 KSU131288:KSU131289 LCQ131288:LCQ131289 LMM131288:LMM131289 LWI131288:LWI131289 MGE131288:MGE131289 MQA131288:MQA131289 MZW131288:MZW131289 NJS131288:NJS131289 NTO131288:NTO131289 ODK131288:ODK131289 ONG131288:ONG131289 OXC131288:OXC131289 PGY131288:PGY131289 PQU131288:PQU131289 QAQ131288:QAQ131289 QKM131288:QKM131289 QUI131288:QUI131289 REE131288:REE131289 ROA131288:ROA131289 RXW131288:RXW131289 SHS131288:SHS131289 SRO131288:SRO131289 TBK131288:TBK131289 TLG131288:TLG131289 TVC131288:TVC131289 UEY131288:UEY131289 UOU131288:UOU131289 UYQ131288:UYQ131289 VIM131288:VIM131289 VSI131288:VSI131289 WCE131288:WCE131289 WMA131288:WMA131289 WVW131288:WVW131289 C196824:D196825 JK196824:JK196825 TG196824:TG196825 ADC196824:ADC196825 AMY196824:AMY196825 AWU196824:AWU196825 BGQ196824:BGQ196825 BQM196824:BQM196825 CAI196824:CAI196825 CKE196824:CKE196825 CUA196824:CUA196825 DDW196824:DDW196825 DNS196824:DNS196825 DXO196824:DXO196825 EHK196824:EHK196825 ERG196824:ERG196825 FBC196824:FBC196825 FKY196824:FKY196825 FUU196824:FUU196825 GEQ196824:GEQ196825 GOM196824:GOM196825 GYI196824:GYI196825 HIE196824:HIE196825 HSA196824:HSA196825 IBW196824:IBW196825 ILS196824:ILS196825 IVO196824:IVO196825 JFK196824:JFK196825 JPG196824:JPG196825 JZC196824:JZC196825 KIY196824:KIY196825 KSU196824:KSU196825 LCQ196824:LCQ196825 LMM196824:LMM196825 LWI196824:LWI196825 MGE196824:MGE196825 MQA196824:MQA196825 MZW196824:MZW196825 NJS196824:NJS196825 NTO196824:NTO196825 ODK196824:ODK196825 ONG196824:ONG196825 OXC196824:OXC196825 PGY196824:PGY196825 PQU196824:PQU196825 QAQ196824:QAQ196825 QKM196824:QKM196825 QUI196824:QUI196825 REE196824:REE196825 ROA196824:ROA196825 RXW196824:RXW196825 SHS196824:SHS196825 SRO196824:SRO196825 TBK196824:TBK196825 TLG196824:TLG196825 TVC196824:TVC196825 UEY196824:UEY196825 UOU196824:UOU196825 UYQ196824:UYQ196825 VIM196824:VIM196825 VSI196824:VSI196825 WCE196824:WCE196825 WMA196824:WMA196825 WVW196824:WVW196825 C262360:D262361 JK262360:JK262361 TG262360:TG262361 ADC262360:ADC262361 AMY262360:AMY262361 AWU262360:AWU262361 BGQ262360:BGQ262361 BQM262360:BQM262361 CAI262360:CAI262361 CKE262360:CKE262361 CUA262360:CUA262361 DDW262360:DDW262361 DNS262360:DNS262361 DXO262360:DXO262361 EHK262360:EHK262361 ERG262360:ERG262361 FBC262360:FBC262361 FKY262360:FKY262361 FUU262360:FUU262361 GEQ262360:GEQ262361 GOM262360:GOM262361 GYI262360:GYI262361 HIE262360:HIE262361 HSA262360:HSA262361 IBW262360:IBW262361 ILS262360:ILS262361 IVO262360:IVO262361 JFK262360:JFK262361 JPG262360:JPG262361 JZC262360:JZC262361 KIY262360:KIY262361 KSU262360:KSU262361 LCQ262360:LCQ262361 LMM262360:LMM262361 LWI262360:LWI262361 MGE262360:MGE262361 MQA262360:MQA262361 MZW262360:MZW262361 NJS262360:NJS262361 NTO262360:NTO262361 ODK262360:ODK262361 ONG262360:ONG262361 OXC262360:OXC262361 PGY262360:PGY262361 PQU262360:PQU262361 QAQ262360:QAQ262361 QKM262360:QKM262361 QUI262360:QUI262361 REE262360:REE262361 ROA262360:ROA262361 RXW262360:RXW262361 SHS262360:SHS262361 SRO262360:SRO262361 TBK262360:TBK262361 TLG262360:TLG262361 TVC262360:TVC262361 UEY262360:UEY262361 UOU262360:UOU262361 UYQ262360:UYQ262361 VIM262360:VIM262361 VSI262360:VSI262361 WCE262360:WCE262361 WMA262360:WMA262361 WVW262360:WVW262361 C327896:D327897 JK327896:JK327897 TG327896:TG327897 ADC327896:ADC327897 AMY327896:AMY327897 AWU327896:AWU327897 BGQ327896:BGQ327897 BQM327896:BQM327897 CAI327896:CAI327897 CKE327896:CKE327897 CUA327896:CUA327897 DDW327896:DDW327897 DNS327896:DNS327897 DXO327896:DXO327897 EHK327896:EHK327897 ERG327896:ERG327897 FBC327896:FBC327897 FKY327896:FKY327897 FUU327896:FUU327897 GEQ327896:GEQ327897 GOM327896:GOM327897 GYI327896:GYI327897 HIE327896:HIE327897 HSA327896:HSA327897 IBW327896:IBW327897 ILS327896:ILS327897 IVO327896:IVO327897 JFK327896:JFK327897 JPG327896:JPG327897 JZC327896:JZC327897 KIY327896:KIY327897 KSU327896:KSU327897 LCQ327896:LCQ327897 LMM327896:LMM327897 LWI327896:LWI327897 MGE327896:MGE327897 MQA327896:MQA327897 MZW327896:MZW327897 NJS327896:NJS327897 NTO327896:NTO327897 ODK327896:ODK327897 ONG327896:ONG327897 OXC327896:OXC327897 PGY327896:PGY327897 PQU327896:PQU327897 QAQ327896:QAQ327897 QKM327896:QKM327897 QUI327896:QUI327897 REE327896:REE327897 ROA327896:ROA327897 RXW327896:RXW327897 SHS327896:SHS327897 SRO327896:SRO327897 TBK327896:TBK327897 TLG327896:TLG327897 TVC327896:TVC327897 UEY327896:UEY327897 UOU327896:UOU327897 UYQ327896:UYQ327897 VIM327896:VIM327897 VSI327896:VSI327897 WCE327896:WCE327897 WMA327896:WMA327897 WVW327896:WVW327897 C393432:D393433 JK393432:JK393433 TG393432:TG393433 ADC393432:ADC393433 AMY393432:AMY393433 AWU393432:AWU393433 BGQ393432:BGQ393433 BQM393432:BQM393433 CAI393432:CAI393433 CKE393432:CKE393433 CUA393432:CUA393433 DDW393432:DDW393433 DNS393432:DNS393433 DXO393432:DXO393433 EHK393432:EHK393433 ERG393432:ERG393433 FBC393432:FBC393433 FKY393432:FKY393433 FUU393432:FUU393433 GEQ393432:GEQ393433 GOM393432:GOM393433 GYI393432:GYI393433 HIE393432:HIE393433 HSA393432:HSA393433 IBW393432:IBW393433 ILS393432:ILS393433 IVO393432:IVO393433 JFK393432:JFK393433 JPG393432:JPG393433 JZC393432:JZC393433 KIY393432:KIY393433 KSU393432:KSU393433 LCQ393432:LCQ393433 LMM393432:LMM393433 LWI393432:LWI393433 MGE393432:MGE393433 MQA393432:MQA393433 MZW393432:MZW393433 NJS393432:NJS393433 NTO393432:NTO393433 ODK393432:ODK393433 ONG393432:ONG393433 OXC393432:OXC393433 PGY393432:PGY393433 PQU393432:PQU393433 QAQ393432:QAQ393433 QKM393432:QKM393433 QUI393432:QUI393433 REE393432:REE393433 ROA393432:ROA393433 RXW393432:RXW393433 SHS393432:SHS393433 SRO393432:SRO393433 TBK393432:TBK393433 TLG393432:TLG393433 TVC393432:TVC393433 UEY393432:UEY393433 UOU393432:UOU393433 UYQ393432:UYQ393433 VIM393432:VIM393433 VSI393432:VSI393433 WCE393432:WCE393433 WMA393432:WMA393433 WVW393432:WVW393433 C458968:D458969 JK458968:JK458969 TG458968:TG458969 ADC458968:ADC458969 AMY458968:AMY458969 AWU458968:AWU458969 BGQ458968:BGQ458969 BQM458968:BQM458969 CAI458968:CAI458969 CKE458968:CKE458969 CUA458968:CUA458969 DDW458968:DDW458969 DNS458968:DNS458969 DXO458968:DXO458969 EHK458968:EHK458969 ERG458968:ERG458969 FBC458968:FBC458969 FKY458968:FKY458969 FUU458968:FUU458969 GEQ458968:GEQ458969 GOM458968:GOM458969 GYI458968:GYI458969 HIE458968:HIE458969 HSA458968:HSA458969 IBW458968:IBW458969 ILS458968:ILS458969 IVO458968:IVO458969 JFK458968:JFK458969 JPG458968:JPG458969 JZC458968:JZC458969 KIY458968:KIY458969 KSU458968:KSU458969 LCQ458968:LCQ458969 LMM458968:LMM458969 LWI458968:LWI458969 MGE458968:MGE458969 MQA458968:MQA458969 MZW458968:MZW458969 NJS458968:NJS458969 NTO458968:NTO458969 ODK458968:ODK458969 ONG458968:ONG458969 OXC458968:OXC458969 PGY458968:PGY458969 PQU458968:PQU458969 QAQ458968:QAQ458969 QKM458968:QKM458969 QUI458968:QUI458969 REE458968:REE458969 ROA458968:ROA458969 RXW458968:RXW458969 SHS458968:SHS458969 SRO458968:SRO458969 TBK458968:TBK458969 TLG458968:TLG458969 TVC458968:TVC458969 UEY458968:UEY458969 UOU458968:UOU458969 UYQ458968:UYQ458969 VIM458968:VIM458969 VSI458968:VSI458969 WCE458968:WCE458969 WMA458968:WMA458969 WVW458968:WVW458969 C524504:D524505 JK524504:JK524505 TG524504:TG524505 ADC524504:ADC524505 AMY524504:AMY524505 AWU524504:AWU524505 BGQ524504:BGQ524505 BQM524504:BQM524505 CAI524504:CAI524505 CKE524504:CKE524505 CUA524504:CUA524505 DDW524504:DDW524505 DNS524504:DNS524505 DXO524504:DXO524505 EHK524504:EHK524505 ERG524504:ERG524505 FBC524504:FBC524505 FKY524504:FKY524505 FUU524504:FUU524505 GEQ524504:GEQ524505 GOM524504:GOM524505 GYI524504:GYI524505 HIE524504:HIE524505 HSA524504:HSA524505 IBW524504:IBW524505 ILS524504:ILS524505 IVO524504:IVO524505 JFK524504:JFK524505 JPG524504:JPG524505 JZC524504:JZC524505 KIY524504:KIY524505 KSU524504:KSU524505 LCQ524504:LCQ524505 LMM524504:LMM524505 LWI524504:LWI524505 MGE524504:MGE524505 MQA524504:MQA524505 MZW524504:MZW524505 NJS524504:NJS524505 NTO524504:NTO524505 ODK524504:ODK524505 ONG524504:ONG524505 OXC524504:OXC524505 PGY524504:PGY524505 PQU524504:PQU524505 QAQ524504:QAQ524505 QKM524504:QKM524505 QUI524504:QUI524505 REE524504:REE524505 ROA524504:ROA524505 RXW524504:RXW524505 SHS524504:SHS524505 SRO524504:SRO524505 TBK524504:TBK524505 TLG524504:TLG524505 TVC524504:TVC524505 UEY524504:UEY524505 UOU524504:UOU524505 UYQ524504:UYQ524505 VIM524504:VIM524505 VSI524504:VSI524505 WCE524504:WCE524505 WMA524504:WMA524505 WVW524504:WVW524505 C590040:D590041 JK590040:JK590041 TG590040:TG590041 ADC590040:ADC590041 AMY590040:AMY590041 AWU590040:AWU590041 BGQ590040:BGQ590041 BQM590040:BQM590041 CAI590040:CAI590041 CKE590040:CKE590041 CUA590040:CUA590041 DDW590040:DDW590041 DNS590040:DNS590041 DXO590040:DXO590041 EHK590040:EHK590041 ERG590040:ERG590041 FBC590040:FBC590041 FKY590040:FKY590041 FUU590040:FUU590041 GEQ590040:GEQ590041 GOM590040:GOM590041 GYI590040:GYI590041 HIE590040:HIE590041 HSA590040:HSA590041 IBW590040:IBW590041 ILS590040:ILS590041 IVO590040:IVO590041 JFK590040:JFK590041 JPG590040:JPG590041 JZC590040:JZC590041 KIY590040:KIY590041 KSU590040:KSU590041 LCQ590040:LCQ590041 LMM590040:LMM590041 LWI590040:LWI590041 MGE590040:MGE590041 MQA590040:MQA590041 MZW590040:MZW590041 NJS590040:NJS590041 NTO590040:NTO590041 ODK590040:ODK590041 ONG590040:ONG590041 OXC590040:OXC590041 PGY590040:PGY590041 PQU590040:PQU590041 QAQ590040:QAQ590041 QKM590040:QKM590041 QUI590040:QUI590041 REE590040:REE590041 ROA590040:ROA590041 RXW590040:RXW590041 SHS590040:SHS590041 SRO590040:SRO590041 TBK590040:TBK590041 TLG590040:TLG590041 TVC590040:TVC590041 UEY590040:UEY590041 UOU590040:UOU590041 UYQ590040:UYQ590041 VIM590040:VIM590041 VSI590040:VSI590041 WCE590040:WCE590041 WMA590040:WMA590041 WVW590040:WVW590041 C655576:D655577 JK655576:JK655577 TG655576:TG655577 ADC655576:ADC655577 AMY655576:AMY655577 AWU655576:AWU655577 BGQ655576:BGQ655577 BQM655576:BQM655577 CAI655576:CAI655577 CKE655576:CKE655577 CUA655576:CUA655577 DDW655576:DDW655577 DNS655576:DNS655577 DXO655576:DXO655577 EHK655576:EHK655577 ERG655576:ERG655577 FBC655576:FBC655577 FKY655576:FKY655577 FUU655576:FUU655577 GEQ655576:GEQ655577 GOM655576:GOM655577 GYI655576:GYI655577 HIE655576:HIE655577 HSA655576:HSA655577 IBW655576:IBW655577 ILS655576:ILS655577 IVO655576:IVO655577 JFK655576:JFK655577 JPG655576:JPG655577 JZC655576:JZC655577 KIY655576:KIY655577 KSU655576:KSU655577 LCQ655576:LCQ655577 LMM655576:LMM655577 LWI655576:LWI655577 MGE655576:MGE655577 MQA655576:MQA655577 MZW655576:MZW655577 NJS655576:NJS655577 NTO655576:NTO655577 ODK655576:ODK655577 ONG655576:ONG655577 OXC655576:OXC655577 PGY655576:PGY655577 PQU655576:PQU655577 QAQ655576:QAQ655577 QKM655576:QKM655577 QUI655576:QUI655577 REE655576:REE655577 ROA655576:ROA655577 RXW655576:RXW655577 SHS655576:SHS655577 SRO655576:SRO655577 TBK655576:TBK655577 TLG655576:TLG655577 TVC655576:TVC655577 UEY655576:UEY655577 UOU655576:UOU655577 UYQ655576:UYQ655577 VIM655576:VIM655577 VSI655576:VSI655577 WCE655576:WCE655577 WMA655576:WMA655577 WVW655576:WVW655577 C721112:D721113 JK721112:JK721113 TG721112:TG721113 ADC721112:ADC721113 AMY721112:AMY721113 AWU721112:AWU721113 BGQ721112:BGQ721113 BQM721112:BQM721113 CAI721112:CAI721113 CKE721112:CKE721113 CUA721112:CUA721113 DDW721112:DDW721113 DNS721112:DNS721113 DXO721112:DXO721113 EHK721112:EHK721113 ERG721112:ERG721113 FBC721112:FBC721113 FKY721112:FKY721113 FUU721112:FUU721113 GEQ721112:GEQ721113 GOM721112:GOM721113 GYI721112:GYI721113 HIE721112:HIE721113 HSA721112:HSA721113 IBW721112:IBW721113 ILS721112:ILS721113 IVO721112:IVO721113 JFK721112:JFK721113 JPG721112:JPG721113 JZC721112:JZC721113 KIY721112:KIY721113 KSU721112:KSU721113 LCQ721112:LCQ721113 LMM721112:LMM721113 LWI721112:LWI721113 MGE721112:MGE721113 MQA721112:MQA721113 MZW721112:MZW721113 NJS721112:NJS721113 NTO721112:NTO721113 ODK721112:ODK721113 ONG721112:ONG721113 OXC721112:OXC721113 PGY721112:PGY721113 PQU721112:PQU721113 QAQ721112:QAQ721113 QKM721112:QKM721113 QUI721112:QUI721113 REE721112:REE721113 ROA721112:ROA721113 RXW721112:RXW721113 SHS721112:SHS721113 SRO721112:SRO721113 TBK721112:TBK721113 TLG721112:TLG721113 TVC721112:TVC721113 UEY721112:UEY721113 UOU721112:UOU721113 UYQ721112:UYQ721113 VIM721112:VIM721113 VSI721112:VSI721113 WCE721112:WCE721113 WMA721112:WMA721113 WVW721112:WVW721113 C786648:D786649 JK786648:JK786649 TG786648:TG786649 ADC786648:ADC786649 AMY786648:AMY786649 AWU786648:AWU786649 BGQ786648:BGQ786649 BQM786648:BQM786649 CAI786648:CAI786649 CKE786648:CKE786649 CUA786648:CUA786649 DDW786648:DDW786649 DNS786648:DNS786649 DXO786648:DXO786649 EHK786648:EHK786649 ERG786648:ERG786649 FBC786648:FBC786649 FKY786648:FKY786649 FUU786648:FUU786649 GEQ786648:GEQ786649 GOM786648:GOM786649 GYI786648:GYI786649 HIE786648:HIE786649 HSA786648:HSA786649 IBW786648:IBW786649 ILS786648:ILS786649 IVO786648:IVO786649 JFK786648:JFK786649 JPG786648:JPG786649 JZC786648:JZC786649 KIY786648:KIY786649 KSU786648:KSU786649 LCQ786648:LCQ786649 LMM786648:LMM786649 LWI786648:LWI786649 MGE786648:MGE786649 MQA786648:MQA786649 MZW786648:MZW786649 NJS786648:NJS786649 NTO786648:NTO786649 ODK786648:ODK786649 ONG786648:ONG786649 OXC786648:OXC786649 PGY786648:PGY786649 PQU786648:PQU786649 QAQ786648:QAQ786649 QKM786648:QKM786649 QUI786648:QUI786649 REE786648:REE786649 ROA786648:ROA786649 RXW786648:RXW786649 SHS786648:SHS786649 SRO786648:SRO786649 TBK786648:TBK786649 TLG786648:TLG786649 TVC786648:TVC786649 UEY786648:UEY786649 UOU786648:UOU786649 UYQ786648:UYQ786649 VIM786648:VIM786649 VSI786648:VSI786649 WCE786648:WCE786649 WMA786648:WMA786649 WVW786648:WVW786649 C852184:D852185 JK852184:JK852185 TG852184:TG852185 ADC852184:ADC852185 AMY852184:AMY852185 AWU852184:AWU852185 BGQ852184:BGQ852185 BQM852184:BQM852185 CAI852184:CAI852185 CKE852184:CKE852185 CUA852184:CUA852185 DDW852184:DDW852185 DNS852184:DNS852185 DXO852184:DXO852185 EHK852184:EHK852185 ERG852184:ERG852185 FBC852184:FBC852185 FKY852184:FKY852185 FUU852184:FUU852185 GEQ852184:GEQ852185 GOM852184:GOM852185 GYI852184:GYI852185 HIE852184:HIE852185 HSA852184:HSA852185 IBW852184:IBW852185 ILS852184:ILS852185 IVO852184:IVO852185 JFK852184:JFK852185 JPG852184:JPG852185 JZC852184:JZC852185 KIY852184:KIY852185 KSU852184:KSU852185 LCQ852184:LCQ852185 LMM852184:LMM852185 LWI852184:LWI852185 MGE852184:MGE852185 MQA852184:MQA852185 MZW852184:MZW852185 NJS852184:NJS852185 NTO852184:NTO852185 ODK852184:ODK852185 ONG852184:ONG852185 OXC852184:OXC852185 PGY852184:PGY852185 PQU852184:PQU852185 QAQ852184:QAQ852185 QKM852184:QKM852185 QUI852184:QUI852185 REE852184:REE852185 ROA852184:ROA852185 RXW852184:RXW852185 SHS852184:SHS852185 SRO852184:SRO852185 TBK852184:TBK852185 TLG852184:TLG852185 TVC852184:TVC852185 UEY852184:UEY852185 UOU852184:UOU852185 UYQ852184:UYQ852185 VIM852184:VIM852185 VSI852184:VSI852185 WCE852184:WCE852185 WMA852184:WMA852185 WVW852184:WVW852185 C917720:D917721 JK917720:JK917721 TG917720:TG917721 ADC917720:ADC917721 AMY917720:AMY917721 AWU917720:AWU917721 BGQ917720:BGQ917721 BQM917720:BQM917721 CAI917720:CAI917721 CKE917720:CKE917721 CUA917720:CUA917721 DDW917720:DDW917721 DNS917720:DNS917721 DXO917720:DXO917721 EHK917720:EHK917721 ERG917720:ERG917721 FBC917720:FBC917721 FKY917720:FKY917721 FUU917720:FUU917721 GEQ917720:GEQ917721 GOM917720:GOM917721 GYI917720:GYI917721 HIE917720:HIE917721 HSA917720:HSA917721 IBW917720:IBW917721 ILS917720:ILS917721 IVO917720:IVO917721 JFK917720:JFK917721 JPG917720:JPG917721 JZC917720:JZC917721 KIY917720:KIY917721 KSU917720:KSU917721 LCQ917720:LCQ917721 LMM917720:LMM917721 LWI917720:LWI917721 MGE917720:MGE917721 MQA917720:MQA917721 MZW917720:MZW917721 NJS917720:NJS917721 NTO917720:NTO917721 ODK917720:ODK917721 ONG917720:ONG917721 OXC917720:OXC917721 PGY917720:PGY917721 PQU917720:PQU917721 QAQ917720:QAQ917721 QKM917720:QKM917721 QUI917720:QUI917721 REE917720:REE917721 ROA917720:ROA917721 RXW917720:RXW917721 SHS917720:SHS917721 SRO917720:SRO917721 TBK917720:TBK917721 TLG917720:TLG917721 TVC917720:TVC917721 UEY917720:UEY917721 UOU917720:UOU917721 UYQ917720:UYQ917721 VIM917720:VIM917721 VSI917720:VSI917721 WCE917720:WCE917721 WMA917720:WMA917721 WVW917720:WVW917721 C983256:D983257 JK983256:JK983257 TG983256:TG983257 ADC983256:ADC983257 AMY983256:AMY983257 AWU983256:AWU983257 BGQ983256:BGQ983257 BQM983256:BQM983257 CAI983256:CAI983257 CKE983256:CKE983257 CUA983256:CUA983257 DDW983256:DDW983257 DNS983256:DNS983257 DXO983256:DXO983257 EHK983256:EHK983257 ERG983256:ERG983257 FBC983256:FBC983257 FKY983256:FKY983257 FUU983256:FUU983257 GEQ983256:GEQ983257 GOM983256:GOM983257 GYI983256:GYI983257 HIE983256:HIE983257 HSA983256:HSA983257 IBW983256:IBW983257 ILS983256:ILS983257 IVO983256:IVO983257 JFK983256:JFK983257 JPG983256:JPG983257 JZC983256:JZC983257 KIY983256:KIY983257 KSU983256:KSU983257 LCQ983256:LCQ983257 LMM983256:LMM983257 LWI983256:LWI983257 MGE983256:MGE983257 MQA983256:MQA983257 MZW983256:MZW983257 NJS983256:NJS983257 NTO983256:NTO983257 ODK983256:ODK983257 ONG983256:ONG983257 OXC983256:OXC983257 PGY983256:PGY983257 PQU983256:PQU983257 QAQ983256:QAQ983257 QKM983256:QKM983257 QUI983256:QUI983257 REE983256:REE983257 ROA983256:ROA983257 RXW983256:RXW983257 SHS983256:SHS983257 SRO983256:SRO983257 TBK983256:TBK983257 TLG983256:TLG983257 TVC983256:TVC983257 UEY983256:UEY983257 UOU983256:UOU983257 UYQ983256:UYQ983257 VIM983256:VIM983257 VSI983256:VSI983257 WCE983256:WCE983257 WMA983256:WMA983257 WVW983256:WVW983257" xr:uid="{00000000-0002-0000-0100-000003000000}"/>
    <dataValidation allowBlank="1" showInputMessage="1" showErrorMessage="1" prompt="Alcance: Definir las principales actividades que se requieren para alcanzar el producto definidos en los estudios previos" sqref="WVV983266 B65762 JJ65762 TF65762 ADB65762 AMX65762 AWT65762 BGP65762 BQL65762 CAH65762 CKD65762 CTZ65762 DDV65762 DNR65762 DXN65762 EHJ65762 ERF65762 FBB65762 FKX65762 FUT65762 GEP65762 GOL65762 GYH65762 HID65762 HRZ65762 IBV65762 ILR65762 IVN65762 JFJ65762 JPF65762 JZB65762 KIX65762 KST65762 LCP65762 LML65762 LWH65762 MGD65762 MPZ65762 MZV65762 NJR65762 NTN65762 ODJ65762 ONF65762 OXB65762 PGX65762 PQT65762 QAP65762 QKL65762 QUH65762 RED65762 RNZ65762 RXV65762 SHR65762 SRN65762 TBJ65762 TLF65762 TVB65762 UEX65762 UOT65762 UYP65762 VIL65762 VSH65762 WCD65762 WLZ65762 WVV65762 B131298 JJ131298 TF131298 ADB131298 AMX131298 AWT131298 BGP131298 BQL131298 CAH131298 CKD131298 CTZ131298 DDV131298 DNR131298 DXN131298 EHJ131298 ERF131298 FBB131298 FKX131298 FUT131298 GEP131298 GOL131298 GYH131298 HID131298 HRZ131298 IBV131298 ILR131298 IVN131298 JFJ131298 JPF131298 JZB131298 KIX131298 KST131298 LCP131298 LML131298 LWH131298 MGD131298 MPZ131298 MZV131298 NJR131298 NTN131298 ODJ131298 ONF131298 OXB131298 PGX131298 PQT131298 QAP131298 QKL131298 QUH131298 RED131298 RNZ131298 RXV131298 SHR131298 SRN131298 TBJ131298 TLF131298 TVB131298 UEX131298 UOT131298 UYP131298 VIL131298 VSH131298 WCD131298 WLZ131298 WVV131298 B196834 JJ196834 TF196834 ADB196834 AMX196834 AWT196834 BGP196834 BQL196834 CAH196834 CKD196834 CTZ196834 DDV196834 DNR196834 DXN196834 EHJ196834 ERF196834 FBB196834 FKX196834 FUT196834 GEP196834 GOL196834 GYH196834 HID196834 HRZ196834 IBV196834 ILR196834 IVN196834 JFJ196834 JPF196834 JZB196834 KIX196834 KST196834 LCP196834 LML196834 LWH196834 MGD196834 MPZ196834 MZV196834 NJR196834 NTN196834 ODJ196834 ONF196834 OXB196834 PGX196834 PQT196834 QAP196834 QKL196834 QUH196834 RED196834 RNZ196834 RXV196834 SHR196834 SRN196834 TBJ196834 TLF196834 TVB196834 UEX196834 UOT196834 UYP196834 VIL196834 VSH196834 WCD196834 WLZ196834 WVV196834 B262370 JJ262370 TF262370 ADB262370 AMX262370 AWT262370 BGP262370 BQL262370 CAH262370 CKD262370 CTZ262370 DDV262370 DNR262370 DXN262370 EHJ262370 ERF262370 FBB262370 FKX262370 FUT262370 GEP262370 GOL262370 GYH262370 HID262370 HRZ262370 IBV262370 ILR262370 IVN262370 JFJ262370 JPF262370 JZB262370 KIX262370 KST262370 LCP262370 LML262370 LWH262370 MGD262370 MPZ262370 MZV262370 NJR262370 NTN262370 ODJ262370 ONF262370 OXB262370 PGX262370 PQT262370 QAP262370 QKL262370 QUH262370 RED262370 RNZ262370 RXV262370 SHR262370 SRN262370 TBJ262370 TLF262370 TVB262370 UEX262370 UOT262370 UYP262370 VIL262370 VSH262370 WCD262370 WLZ262370 WVV262370 B327906 JJ327906 TF327906 ADB327906 AMX327906 AWT327906 BGP327906 BQL327906 CAH327906 CKD327906 CTZ327906 DDV327906 DNR327906 DXN327906 EHJ327906 ERF327906 FBB327906 FKX327906 FUT327906 GEP327906 GOL327906 GYH327906 HID327906 HRZ327906 IBV327906 ILR327906 IVN327906 JFJ327906 JPF327906 JZB327906 KIX327906 KST327906 LCP327906 LML327906 LWH327906 MGD327906 MPZ327906 MZV327906 NJR327906 NTN327906 ODJ327906 ONF327906 OXB327906 PGX327906 PQT327906 QAP327906 QKL327906 QUH327906 RED327906 RNZ327906 RXV327906 SHR327906 SRN327906 TBJ327906 TLF327906 TVB327906 UEX327906 UOT327906 UYP327906 VIL327906 VSH327906 WCD327906 WLZ327906 WVV327906 B393442 JJ393442 TF393442 ADB393442 AMX393442 AWT393442 BGP393442 BQL393442 CAH393442 CKD393442 CTZ393442 DDV393442 DNR393442 DXN393442 EHJ393442 ERF393442 FBB393442 FKX393442 FUT393442 GEP393442 GOL393442 GYH393442 HID393442 HRZ393442 IBV393442 ILR393442 IVN393442 JFJ393442 JPF393442 JZB393442 KIX393442 KST393442 LCP393442 LML393442 LWH393442 MGD393442 MPZ393442 MZV393442 NJR393442 NTN393442 ODJ393442 ONF393442 OXB393442 PGX393442 PQT393442 QAP393442 QKL393442 QUH393442 RED393442 RNZ393442 RXV393442 SHR393442 SRN393442 TBJ393442 TLF393442 TVB393442 UEX393442 UOT393442 UYP393442 VIL393442 VSH393442 WCD393442 WLZ393442 WVV393442 B458978 JJ458978 TF458978 ADB458978 AMX458978 AWT458978 BGP458978 BQL458978 CAH458978 CKD458978 CTZ458978 DDV458978 DNR458978 DXN458978 EHJ458978 ERF458978 FBB458978 FKX458978 FUT458978 GEP458978 GOL458978 GYH458978 HID458978 HRZ458978 IBV458978 ILR458978 IVN458978 JFJ458978 JPF458978 JZB458978 KIX458978 KST458978 LCP458978 LML458978 LWH458978 MGD458978 MPZ458978 MZV458978 NJR458978 NTN458978 ODJ458978 ONF458978 OXB458978 PGX458978 PQT458978 QAP458978 QKL458978 QUH458978 RED458978 RNZ458978 RXV458978 SHR458978 SRN458978 TBJ458978 TLF458978 TVB458978 UEX458978 UOT458978 UYP458978 VIL458978 VSH458978 WCD458978 WLZ458978 WVV458978 B524514 JJ524514 TF524514 ADB524514 AMX524514 AWT524514 BGP524514 BQL524514 CAH524514 CKD524514 CTZ524514 DDV524514 DNR524514 DXN524514 EHJ524514 ERF524514 FBB524514 FKX524514 FUT524514 GEP524514 GOL524514 GYH524514 HID524514 HRZ524514 IBV524514 ILR524514 IVN524514 JFJ524514 JPF524514 JZB524514 KIX524514 KST524514 LCP524514 LML524514 LWH524514 MGD524514 MPZ524514 MZV524514 NJR524514 NTN524514 ODJ524514 ONF524514 OXB524514 PGX524514 PQT524514 QAP524514 QKL524514 QUH524514 RED524514 RNZ524514 RXV524514 SHR524514 SRN524514 TBJ524514 TLF524514 TVB524514 UEX524514 UOT524514 UYP524514 VIL524514 VSH524514 WCD524514 WLZ524514 WVV524514 B590050 JJ590050 TF590050 ADB590050 AMX590050 AWT590050 BGP590050 BQL590050 CAH590050 CKD590050 CTZ590050 DDV590050 DNR590050 DXN590050 EHJ590050 ERF590050 FBB590050 FKX590050 FUT590050 GEP590050 GOL590050 GYH590050 HID590050 HRZ590050 IBV590050 ILR590050 IVN590050 JFJ590050 JPF590050 JZB590050 KIX590050 KST590050 LCP590050 LML590050 LWH590050 MGD590050 MPZ590050 MZV590050 NJR590050 NTN590050 ODJ590050 ONF590050 OXB590050 PGX590050 PQT590050 QAP590050 QKL590050 QUH590050 RED590050 RNZ590050 RXV590050 SHR590050 SRN590050 TBJ590050 TLF590050 TVB590050 UEX590050 UOT590050 UYP590050 VIL590050 VSH590050 WCD590050 WLZ590050 WVV590050 B655586 JJ655586 TF655586 ADB655586 AMX655586 AWT655586 BGP655586 BQL655586 CAH655586 CKD655586 CTZ655586 DDV655586 DNR655586 DXN655586 EHJ655586 ERF655586 FBB655586 FKX655586 FUT655586 GEP655586 GOL655586 GYH655586 HID655586 HRZ655586 IBV655586 ILR655586 IVN655586 JFJ655586 JPF655586 JZB655586 KIX655586 KST655586 LCP655586 LML655586 LWH655586 MGD655586 MPZ655586 MZV655586 NJR655586 NTN655586 ODJ655586 ONF655586 OXB655586 PGX655586 PQT655586 QAP655586 QKL655586 QUH655586 RED655586 RNZ655586 RXV655586 SHR655586 SRN655586 TBJ655586 TLF655586 TVB655586 UEX655586 UOT655586 UYP655586 VIL655586 VSH655586 WCD655586 WLZ655586 WVV655586 B721122 JJ721122 TF721122 ADB721122 AMX721122 AWT721122 BGP721122 BQL721122 CAH721122 CKD721122 CTZ721122 DDV721122 DNR721122 DXN721122 EHJ721122 ERF721122 FBB721122 FKX721122 FUT721122 GEP721122 GOL721122 GYH721122 HID721122 HRZ721122 IBV721122 ILR721122 IVN721122 JFJ721122 JPF721122 JZB721122 KIX721122 KST721122 LCP721122 LML721122 LWH721122 MGD721122 MPZ721122 MZV721122 NJR721122 NTN721122 ODJ721122 ONF721122 OXB721122 PGX721122 PQT721122 QAP721122 QKL721122 QUH721122 RED721122 RNZ721122 RXV721122 SHR721122 SRN721122 TBJ721122 TLF721122 TVB721122 UEX721122 UOT721122 UYP721122 VIL721122 VSH721122 WCD721122 WLZ721122 WVV721122 B786658 JJ786658 TF786658 ADB786658 AMX786658 AWT786658 BGP786658 BQL786658 CAH786658 CKD786658 CTZ786658 DDV786658 DNR786658 DXN786658 EHJ786658 ERF786658 FBB786658 FKX786658 FUT786658 GEP786658 GOL786658 GYH786658 HID786658 HRZ786658 IBV786658 ILR786658 IVN786658 JFJ786658 JPF786658 JZB786658 KIX786658 KST786658 LCP786658 LML786658 LWH786658 MGD786658 MPZ786658 MZV786658 NJR786658 NTN786658 ODJ786658 ONF786658 OXB786658 PGX786658 PQT786658 QAP786658 QKL786658 QUH786658 RED786658 RNZ786658 RXV786658 SHR786658 SRN786658 TBJ786658 TLF786658 TVB786658 UEX786658 UOT786658 UYP786658 VIL786658 VSH786658 WCD786658 WLZ786658 WVV786658 B852194 JJ852194 TF852194 ADB852194 AMX852194 AWT852194 BGP852194 BQL852194 CAH852194 CKD852194 CTZ852194 DDV852194 DNR852194 DXN852194 EHJ852194 ERF852194 FBB852194 FKX852194 FUT852194 GEP852194 GOL852194 GYH852194 HID852194 HRZ852194 IBV852194 ILR852194 IVN852194 JFJ852194 JPF852194 JZB852194 KIX852194 KST852194 LCP852194 LML852194 LWH852194 MGD852194 MPZ852194 MZV852194 NJR852194 NTN852194 ODJ852194 ONF852194 OXB852194 PGX852194 PQT852194 QAP852194 QKL852194 QUH852194 RED852194 RNZ852194 RXV852194 SHR852194 SRN852194 TBJ852194 TLF852194 TVB852194 UEX852194 UOT852194 UYP852194 VIL852194 VSH852194 WCD852194 WLZ852194 WVV852194 B917730 JJ917730 TF917730 ADB917730 AMX917730 AWT917730 BGP917730 BQL917730 CAH917730 CKD917730 CTZ917730 DDV917730 DNR917730 DXN917730 EHJ917730 ERF917730 FBB917730 FKX917730 FUT917730 GEP917730 GOL917730 GYH917730 HID917730 HRZ917730 IBV917730 ILR917730 IVN917730 JFJ917730 JPF917730 JZB917730 KIX917730 KST917730 LCP917730 LML917730 LWH917730 MGD917730 MPZ917730 MZV917730 NJR917730 NTN917730 ODJ917730 ONF917730 OXB917730 PGX917730 PQT917730 QAP917730 QKL917730 QUH917730 RED917730 RNZ917730 RXV917730 SHR917730 SRN917730 TBJ917730 TLF917730 TVB917730 UEX917730 UOT917730 UYP917730 VIL917730 VSH917730 WCD917730 WLZ917730 WVV917730 B983266 JJ983266 TF983266 ADB983266 AMX983266 AWT983266 BGP983266 BQL983266 CAH983266 CKD983266 CTZ983266 DDV983266 DNR983266 DXN983266 EHJ983266 ERF983266 FBB983266 FKX983266 FUT983266 GEP983266 GOL983266 GYH983266 HID983266 HRZ983266 IBV983266 ILR983266 IVN983266 JFJ983266 JPF983266 JZB983266 KIX983266 KST983266 LCP983266 LML983266 LWH983266 MGD983266 MPZ983266 MZV983266 NJR983266 NTN983266 ODJ983266 ONF983266 OXB983266 PGX983266 PQT983266 QAP983266 QKL983266 QUH983266 RED983266 RNZ983266 RXV983266 SHR983266 SRN983266 TBJ983266 TLF983266 TVB983266 UEX983266 UOT983266 UYP983266 VIL983266 VSH983266 WCD983266 WLZ983266 B17:B208 WVV17:WVV208 WLZ17:WLZ208 WCD17:WCD208 VSH17:VSH208 VIL17:VIL208 UYP17:UYP208 UOT17:UOT208 UEX17:UEX208 TVB17:TVB208 TLF17:TLF208 TBJ17:TBJ208 SRN17:SRN208 SHR17:SHR208 RXV17:RXV208 RNZ17:RNZ208 RED17:RED208 QUH17:QUH208 QKL17:QKL208 QAP17:QAP208 PQT17:PQT208 PGX17:PGX208 OXB17:OXB208 ONF17:ONF208 ODJ17:ODJ208 NTN17:NTN208 NJR17:NJR208 MZV17:MZV208 MPZ17:MPZ208 MGD17:MGD208 LWH17:LWH208 LML17:LML208 LCP17:LCP208 KST17:KST208 KIX17:KIX208 JZB17:JZB208 JPF17:JPF208 JFJ17:JFJ208 IVN17:IVN208 ILR17:ILR208 IBV17:IBV208 HRZ17:HRZ208 HID17:HID208 GYH17:GYH208 GOL17:GOL208 GEP17:GEP208 FUT17:FUT208 FKX17:FKX208 FBB17:FBB208 ERF17:ERF208 EHJ17:EHJ208 DXN17:DXN208 DNR17:DNR208 DDV17:DDV208 CTZ17:CTZ208 CKD17:CKD208 CAH17:CAH208 BQL17:BQL208 BGP17:BGP208 AWT17:AWT208 AMX17:AMX208 ADB17:ADB208 TF17:TF208 JJ17:JJ208" xr:uid="{00000000-0002-0000-0100-000004000000}"/>
    <dataValidation allowBlank="1" showInputMessage="1" showErrorMessage="1" prompt="Emplear una unidad de medida concreta y medible, no utilizar GLOBAL" sqref="WVX983265:WVX983266 E65761:E65762 JL65761:JL65762 TH65761:TH65762 ADD65761:ADD65762 AMZ65761:AMZ65762 AWV65761:AWV65762 BGR65761:BGR65762 BQN65761:BQN65762 CAJ65761:CAJ65762 CKF65761:CKF65762 CUB65761:CUB65762 DDX65761:DDX65762 DNT65761:DNT65762 DXP65761:DXP65762 EHL65761:EHL65762 ERH65761:ERH65762 FBD65761:FBD65762 FKZ65761:FKZ65762 FUV65761:FUV65762 GER65761:GER65762 GON65761:GON65762 GYJ65761:GYJ65762 HIF65761:HIF65762 HSB65761:HSB65762 IBX65761:IBX65762 ILT65761:ILT65762 IVP65761:IVP65762 JFL65761:JFL65762 JPH65761:JPH65762 JZD65761:JZD65762 KIZ65761:KIZ65762 KSV65761:KSV65762 LCR65761:LCR65762 LMN65761:LMN65762 LWJ65761:LWJ65762 MGF65761:MGF65762 MQB65761:MQB65762 MZX65761:MZX65762 NJT65761:NJT65762 NTP65761:NTP65762 ODL65761:ODL65762 ONH65761:ONH65762 OXD65761:OXD65762 PGZ65761:PGZ65762 PQV65761:PQV65762 QAR65761:QAR65762 QKN65761:QKN65762 QUJ65761:QUJ65762 REF65761:REF65762 ROB65761:ROB65762 RXX65761:RXX65762 SHT65761:SHT65762 SRP65761:SRP65762 TBL65761:TBL65762 TLH65761:TLH65762 TVD65761:TVD65762 UEZ65761:UEZ65762 UOV65761:UOV65762 UYR65761:UYR65762 VIN65761:VIN65762 VSJ65761:VSJ65762 WCF65761:WCF65762 WMB65761:WMB65762 WVX65761:WVX65762 E131297:E131298 JL131297:JL131298 TH131297:TH131298 ADD131297:ADD131298 AMZ131297:AMZ131298 AWV131297:AWV131298 BGR131297:BGR131298 BQN131297:BQN131298 CAJ131297:CAJ131298 CKF131297:CKF131298 CUB131297:CUB131298 DDX131297:DDX131298 DNT131297:DNT131298 DXP131297:DXP131298 EHL131297:EHL131298 ERH131297:ERH131298 FBD131297:FBD131298 FKZ131297:FKZ131298 FUV131297:FUV131298 GER131297:GER131298 GON131297:GON131298 GYJ131297:GYJ131298 HIF131297:HIF131298 HSB131297:HSB131298 IBX131297:IBX131298 ILT131297:ILT131298 IVP131297:IVP131298 JFL131297:JFL131298 JPH131297:JPH131298 JZD131297:JZD131298 KIZ131297:KIZ131298 KSV131297:KSV131298 LCR131297:LCR131298 LMN131297:LMN131298 LWJ131297:LWJ131298 MGF131297:MGF131298 MQB131297:MQB131298 MZX131297:MZX131298 NJT131297:NJT131298 NTP131297:NTP131298 ODL131297:ODL131298 ONH131297:ONH131298 OXD131297:OXD131298 PGZ131297:PGZ131298 PQV131297:PQV131298 QAR131297:QAR131298 QKN131297:QKN131298 QUJ131297:QUJ131298 REF131297:REF131298 ROB131297:ROB131298 RXX131297:RXX131298 SHT131297:SHT131298 SRP131297:SRP131298 TBL131297:TBL131298 TLH131297:TLH131298 TVD131297:TVD131298 UEZ131297:UEZ131298 UOV131297:UOV131298 UYR131297:UYR131298 VIN131297:VIN131298 VSJ131297:VSJ131298 WCF131297:WCF131298 WMB131297:WMB131298 WVX131297:WVX131298 E196833:E196834 JL196833:JL196834 TH196833:TH196834 ADD196833:ADD196834 AMZ196833:AMZ196834 AWV196833:AWV196834 BGR196833:BGR196834 BQN196833:BQN196834 CAJ196833:CAJ196834 CKF196833:CKF196834 CUB196833:CUB196834 DDX196833:DDX196834 DNT196833:DNT196834 DXP196833:DXP196834 EHL196833:EHL196834 ERH196833:ERH196834 FBD196833:FBD196834 FKZ196833:FKZ196834 FUV196833:FUV196834 GER196833:GER196834 GON196833:GON196834 GYJ196833:GYJ196834 HIF196833:HIF196834 HSB196833:HSB196834 IBX196833:IBX196834 ILT196833:ILT196834 IVP196833:IVP196834 JFL196833:JFL196834 JPH196833:JPH196834 JZD196833:JZD196834 KIZ196833:KIZ196834 KSV196833:KSV196834 LCR196833:LCR196834 LMN196833:LMN196834 LWJ196833:LWJ196834 MGF196833:MGF196834 MQB196833:MQB196834 MZX196833:MZX196834 NJT196833:NJT196834 NTP196833:NTP196834 ODL196833:ODL196834 ONH196833:ONH196834 OXD196833:OXD196834 PGZ196833:PGZ196834 PQV196833:PQV196834 QAR196833:QAR196834 QKN196833:QKN196834 QUJ196833:QUJ196834 REF196833:REF196834 ROB196833:ROB196834 RXX196833:RXX196834 SHT196833:SHT196834 SRP196833:SRP196834 TBL196833:TBL196834 TLH196833:TLH196834 TVD196833:TVD196834 UEZ196833:UEZ196834 UOV196833:UOV196834 UYR196833:UYR196834 VIN196833:VIN196834 VSJ196833:VSJ196834 WCF196833:WCF196834 WMB196833:WMB196834 WVX196833:WVX196834 E262369:E262370 JL262369:JL262370 TH262369:TH262370 ADD262369:ADD262370 AMZ262369:AMZ262370 AWV262369:AWV262370 BGR262369:BGR262370 BQN262369:BQN262370 CAJ262369:CAJ262370 CKF262369:CKF262370 CUB262369:CUB262370 DDX262369:DDX262370 DNT262369:DNT262370 DXP262369:DXP262370 EHL262369:EHL262370 ERH262369:ERH262370 FBD262369:FBD262370 FKZ262369:FKZ262370 FUV262369:FUV262370 GER262369:GER262370 GON262369:GON262370 GYJ262369:GYJ262370 HIF262369:HIF262370 HSB262369:HSB262370 IBX262369:IBX262370 ILT262369:ILT262370 IVP262369:IVP262370 JFL262369:JFL262370 JPH262369:JPH262370 JZD262369:JZD262370 KIZ262369:KIZ262370 KSV262369:KSV262370 LCR262369:LCR262370 LMN262369:LMN262370 LWJ262369:LWJ262370 MGF262369:MGF262370 MQB262369:MQB262370 MZX262369:MZX262370 NJT262369:NJT262370 NTP262369:NTP262370 ODL262369:ODL262370 ONH262369:ONH262370 OXD262369:OXD262370 PGZ262369:PGZ262370 PQV262369:PQV262370 QAR262369:QAR262370 QKN262369:QKN262370 QUJ262369:QUJ262370 REF262369:REF262370 ROB262369:ROB262370 RXX262369:RXX262370 SHT262369:SHT262370 SRP262369:SRP262370 TBL262369:TBL262370 TLH262369:TLH262370 TVD262369:TVD262370 UEZ262369:UEZ262370 UOV262369:UOV262370 UYR262369:UYR262370 VIN262369:VIN262370 VSJ262369:VSJ262370 WCF262369:WCF262370 WMB262369:WMB262370 WVX262369:WVX262370 E327905:E327906 JL327905:JL327906 TH327905:TH327906 ADD327905:ADD327906 AMZ327905:AMZ327906 AWV327905:AWV327906 BGR327905:BGR327906 BQN327905:BQN327906 CAJ327905:CAJ327906 CKF327905:CKF327906 CUB327905:CUB327906 DDX327905:DDX327906 DNT327905:DNT327906 DXP327905:DXP327906 EHL327905:EHL327906 ERH327905:ERH327906 FBD327905:FBD327906 FKZ327905:FKZ327906 FUV327905:FUV327906 GER327905:GER327906 GON327905:GON327906 GYJ327905:GYJ327906 HIF327905:HIF327906 HSB327905:HSB327906 IBX327905:IBX327906 ILT327905:ILT327906 IVP327905:IVP327906 JFL327905:JFL327906 JPH327905:JPH327906 JZD327905:JZD327906 KIZ327905:KIZ327906 KSV327905:KSV327906 LCR327905:LCR327906 LMN327905:LMN327906 LWJ327905:LWJ327906 MGF327905:MGF327906 MQB327905:MQB327906 MZX327905:MZX327906 NJT327905:NJT327906 NTP327905:NTP327906 ODL327905:ODL327906 ONH327905:ONH327906 OXD327905:OXD327906 PGZ327905:PGZ327906 PQV327905:PQV327906 QAR327905:QAR327906 QKN327905:QKN327906 QUJ327905:QUJ327906 REF327905:REF327906 ROB327905:ROB327906 RXX327905:RXX327906 SHT327905:SHT327906 SRP327905:SRP327906 TBL327905:TBL327906 TLH327905:TLH327906 TVD327905:TVD327906 UEZ327905:UEZ327906 UOV327905:UOV327906 UYR327905:UYR327906 VIN327905:VIN327906 VSJ327905:VSJ327906 WCF327905:WCF327906 WMB327905:WMB327906 WVX327905:WVX327906 E393441:E393442 JL393441:JL393442 TH393441:TH393442 ADD393441:ADD393442 AMZ393441:AMZ393442 AWV393441:AWV393442 BGR393441:BGR393442 BQN393441:BQN393442 CAJ393441:CAJ393442 CKF393441:CKF393442 CUB393441:CUB393442 DDX393441:DDX393442 DNT393441:DNT393442 DXP393441:DXP393442 EHL393441:EHL393442 ERH393441:ERH393442 FBD393441:FBD393442 FKZ393441:FKZ393442 FUV393441:FUV393442 GER393441:GER393442 GON393441:GON393442 GYJ393441:GYJ393442 HIF393441:HIF393442 HSB393441:HSB393442 IBX393441:IBX393442 ILT393441:ILT393442 IVP393441:IVP393442 JFL393441:JFL393442 JPH393441:JPH393442 JZD393441:JZD393442 KIZ393441:KIZ393442 KSV393441:KSV393442 LCR393441:LCR393442 LMN393441:LMN393442 LWJ393441:LWJ393442 MGF393441:MGF393442 MQB393441:MQB393442 MZX393441:MZX393442 NJT393441:NJT393442 NTP393441:NTP393442 ODL393441:ODL393442 ONH393441:ONH393442 OXD393441:OXD393442 PGZ393441:PGZ393442 PQV393441:PQV393442 QAR393441:QAR393442 QKN393441:QKN393442 QUJ393441:QUJ393442 REF393441:REF393442 ROB393441:ROB393442 RXX393441:RXX393442 SHT393441:SHT393442 SRP393441:SRP393442 TBL393441:TBL393442 TLH393441:TLH393442 TVD393441:TVD393442 UEZ393441:UEZ393442 UOV393441:UOV393442 UYR393441:UYR393442 VIN393441:VIN393442 VSJ393441:VSJ393442 WCF393441:WCF393442 WMB393441:WMB393442 WVX393441:WVX393442 E458977:E458978 JL458977:JL458978 TH458977:TH458978 ADD458977:ADD458978 AMZ458977:AMZ458978 AWV458977:AWV458978 BGR458977:BGR458978 BQN458977:BQN458978 CAJ458977:CAJ458978 CKF458977:CKF458978 CUB458977:CUB458978 DDX458977:DDX458978 DNT458977:DNT458978 DXP458977:DXP458978 EHL458977:EHL458978 ERH458977:ERH458978 FBD458977:FBD458978 FKZ458977:FKZ458978 FUV458977:FUV458978 GER458977:GER458978 GON458977:GON458978 GYJ458977:GYJ458978 HIF458977:HIF458978 HSB458977:HSB458978 IBX458977:IBX458978 ILT458977:ILT458978 IVP458977:IVP458978 JFL458977:JFL458978 JPH458977:JPH458978 JZD458977:JZD458978 KIZ458977:KIZ458978 KSV458977:KSV458978 LCR458977:LCR458978 LMN458977:LMN458978 LWJ458977:LWJ458978 MGF458977:MGF458978 MQB458977:MQB458978 MZX458977:MZX458978 NJT458977:NJT458978 NTP458977:NTP458978 ODL458977:ODL458978 ONH458977:ONH458978 OXD458977:OXD458978 PGZ458977:PGZ458978 PQV458977:PQV458978 QAR458977:QAR458978 QKN458977:QKN458978 QUJ458977:QUJ458978 REF458977:REF458978 ROB458977:ROB458978 RXX458977:RXX458978 SHT458977:SHT458978 SRP458977:SRP458978 TBL458977:TBL458978 TLH458977:TLH458978 TVD458977:TVD458978 UEZ458977:UEZ458978 UOV458977:UOV458978 UYR458977:UYR458978 VIN458977:VIN458978 VSJ458977:VSJ458978 WCF458977:WCF458978 WMB458977:WMB458978 WVX458977:WVX458978 E524513:E524514 JL524513:JL524514 TH524513:TH524514 ADD524513:ADD524514 AMZ524513:AMZ524514 AWV524513:AWV524514 BGR524513:BGR524514 BQN524513:BQN524514 CAJ524513:CAJ524514 CKF524513:CKF524514 CUB524513:CUB524514 DDX524513:DDX524514 DNT524513:DNT524514 DXP524513:DXP524514 EHL524513:EHL524514 ERH524513:ERH524514 FBD524513:FBD524514 FKZ524513:FKZ524514 FUV524513:FUV524514 GER524513:GER524514 GON524513:GON524514 GYJ524513:GYJ524514 HIF524513:HIF524514 HSB524513:HSB524514 IBX524513:IBX524514 ILT524513:ILT524514 IVP524513:IVP524514 JFL524513:JFL524514 JPH524513:JPH524514 JZD524513:JZD524514 KIZ524513:KIZ524514 KSV524513:KSV524514 LCR524513:LCR524514 LMN524513:LMN524514 LWJ524513:LWJ524514 MGF524513:MGF524514 MQB524513:MQB524514 MZX524513:MZX524514 NJT524513:NJT524514 NTP524513:NTP524514 ODL524513:ODL524514 ONH524513:ONH524514 OXD524513:OXD524514 PGZ524513:PGZ524514 PQV524513:PQV524514 QAR524513:QAR524514 QKN524513:QKN524514 QUJ524513:QUJ524514 REF524513:REF524514 ROB524513:ROB524514 RXX524513:RXX524514 SHT524513:SHT524514 SRP524513:SRP524514 TBL524513:TBL524514 TLH524513:TLH524514 TVD524513:TVD524514 UEZ524513:UEZ524514 UOV524513:UOV524514 UYR524513:UYR524514 VIN524513:VIN524514 VSJ524513:VSJ524514 WCF524513:WCF524514 WMB524513:WMB524514 WVX524513:WVX524514 E590049:E590050 JL590049:JL590050 TH590049:TH590050 ADD590049:ADD590050 AMZ590049:AMZ590050 AWV590049:AWV590050 BGR590049:BGR590050 BQN590049:BQN590050 CAJ590049:CAJ590050 CKF590049:CKF590050 CUB590049:CUB590050 DDX590049:DDX590050 DNT590049:DNT590050 DXP590049:DXP590050 EHL590049:EHL590050 ERH590049:ERH590050 FBD590049:FBD590050 FKZ590049:FKZ590050 FUV590049:FUV590050 GER590049:GER590050 GON590049:GON590050 GYJ590049:GYJ590050 HIF590049:HIF590050 HSB590049:HSB590050 IBX590049:IBX590050 ILT590049:ILT590050 IVP590049:IVP590050 JFL590049:JFL590050 JPH590049:JPH590050 JZD590049:JZD590050 KIZ590049:KIZ590050 KSV590049:KSV590050 LCR590049:LCR590050 LMN590049:LMN590050 LWJ590049:LWJ590050 MGF590049:MGF590050 MQB590049:MQB590050 MZX590049:MZX590050 NJT590049:NJT590050 NTP590049:NTP590050 ODL590049:ODL590050 ONH590049:ONH590050 OXD590049:OXD590050 PGZ590049:PGZ590050 PQV590049:PQV590050 QAR590049:QAR590050 QKN590049:QKN590050 QUJ590049:QUJ590050 REF590049:REF590050 ROB590049:ROB590050 RXX590049:RXX590050 SHT590049:SHT590050 SRP590049:SRP590050 TBL590049:TBL590050 TLH590049:TLH590050 TVD590049:TVD590050 UEZ590049:UEZ590050 UOV590049:UOV590050 UYR590049:UYR590050 VIN590049:VIN590050 VSJ590049:VSJ590050 WCF590049:WCF590050 WMB590049:WMB590050 WVX590049:WVX590050 E655585:E655586 JL655585:JL655586 TH655585:TH655586 ADD655585:ADD655586 AMZ655585:AMZ655586 AWV655585:AWV655586 BGR655585:BGR655586 BQN655585:BQN655586 CAJ655585:CAJ655586 CKF655585:CKF655586 CUB655585:CUB655586 DDX655585:DDX655586 DNT655585:DNT655586 DXP655585:DXP655586 EHL655585:EHL655586 ERH655585:ERH655586 FBD655585:FBD655586 FKZ655585:FKZ655586 FUV655585:FUV655586 GER655585:GER655586 GON655585:GON655586 GYJ655585:GYJ655586 HIF655585:HIF655586 HSB655585:HSB655586 IBX655585:IBX655586 ILT655585:ILT655586 IVP655585:IVP655586 JFL655585:JFL655586 JPH655585:JPH655586 JZD655585:JZD655586 KIZ655585:KIZ655586 KSV655585:KSV655586 LCR655585:LCR655586 LMN655585:LMN655586 LWJ655585:LWJ655586 MGF655585:MGF655586 MQB655585:MQB655586 MZX655585:MZX655586 NJT655585:NJT655586 NTP655585:NTP655586 ODL655585:ODL655586 ONH655585:ONH655586 OXD655585:OXD655586 PGZ655585:PGZ655586 PQV655585:PQV655586 QAR655585:QAR655586 QKN655585:QKN655586 QUJ655585:QUJ655586 REF655585:REF655586 ROB655585:ROB655586 RXX655585:RXX655586 SHT655585:SHT655586 SRP655585:SRP655586 TBL655585:TBL655586 TLH655585:TLH655586 TVD655585:TVD655586 UEZ655585:UEZ655586 UOV655585:UOV655586 UYR655585:UYR655586 VIN655585:VIN655586 VSJ655585:VSJ655586 WCF655585:WCF655586 WMB655585:WMB655586 WVX655585:WVX655586 E721121:E721122 JL721121:JL721122 TH721121:TH721122 ADD721121:ADD721122 AMZ721121:AMZ721122 AWV721121:AWV721122 BGR721121:BGR721122 BQN721121:BQN721122 CAJ721121:CAJ721122 CKF721121:CKF721122 CUB721121:CUB721122 DDX721121:DDX721122 DNT721121:DNT721122 DXP721121:DXP721122 EHL721121:EHL721122 ERH721121:ERH721122 FBD721121:FBD721122 FKZ721121:FKZ721122 FUV721121:FUV721122 GER721121:GER721122 GON721121:GON721122 GYJ721121:GYJ721122 HIF721121:HIF721122 HSB721121:HSB721122 IBX721121:IBX721122 ILT721121:ILT721122 IVP721121:IVP721122 JFL721121:JFL721122 JPH721121:JPH721122 JZD721121:JZD721122 KIZ721121:KIZ721122 KSV721121:KSV721122 LCR721121:LCR721122 LMN721121:LMN721122 LWJ721121:LWJ721122 MGF721121:MGF721122 MQB721121:MQB721122 MZX721121:MZX721122 NJT721121:NJT721122 NTP721121:NTP721122 ODL721121:ODL721122 ONH721121:ONH721122 OXD721121:OXD721122 PGZ721121:PGZ721122 PQV721121:PQV721122 QAR721121:QAR721122 QKN721121:QKN721122 QUJ721121:QUJ721122 REF721121:REF721122 ROB721121:ROB721122 RXX721121:RXX721122 SHT721121:SHT721122 SRP721121:SRP721122 TBL721121:TBL721122 TLH721121:TLH721122 TVD721121:TVD721122 UEZ721121:UEZ721122 UOV721121:UOV721122 UYR721121:UYR721122 VIN721121:VIN721122 VSJ721121:VSJ721122 WCF721121:WCF721122 WMB721121:WMB721122 WVX721121:WVX721122 E786657:E786658 JL786657:JL786658 TH786657:TH786658 ADD786657:ADD786658 AMZ786657:AMZ786658 AWV786657:AWV786658 BGR786657:BGR786658 BQN786657:BQN786658 CAJ786657:CAJ786658 CKF786657:CKF786658 CUB786657:CUB786658 DDX786657:DDX786658 DNT786657:DNT786658 DXP786657:DXP786658 EHL786657:EHL786658 ERH786657:ERH786658 FBD786657:FBD786658 FKZ786657:FKZ786658 FUV786657:FUV786658 GER786657:GER786658 GON786657:GON786658 GYJ786657:GYJ786658 HIF786657:HIF786658 HSB786657:HSB786658 IBX786657:IBX786658 ILT786657:ILT786658 IVP786657:IVP786658 JFL786657:JFL786658 JPH786657:JPH786658 JZD786657:JZD786658 KIZ786657:KIZ786658 KSV786657:KSV786658 LCR786657:LCR786658 LMN786657:LMN786658 LWJ786657:LWJ786658 MGF786657:MGF786658 MQB786657:MQB786658 MZX786657:MZX786658 NJT786657:NJT786658 NTP786657:NTP786658 ODL786657:ODL786658 ONH786657:ONH786658 OXD786657:OXD786658 PGZ786657:PGZ786658 PQV786657:PQV786658 QAR786657:QAR786658 QKN786657:QKN786658 QUJ786657:QUJ786658 REF786657:REF786658 ROB786657:ROB786658 RXX786657:RXX786658 SHT786657:SHT786658 SRP786657:SRP786658 TBL786657:TBL786658 TLH786657:TLH786658 TVD786657:TVD786658 UEZ786657:UEZ786658 UOV786657:UOV786658 UYR786657:UYR786658 VIN786657:VIN786658 VSJ786657:VSJ786658 WCF786657:WCF786658 WMB786657:WMB786658 WVX786657:WVX786658 E852193:E852194 JL852193:JL852194 TH852193:TH852194 ADD852193:ADD852194 AMZ852193:AMZ852194 AWV852193:AWV852194 BGR852193:BGR852194 BQN852193:BQN852194 CAJ852193:CAJ852194 CKF852193:CKF852194 CUB852193:CUB852194 DDX852193:DDX852194 DNT852193:DNT852194 DXP852193:DXP852194 EHL852193:EHL852194 ERH852193:ERH852194 FBD852193:FBD852194 FKZ852193:FKZ852194 FUV852193:FUV852194 GER852193:GER852194 GON852193:GON852194 GYJ852193:GYJ852194 HIF852193:HIF852194 HSB852193:HSB852194 IBX852193:IBX852194 ILT852193:ILT852194 IVP852193:IVP852194 JFL852193:JFL852194 JPH852193:JPH852194 JZD852193:JZD852194 KIZ852193:KIZ852194 KSV852193:KSV852194 LCR852193:LCR852194 LMN852193:LMN852194 LWJ852193:LWJ852194 MGF852193:MGF852194 MQB852193:MQB852194 MZX852193:MZX852194 NJT852193:NJT852194 NTP852193:NTP852194 ODL852193:ODL852194 ONH852193:ONH852194 OXD852193:OXD852194 PGZ852193:PGZ852194 PQV852193:PQV852194 QAR852193:QAR852194 QKN852193:QKN852194 QUJ852193:QUJ852194 REF852193:REF852194 ROB852193:ROB852194 RXX852193:RXX852194 SHT852193:SHT852194 SRP852193:SRP852194 TBL852193:TBL852194 TLH852193:TLH852194 TVD852193:TVD852194 UEZ852193:UEZ852194 UOV852193:UOV852194 UYR852193:UYR852194 VIN852193:VIN852194 VSJ852193:VSJ852194 WCF852193:WCF852194 WMB852193:WMB852194 WVX852193:WVX852194 E917729:E917730 JL917729:JL917730 TH917729:TH917730 ADD917729:ADD917730 AMZ917729:AMZ917730 AWV917729:AWV917730 BGR917729:BGR917730 BQN917729:BQN917730 CAJ917729:CAJ917730 CKF917729:CKF917730 CUB917729:CUB917730 DDX917729:DDX917730 DNT917729:DNT917730 DXP917729:DXP917730 EHL917729:EHL917730 ERH917729:ERH917730 FBD917729:FBD917730 FKZ917729:FKZ917730 FUV917729:FUV917730 GER917729:GER917730 GON917729:GON917730 GYJ917729:GYJ917730 HIF917729:HIF917730 HSB917729:HSB917730 IBX917729:IBX917730 ILT917729:ILT917730 IVP917729:IVP917730 JFL917729:JFL917730 JPH917729:JPH917730 JZD917729:JZD917730 KIZ917729:KIZ917730 KSV917729:KSV917730 LCR917729:LCR917730 LMN917729:LMN917730 LWJ917729:LWJ917730 MGF917729:MGF917730 MQB917729:MQB917730 MZX917729:MZX917730 NJT917729:NJT917730 NTP917729:NTP917730 ODL917729:ODL917730 ONH917729:ONH917730 OXD917729:OXD917730 PGZ917729:PGZ917730 PQV917729:PQV917730 QAR917729:QAR917730 QKN917729:QKN917730 QUJ917729:QUJ917730 REF917729:REF917730 ROB917729:ROB917730 RXX917729:RXX917730 SHT917729:SHT917730 SRP917729:SRP917730 TBL917729:TBL917730 TLH917729:TLH917730 TVD917729:TVD917730 UEZ917729:UEZ917730 UOV917729:UOV917730 UYR917729:UYR917730 VIN917729:VIN917730 VSJ917729:VSJ917730 WCF917729:WCF917730 WMB917729:WMB917730 WVX917729:WVX917730 E983265:E983266 JL983265:JL983266 TH983265:TH983266 ADD983265:ADD983266 AMZ983265:AMZ983266 AWV983265:AWV983266 BGR983265:BGR983266 BQN983265:BQN983266 CAJ983265:CAJ983266 CKF983265:CKF983266 CUB983265:CUB983266 DDX983265:DDX983266 DNT983265:DNT983266 DXP983265:DXP983266 EHL983265:EHL983266 ERH983265:ERH983266 FBD983265:FBD983266 FKZ983265:FKZ983266 FUV983265:FUV983266 GER983265:GER983266 GON983265:GON983266 GYJ983265:GYJ983266 HIF983265:HIF983266 HSB983265:HSB983266 IBX983265:IBX983266 ILT983265:ILT983266 IVP983265:IVP983266 JFL983265:JFL983266 JPH983265:JPH983266 JZD983265:JZD983266 KIZ983265:KIZ983266 KSV983265:KSV983266 LCR983265:LCR983266 LMN983265:LMN983266 LWJ983265:LWJ983266 MGF983265:MGF983266 MQB983265:MQB983266 MZX983265:MZX983266 NJT983265:NJT983266 NTP983265:NTP983266 ODL983265:ODL983266 ONH983265:ONH983266 OXD983265:OXD983266 PGZ983265:PGZ983266 PQV983265:PQV983266 QAR983265:QAR983266 QKN983265:QKN983266 QUJ983265:QUJ983266 REF983265:REF983266 ROB983265:ROB983266 RXX983265:RXX983266 SHT983265:SHT983266 SRP983265:SRP983266 TBL983265:TBL983266 TLH983265:TLH983266 TVD983265:TVD983266 UEZ983265:UEZ983266 UOV983265:UOV983266 UYR983265:UYR983266 VIN983265:VIN983266 VSJ983265:VSJ983266 WCF983265:WCF983266 WMB983265:WMB983266 JL16:JL208 TH16:TH208 ADD16:ADD208 AMZ16:AMZ208 AWV16:AWV208 BGR16:BGR208 BQN16:BQN208 CAJ16:CAJ208 CKF16:CKF208 CUB16:CUB208 DDX16:DDX208 DNT16:DNT208 DXP16:DXP208 EHL16:EHL208 ERH16:ERH208 FBD16:FBD208 FKZ16:FKZ208 FUV16:FUV208 GER16:GER208 GON16:GON208 GYJ16:GYJ208 HIF16:HIF208 HSB16:HSB208 IBX16:IBX208 ILT16:ILT208 IVP16:IVP208 JFL16:JFL208 JPH16:JPH208 JZD16:JZD208 KIZ16:KIZ208 KSV16:KSV208 LCR16:LCR208 LMN16:LMN208 LWJ16:LWJ208 MGF16:MGF208 MQB16:MQB208 MZX16:MZX208 NJT16:NJT208 NTP16:NTP208 ODL16:ODL208 ONH16:ONH208 OXD16:OXD208 PGZ16:PGZ208 PQV16:PQV208 QAR16:QAR208 QKN16:QKN208 QUJ16:QUJ208 REF16:REF208 ROB16:ROB208 RXX16:RXX208 SHT16:SHT208 SRP16:SRP208 TBL16:TBL208 TLH16:TLH208 TVD16:TVD208 UEZ16:UEZ208 UOV16:UOV208 UYR16:UYR208 VIN16:VIN208 VSJ16:VSJ208 WCF16:WCF208 WMB16:WMB208 WVX16:WVX208 E16:E208" xr:uid="{00000000-0002-0000-0100-000005000000}"/>
    <dataValidation allowBlank="1" showInputMessage="1" showErrorMessage="1" prompt="diligencie el numero de meses en letras (numero). ej: seis (6)." sqref="C10:D10 JK10 TG10 ADC10 AMY10 AWU10 BGQ10 BQM10 CAI10 CKE10 CUA10 DDW10 DNS10 DXO10 EHK10 ERG10 FBC10 FKY10 FUU10 GEQ10 GOM10 GYI10 HIE10 HSA10 IBW10 ILS10 IVO10 JFK10 JPG10 JZC10 KIY10 KSU10 LCQ10 LMM10 LWI10 MGE10 MQA10 MZW10 NJS10 NTO10 ODK10 ONG10 OXC10 PGY10 PQU10 QAQ10 QKM10 QUI10 REE10 ROA10 RXW10 SHS10 SRO10 TBK10 TLG10 TVC10 UEY10 UOU10 UYQ10 VIM10 VSI10 WCE10 WMA10 WVW10 C65754:D65754 JK65754 TG65754 ADC65754 AMY65754 AWU65754 BGQ65754 BQM65754 CAI65754 CKE65754 CUA65754 DDW65754 DNS65754 DXO65754 EHK65754 ERG65754 FBC65754 FKY65754 FUU65754 GEQ65754 GOM65754 GYI65754 HIE65754 HSA65754 IBW65754 ILS65754 IVO65754 JFK65754 JPG65754 JZC65754 KIY65754 KSU65754 LCQ65754 LMM65754 LWI65754 MGE65754 MQA65754 MZW65754 NJS65754 NTO65754 ODK65754 ONG65754 OXC65754 PGY65754 PQU65754 QAQ65754 QKM65754 QUI65754 REE65754 ROA65754 RXW65754 SHS65754 SRO65754 TBK65754 TLG65754 TVC65754 UEY65754 UOU65754 UYQ65754 VIM65754 VSI65754 WCE65754 WMA65754 WVW65754 C131290:D131290 JK131290 TG131290 ADC131290 AMY131290 AWU131290 BGQ131290 BQM131290 CAI131290 CKE131290 CUA131290 DDW131290 DNS131290 DXO131290 EHK131290 ERG131290 FBC131290 FKY131290 FUU131290 GEQ131290 GOM131290 GYI131290 HIE131290 HSA131290 IBW131290 ILS131290 IVO131290 JFK131290 JPG131290 JZC131290 KIY131290 KSU131290 LCQ131290 LMM131290 LWI131290 MGE131290 MQA131290 MZW131290 NJS131290 NTO131290 ODK131290 ONG131290 OXC131290 PGY131290 PQU131290 QAQ131290 QKM131290 QUI131290 REE131290 ROA131290 RXW131290 SHS131290 SRO131290 TBK131290 TLG131290 TVC131290 UEY131290 UOU131290 UYQ131290 VIM131290 VSI131290 WCE131290 WMA131290 WVW131290 C196826:D196826 JK196826 TG196826 ADC196826 AMY196826 AWU196826 BGQ196826 BQM196826 CAI196826 CKE196826 CUA196826 DDW196826 DNS196826 DXO196826 EHK196826 ERG196826 FBC196826 FKY196826 FUU196826 GEQ196826 GOM196826 GYI196826 HIE196826 HSA196826 IBW196826 ILS196826 IVO196826 JFK196826 JPG196826 JZC196826 KIY196826 KSU196826 LCQ196826 LMM196826 LWI196826 MGE196826 MQA196826 MZW196826 NJS196826 NTO196826 ODK196826 ONG196826 OXC196826 PGY196826 PQU196826 QAQ196826 QKM196826 QUI196826 REE196826 ROA196826 RXW196826 SHS196826 SRO196826 TBK196826 TLG196826 TVC196826 UEY196826 UOU196826 UYQ196826 VIM196826 VSI196826 WCE196826 WMA196826 WVW196826 C262362:D262362 JK262362 TG262362 ADC262362 AMY262362 AWU262362 BGQ262362 BQM262362 CAI262362 CKE262362 CUA262362 DDW262362 DNS262362 DXO262362 EHK262362 ERG262362 FBC262362 FKY262362 FUU262362 GEQ262362 GOM262362 GYI262362 HIE262362 HSA262362 IBW262362 ILS262362 IVO262362 JFK262362 JPG262362 JZC262362 KIY262362 KSU262362 LCQ262362 LMM262362 LWI262362 MGE262362 MQA262362 MZW262362 NJS262362 NTO262362 ODK262362 ONG262362 OXC262362 PGY262362 PQU262362 QAQ262362 QKM262362 QUI262362 REE262362 ROA262362 RXW262362 SHS262362 SRO262362 TBK262362 TLG262362 TVC262362 UEY262362 UOU262362 UYQ262362 VIM262362 VSI262362 WCE262362 WMA262362 WVW262362 C327898:D327898 JK327898 TG327898 ADC327898 AMY327898 AWU327898 BGQ327898 BQM327898 CAI327898 CKE327898 CUA327898 DDW327898 DNS327898 DXO327898 EHK327898 ERG327898 FBC327898 FKY327898 FUU327898 GEQ327898 GOM327898 GYI327898 HIE327898 HSA327898 IBW327898 ILS327898 IVO327898 JFK327898 JPG327898 JZC327898 KIY327898 KSU327898 LCQ327898 LMM327898 LWI327898 MGE327898 MQA327898 MZW327898 NJS327898 NTO327898 ODK327898 ONG327898 OXC327898 PGY327898 PQU327898 QAQ327898 QKM327898 QUI327898 REE327898 ROA327898 RXW327898 SHS327898 SRO327898 TBK327898 TLG327898 TVC327898 UEY327898 UOU327898 UYQ327898 VIM327898 VSI327898 WCE327898 WMA327898 WVW327898 C393434:D393434 JK393434 TG393434 ADC393434 AMY393434 AWU393434 BGQ393434 BQM393434 CAI393434 CKE393434 CUA393434 DDW393434 DNS393434 DXO393434 EHK393434 ERG393434 FBC393434 FKY393434 FUU393434 GEQ393434 GOM393434 GYI393434 HIE393434 HSA393434 IBW393434 ILS393434 IVO393434 JFK393434 JPG393434 JZC393434 KIY393434 KSU393434 LCQ393434 LMM393434 LWI393434 MGE393434 MQA393434 MZW393434 NJS393434 NTO393434 ODK393434 ONG393434 OXC393434 PGY393434 PQU393434 QAQ393434 QKM393434 QUI393434 REE393434 ROA393434 RXW393434 SHS393434 SRO393434 TBK393434 TLG393434 TVC393434 UEY393434 UOU393434 UYQ393434 VIM393434 VSI393434 WCE393434 WMA393434 WVW393434 C458970:D458970 JK458970 TG458970 ADC458970 AMY458970 AWU458970 BGQ458970 BQM458970 CAI458970 CKE458970 CUA458970 DDW458970 DNS458970 DXO458970 EHK458970 ERG458970 FBC458970 FKY458970 FUU458970 GEQ458970 GOM458970 GYI458970 HIE458970 HSA458970 IBW458970 ILS458970 IVO458970 JFK458970 JPG458970 JZC458970 KIY458970 KSU458970 LCQ458970 LMM458970 LWI458970 MGE458970 MQA458970 MZW458970 NJS458970 NTO458970 ODK458970 ONG458970 OXC458970 PGY458970 PQU458970 QAQ458970 QKM458970 QUI458970 REE458970 ROA458970 RXW458970 SHS458970 SRO458970 TBK458970 TLG458970 TVC458970 UEY458970 UOU458970 UYQ458970 VIM458970 VSI458970 WCE458970 WMA458970 WVW458970 C524506:D524506 JK524506 TG524506 ADC524506 AMY524506 AWU524506 BGQ524506 BQM524506 CAI524506 CKE524506 CUA524506 DDW524506 DNS524506 DXO524506 EHK524506 ERG524506 FBC524506 FKY524506 FUU524506 GEQ524506 GOM524506 GYI524506 HIE524506 HSA524506 IBW524506 ILS524506 IVO524506 JFK524506 JPG524506 JZC524506 KIY524506 KSU524506 LCQ524506 LMM524506 LWI524506 MGE524506 MQA524506 MZW524506 NJS524506 NTO524506 ODK524506 ONG524506 OXC524506 PGY524506 PQU524506 QAQ524506 QKM524506 QUI524506 REE524506 ROA524506 RXW524506 SHS524506 SRO524506 TBK524506 TLG524506 TVC524506 UEY524506 UOU524506 UYQ524506 VIM524506 VSI524506 WCE524506 WMA524506 WVW524506 C590042:D590042 JK590042 TG590042 ADC590042 AMY590042 AWU590042 BGQ590042 BQM590042 CAI590042 CKE590042 CUA590042 DDW590042 DNS590042 DXO590042 EHK590042 ERG590042 FBC590042 FKY590042 FUU590042 GEQ590042 GOM590042 GYI590042 HIE590042 HSA590042 IBW590042 ILS590042 IVO590042 JFK590042 JPG590042 JZC590042 KIY590042 KSU590042 LCQ590042 LMM590042 LWI590042 MGE590042 MQA590042 MZW590042 NJS590042 NTO590042 ODK590042 ONG590042 OXC590042 PGY590042 PQU590042 QAQ590042 QKM590042 QUI590042 REE590042 ROA590042 RXW590042 SHS590042 SRO590042 TBK590042 TLG590042 TVC590042 UEY590042 UOU590042 UYQ590042 VIM590042 VSI590042 WCE590042 WMA590042 WVW590042 C655578:D655578 JK655578 TG655578 ADC655578 AMY655578 AWU655578 BGQ655578 BQM655578 CAI655578 CKE655578 CUA655578 DDW655578 DNS655578 DXO655578 EHK655578 ERG655578 FBC655578 FKY655578 FUU655578 GEQ655578 GOM655578 GYI655578 HIE655578 HSA655578 IBW655578 ILS655578 IVO655578 JFK655578 JPG655578 JZC655578 KIY655578 KSU655578 LCQ655578 LMM655578 LWI655578 MGE655578 MQA655578 MZW655578 NJS655578 NTO655578 ODK655578 ONG655578 OXC655578 PGY655578 PQU655578 QAQ655578 QKM655578 QUI655578 REE655578 ROA655578 RXW655578 SHS655578 SRO655578 TBK655578 TLG655578 TVC655578 UEY655578 UOU655578 UYQ655578 VIM655578 VSI655578 WCE655578 WMA655578 WVW655578 C721114:D721114 JK721114 TG721114 ADC721114 AMY721114 AWU721114 BGQ721114 BQM721114 CAI721114 CKE721114 CUA721114 DDW721114 DNS721114 DXO721114 EHK721114 ERG721114 FBC721114 FKY721114 FUU721114 GEQ721114 GOM721114 GYI721114 HIE721114 HSA721114 IBW721114 ILS721114 IVO721114 JFK721114 JPG721114 JZC721114 KIY721114 KSU721114 LCQ721114 LMM721114 LWI721114 MGE721114 MQA721114 MZW721114 NJS721114 NTO721114 ODK721114 ONG721114 OXC721114 PGY721114 PQU721114 QAQ721114 QKM721114 QUI721114 REE721114 ROA721114 RXW721114 SHS721114 SRO721114 TBK721114 TLG721114 TVC721114 UEY721114 UOU721114 UYQ721114 VIM721114 VSI721114 WCE721114 WMA721114 WVW721114 C786650:D786650 JK786650 TG786650 ADC786650 AMY786650 AWU786650 BGQ786650 BQM786650 CAI786650 CKE786650 CUA786650 DDW786650 DNS786650 DXO786650 EHK786650 ERG786650 FBC786650 FKY786650 FUU786650 GEQ786650 GOM786650 GYI786650 HIE786650 HSA786650 IBW786650 ILS786650 IVO786650 JFK786650 JPG786650 JZC786650 KIY786650 KSU786650 LCQ786650 LMM786650 LWI786650 MGE786650 MQA786650 MZW786650 NJS786650 NTO786650 ODK786650 ONG786650 OXC786650 PGY786650 PQU786650 QAQ786650 QKM786650 QUI786650 REE786650 ROA786650 RXW786650 SHS786650 SRO786650 TBK786650 TLG786650 TVC786650 UEY786650 UOU786650 UYQ786650 VIM786650 VSI786650 WCE786650 WMA786650 WVW786650 C852186:D852186 JK852186 TG852186 ADC852186 AMY852186 AWU852186 BGQ852186 BQM852186 CAI852186 CKE852186 CUA852186 DDW852186 DNS852186 DXO852186 EHK852186 ERG852186 FBC852186 FKY852186 FUU852186 GEQ852186 GOM852186 GYI852186 HIE852186 HSA852186 IBW852186 ILS852186 IVO852186 JFK852186 JPG852186 JZC852186 KIY852186 KSU852186 LCQ852186 LMM852186 LWI852186 MGE852186 MQA852186 MZW852186 NJS852186 NTO852186 ODK852186 ONG852186 OXC852186 PGY852186 PQU852186 QAQ852186 QKM852186 QUI852186 REE852186 ROA852186 RXW852186 SHS852186 SRO852186 TBK852186 TLG852186 TVC852186 UEY852186 UOU852186 UYQ852186 VIM852186 VSI852186 WCE852186 WMA852186 WVW852186 C917722:D917722 JK917722 TG917722 ADC917722 AMY917722 AWU917722 BGQ917722 BQM917722 CAI917722 CKE917722 CUA917722 DDW917722 DNS917722 DXO917722 EHK917722 ERG917722 FBC917722 FKY917722 FUU917722 GEQ917722 GOM917722 GYI917722 HIE917722 HSA917722 IBW917722 ILS917722 IVO917722 JFK917722 JPG917722 JZC917722 KIY917722 KSU917722 LCQ917722 LMM917722 LWI917722 MGE917722 MQA917722 MZW917722 NJS917722 NTO917722 ODK917722 ONG917722 OXC917722 PGY917722 PQU917722 QAQ917722 QKM917722 QUI917722 REE917722 ROA917722 RXW917722 SHS917722 SRO917722 TBK917722 TLG917722 TVC917722 UEY917722 UOU917722 UYQ917722 VIM917722 VSI917722 WCE917722 WMA917722 WVW917722 C983258:D983258 JK983258 TG983258 ADC983258 AMY983258 AWU983258 BGQ983258 BQM983258 CAI983258 CKE983258 CUA983258 DDW983258 DNS983258 DXO983258 EHK983258 ERG983258 FBC983258 FKY983258 FUU983258 GEQ983258 GOM983258 GYI983258 HIE983258 HSA983258 IBW983258 ILS983258 IVO983258 JFK983258 JPG983258 JZC983258 KIY983258 KSU983258 LCQ983258 LMM983258 LWI983258 MGE983258 MQA983258 MZW983258 NJS983258 NTO983258 ODK983258 ONG983258 OXC983258 PGY983258 PQU983258 QAQ983258 QKM983258 QUI983258 REE983258 ROA983258 RXW983258 SHS983258 SRO983258 TBK983258 TLG983258 TVC983258 UEY983258 UOU983258 UYQ983258 VIM983258 VSI983258 WCE983258 WMA983258 WVW983258" xr:uid="{00000000-0002-0000-0100-000006000000}"/>
  </dataValidations>
  <hyperlinks>
    <hyperlink ref="AE1" location="ins" display="Instructivo" xr:uid="{00000000-0004-0000-0100-000000000000}"/>
    <hyperlink ref="R212" location="ANTI" display="Información anticipos" xr:uid="{00000000-0004-0000-0100-000001000000}"/>
  </hyperlinks>
  <printOptions horizontalCentered="1"/>
  <pageMargins left="0" right="0" top="0" bottom="0" header="0" footer="0"/>
  <pageSetup scale="36" fitToHeight="0" orientation="landscape" verticalDpi="4294967295" r:id="rId1"/>
  <headerFooter alignWithMargins="0">
    <oddFooter>&amp;R&amp;"Arial,Normal"&amp;K01+000Página  &amp;P de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3">
    <tabColor theme="5" tint="0.39997558519241921"/>
    <pageSetUpPr fitToPage="1"/>
  </sheetPr>
  <dimension ref="A1:Q134"/>
  <sheetViews>
    <sheetView showGridLines="0" topLeftCell="A81" zoomScaleNormal="100" zoomScaleSheetLayoutView="100" zoomScalePageLayoutView="90" workbookViewId="0">
      <selection activeCell="K131" sqref="K131"/>
    </sheetView>
  </sheetViews>
  <sheetFormatPr baseColWidth="10" defaultColWidth="15.1640625" defaultRowHeight="20.100000000000001" customHeight="1" x14ac:dyDescent="0.2"/>
  <cols>
    <col min="1" max="1" width="31" style="61" customWidth="1"/>
    <col min="2" max="2" width="19.33203125" style="61" customWidth="1"/>
    <col min="3" max="3" width="17.6640625" style="61" customWidth="1"/>
    <col min="4" max="4" width="15.83203125" style="61" customWidth="1"/>
    <col min="5" max="5" width="11" style="61" customWidth="1"/>
    <col min="6" max="6" width="8.33203125" style="61" customWidth="1"/>
    <col min="7" max="7" width="8.5" style="61" customWidth="1"/>
    <col min="8" max="8" width="18.6640625" style="61" customWidth="1"/>
    <col min="9" max="9" width="12" style="61" customWidth="1"/>
    <col min="10" max="10" width="17.33203125" style="61" customWidth="1"/>
    <col min="11" max="11" width="18.1640625" style="61" customWidth="1"/>
    <col min="12" max="12" width="16.33203125" style="61" bestFit="1" customWidth="1"/>
    <col min="13" max="16" width="15.1640625" style="61"/>
    <col min="17" max="17" width="17.83203125" style="61" bestFit="1" customWidth="1"/>
    <col min="18" max="233" width="15.1640625" style="61"/>
    <col min="234" max="234" width="2.83203125" style="61" customWidth="1"/>
    <col min="235" max="235" width="26.33203125" style="61" customWidth="1"/>
    <col min="236" max="236" width="11.83203125" style="61" customWidth="1"/>
    <col min="237" max="237" width="17.6640625" style="61" customWidth="1"/>
    <col min="238" max="239" width="12.83203125" style="61" bestFit="1" customWidth="1"/>
    <col min="240" max="240" width="15.1640625" style="61"/>
    <col min="241" max="241" width="17.6640625" style="61" customWidth="1"/>
    <col min="242" max="242" width="15.5" style="61" customWidth="1"/>
    <col min="243" max="489" width="15.1640625" style="61"/>
    <col min="490" max="490" width="2.83203125" style="61" customWidth="1"/>
    <col min="491" max="491" width="26.33203125" style="61" customWidth="1"/>
    <col min="492" max="492" width="11.83203125" style="61" customWidth="1"/>
    <col min="493" max="493" width="17.6640625" style="61" customWidth="1"/>
    <col min="494" max="495" width="12.83203125" style="61" bestFit="1" customWidth="1"/>
    <col min="496" max="496" width="15.1640625" style="61"/>
    <col min="497" max="497" width="17.6640625" style="61" customWidth="1"/>
    <col min="498" max="498" width="15.5" style="61" customWidth="1"/>
    <col min="499" max="745" width="15.1640625" style="61"/>
    <col min="746" max="746" width="2.83203125" style="61" customWidth="1"/>
    <col min="747" max="747" width="26.33203125" style="61" customWidth="1"/>
    <col min="748" max="748" width="11.83203125" style="61" customWidth="1"/>
    <col min="749" max="749" width="17.6640625" style="61" customWidth="1"/>
    <col min="750" max="751" width="12.83203125" style="61" bestFit="1" customWidth="1"/>
    <col min="752" max="752" width="15.1640625" style="61"/>
    <col min="753" max="753" width="17.6640625" style="61" customWidth="1"/>
    <col min="754" max="754" width="15.5" style="61" customWidth="1"/>
    <col min="755" max="1001" width="15.1640625" style="61"/>
    <col min="1002" max="1002" width="2.83203125" style="61" customWidth="1"/>
    <col min="1003" max="1003" width="26.33203125" style="61" customWidth="1"/>
    <col min="1004" max="1004" width="11.83203125" style="61" customWidth="1"/>
    <col min="1005" max="1005" width="17.6640625" style="61" customWidth="1"/>
    <col min="1006" max="1007" width="12.83203125" style="61" bestFit="1" customWidth="1"/>
    <col min="1008" max="1008" width="15.1640625" style="61"/>
    <col min="1009" max="1009" width="17.6640625" style="61" customWidth="1"/>
    <col min="1010" max="1010" width="15.5" style="61" customWidth="1"/>
    <col min="1011" max="1257" width="15.1640625" style="61"/>
    <col min="1258" max="1258" width="2.83203125" style="61" customWidth="1"/>
    <col min="1259" max="1259" width="26.33203125" style="61" customWidth="1"/>
    <col min="1260" max="1260" width="11.83203125" style="61" customWidth="1"/>
    <col min="1261" max="1261" width="17.6640625" style="61" customWidth="1"/>
    <col min="1262" max="1263" width="12.83203125" style="61" bestFit="1" customWidth="1"/>
    <col min="1264" max="1264" width="15.1640625" style="61"/>
    <col min="1265" max="1265" width="17.6640625" style="61" customWidth="1"/>
    <col min="1266" max="1266" width="15.5" style="61" customWidth="1"/>
    <col min="1267" max="1513" width="15.1640625" style="61"/>
    <col min="1514" max="1514" width="2.83203125" style="61" customWidth="1"/>
    <col min="1515" max="1515" width="26.33203125" style="61" customWidth="1"/>
    <col min="1516" max="1516" width="11.83203125" style="61" customWidth="1"/>
    <col min="1517" max="1517" width="17.6640625" style="61" customWidth="1"/>
    <col min="1518" max="1519" width="12.83203125" style="61" bestFit="1" customWidth="1"/>
    <col min="1520" max="1520" width="15.1640625" style="61"/>
    <col min="1521" max="1521" width="17.6640625" style="61" customWidth="1"/>
    <col min="1522" max="1522" width="15.5" style="61" customWidth="1"/>
    <col min="1523" max="1769" width="15.1640625" style="61"/>
    <col min="1770" max="1770" width="2.83203125" style="61" customWidth="1"/>
    <col min="1771" max="1771" width="26.33203125" style="61" customWidth="1"/>
    <col min="1772" max="1772" width="11.83203125" style="61" customWidth="1"/>
    <col min="1773" max="1773" width="17.6640625" style="61" customWidth="1"/>
    <col min="1774" max="1775" width="12.83203125" style="61" bestFit="1" customWidth="1"/>
    <col min="1776" max="1776" width="15.1640625" style="61"/>
    <col min="1777" max="1777" width="17.6640625" style="61" customWidth="1"/>
    <col min="1778" max="1778" width="15.5" style="61" customWidth="1"/>
    <col min="1779" max="2025" width="15.1640625" style="61"/>
    <col min="2026" max="2026" width="2.83203125" style="61" customWidth="1"/>
    <col min="2027" max="2027" width="26.33203125" style="61" customWidth="1"/>
    <col min="2028" max="2028" width="11.83203125" style="61" customWidth="1"/>
    <col min="2029" max="2029" width="17.6640625" style="61" customWidth="1"/>
    <col min="2030" max="2031" width="12.83203125" style="61" bestFit="1" customWidth="1"/>
    <col min="2032" max="2032" width="15.1640625" style="61"/>
    <col min="2033" max="2033" width="17.6640625" style="61" customWidth="1"/>
    <col min="2034" max="2034" width="15.5" style="61" customWidth="1"/>
    <col min="2035" max="2281" width="15.1640625" style="61"/>
    <col min="2282" max="2282" width="2.83203125" style="61" customWidth="1"/>
    <col min="2283" max="2283" width="26.33203125" style="61" customWidth="1"/>
    <col min="2284" max="2284" width="11.83203125" style="61" customWidth="1"/>
    <col min="2285" max="2285" width="17.6640625" style="61" customWidth="1"/>
    <col min="2286" max="2287" width="12.83203125" style="61" bestFit="1" customWidth="1"/>
    <col min="2288" max="2288" width="15.1640625" style="61"/>
    <col min="2289" max="2289" width="17.6640625" style="61" customWidth="1"/>
    <col min="2290" max="2290" width="15.5" style="61" customWidth="1"/>
    <col min="2291" max="2537" width="15.1640625" style="61"/>
    <col min="2538" max="2538" width="2.83203125" style="61" customWidth="1"/>
    <col min="2539" max="2539" width="26.33203125" style="61" customWidth="1"/>
    <col min="2540" max="2540" width="11.83203125" style="61" customWidth="1"/>
    <col min="2541" max="2541" width="17.6640625" style="61" customWidth="1"/>
    <col min="2542" max="2543" width="12.83203125" style="61" bestFit="1" customWidth="1"/>
    <col min="2544" max="2544" width="15.1640625" style="61"/>
    <col min="2545" max="2545" width="17.6640625" style="61" customWidth="1"/>
    <col min="2546" max="2546" width="15.5" style="61" customWidth="1"/>
    <col min="2547" max="2793" width="15.1640625" style="61"/>
    <col min="2794" max="2794" width="2.83203125" style="61" customWidth="1"/>
    <col min="2795" max="2795" width="26.33203125" style="61" customWidth="1"/>
    <col min="2796" max="2796" width="11.83203125" style="61" customWidth="1"/>
    <col min="2797" max="2797" width="17.6640625" style="61" customWidth="1"/>
    <col min="2798" max="2799" width="12.83203125" style="61" bestFit="1" customWidth="1"/>
    <col min="2800" max="2800" width="15.1640625" style="61"/>
    <col min="2801" max="2801" width="17.6640625" style="61" customWidth="1"/>
    <col min="2802" max="2802" width="15.5" style="61" customWidth="1"/>
    <col min="2803" max="3049" width="15.1640625" style="61"/>
    <col min="3050" max="3050" width="2.83203125" style="61" customWidth="1"/>
    <col min="3051" max="3051" width="26.33203125" style="61" customWidth="1"/>
    <col min="3052" max="3052" width="11.83203125" style="61" customWidth="1"/>
    <col min="3053" max="3053" width="17.6640625" style="61" customWidth="1"/>
    <col min="3054" max="3055" width="12.83203125" style="61" bestFit="1" customWidth="1"/>
    <col min="3056" max="3056" width="15.1640625" style="61"/>
    <col min="3057" max="3057" width="17.6640625" style="61" customWidth="1"/>
    <col min="3058" max="3058" width="15.5" style="61" customWidth="1"/>
    <col min="3059" max="3305" width="15.1640625" style="61"/>
    <col min="3306" max="3306" width="2.83203125" style="61" customWidth="1"/>
    <col min="3307" max="3307" width="26.33203125" style="61" customWidth="1"/>
    <col min="3308" max="3308" width="11.83203125" style="61" customWidth="1"/>
    <col min="3309" max="3309" width="17.6640625" style="61" customWidth="1"/>
    <col min="3310" max="3311" width="12.83203125" style="61" bestFit="1" customWidth="1"/>
    <col min="3312" max="3312" width="15.1640625" style="61"/>
    <col min="3313" max="3313" width="17.6640625" style="61" customWidth="1"/>
    <col min="3314" max="3314" width="15.5" style="61" customWidth="1"/>
    <col min="3315" max="3561" width="15.1640625" style="61"/>
    <col min="3562" max="3562" width="2.83203125" style="61" customWidth="1"/>
    <col min="3563" max="3563" width="26.33203125" style="61" customWidth="1"/>
    <col min="3564" max="3564" width="11.83203125" style="61" customWidth="1"/>
    <col min="3565" max="3565" width="17.6640625" style="61" customWidth="1"/>
    <col min="3566" max="3567" width="12.83203125" style="61" bestFit="1" customWidth="1"/>
    <col min="3568" max="3568" width="15.1640625" style="61"/>
    <col min="3569" max="3569" width="17.6640625" style="61" customWidth="1"/>
    <col min="3570" max="3570" width="15.5" style="61" customWidth="1"/>
    <col min="3571" max="3817" width="15.1640625" style="61"/>
    <col min="3818" max="3818" width="2.83203125" style="61" customWidth="1"/>
    <col min="3819" max="3819" width="26.33203125" style="61" customWidth="1"/>
    <col min="3820" max="3820" width="11.83203125" style="61" customWidth="1"/>
    <col min="3821" max="3821" width="17.6640625" style="61" customWidth="1"/>
    <col min="3822" max="3823" width="12.83203125" style="61" bestFit="1" customWidth="1"/>
    <col min="3824" max="3824" width="15.1640625" style="61"/>
    <col min="3825" max="3825" width="17.6640625" style="61" customWidth="1"/>
    <col min="3826" max="3826" width="15.5" style="61" customWidth="1"/>
    <col min="3827" max="4073" width="15.1640625" style="61"/>
    <col min="4074" max="4074" width="2.83203125" style="61" customWidth="1"/>
    <col min="4075" max="4075" width="26.33203125" style="61" customWidth="1"/>
    <col min="4076" max="4076" width="11.83203125" style="61" customWidth="1"/>
    <col min="4077" max="4077" width="17.6640625" style="61" customWidth="1"/>
    <col min="4078" max="4079" width="12.83203125" style="61" bestFit="1" customWidth="1"/>
    <col min="4080" max="4080" width="15.1640625" style="61"/>
    <col min="4081" max="4081" width="17.6640625" style="61" customWidth="1"/>
    <col min="4082" max="4082" width="15.5" style="61" customWidth="1"/>
    <col min="4083" max="4329" width="15.1640625" style="61"/>
    <col min="4330" max="4330" width="2.83203125" style="61" customWidth="1"/>
    <col min="4331" max="4331" width="26.33203125" style="61" customWidth="1"/>
    <col min="4332" max="4332" width="11.83203125" style="61" customWidth="1"/>
    <col min="4333" max="4333" width="17.6640625" style="61" customWidth="1"/>
    <col min="4334" max="4335" width="12.83203125" style="61" bestFit="1" customWidth="1"/>
    <col min="4336" max="4336" width="15.1640625" style="61"/>
    <col min="4337" max="4337" width="17.6640625" style="61" customWidth="1"/>
    <col min="4338" max="4338" width="15.5" style="61" customWidth="1"/>
    <col min="4339" max="4585" width="15.1640625" style="61"/>
    <col min="4586" max="4586" width="2.83203125" style="61" customWidth="1"/>
    <col min="4587" max="4587" width="26.33203125" style="61" customWidth="1"/>
    <col min="4588" max="4588" width="11.83203125" style="61" customWidth="1"/>
    <col min="4589" max="4589" width="17.6640625" style="61" customWidth="1"/>
    <col min="4590" max="4591" width="12.83203125" style="61" bestFit="1" customWidth="1"/>
    <col min="4592" max="4592" width="15.1640625" style="61"/>
    <col min="4593" max="4593" width="17.6640625" style="61" customWidth="1"/>
    <col min="4594" max="4594" width="15.5" style="61" customWidth="1"/>
    <col min="4595" max="4841" width="15.1640625" style="61"/>
    <col min="4842" max="4842" width="2.83203125" style="61" customWidth="1"/>
    <col min="4843" max="4843" width="26.33203125" style="61" customWidth="1"/>
    <col min="4844" max="4844" width="11.83203125" style="61" customWidth="1"/>
    <col min="4845" max="4845" width="17.6640625" style="61" customWidth="1"/>
    <col min="4846" max="4847" width="12.83203125" style="61" bestFit="1" customWidth="1"/>
    <col min="4848" max="4848" width="15.1640625" style="61"/>
    <col min="4849" max="4849" width="17.6640625" style="61" customWidth="1"/>
    <col min="4850" max="4850" width="15.5" style="61" customWidth="1"/>
    <col min="4851" max="5097" width="15.1640625" style="61"/>
    <col min="5098" max="5098" width="2.83203125" style="61" customWidth="1"/>
    <col min="5099" max="5099" width="26.33203125" style="61" customWidth="1"/>
    <col min="5100" max="5100" width="11.83203125" style="61" customWidth="1"/>
    <col min="5101" max="5101" width="17.6640625" style="61" customWidth="1"/>
    <col min="5102" max="5103" width="12.83203125" style="61" bestFit="1" customWidth="1"/>
    <col min="5104" max="5104" width="15.1640625" style="61"/>
    <col min="5105" max="5105" width="17.6640625" style="61" customWidth="1"/>
    <col min="5106" max="5106" width="15.5" style="61" customWidth="1"/>
    <col min="5107" max="5353" width="15.1640625" style="61"/>
    <col min="5354" max="5354" width="2.83203125" style="61" customWidth="1"/>
    <col min="5355" max="5355" width="26.33203125" style="61" customWidth="1"/>
    <col min="5356" max="5356" width="11.83203125" style="61" customWidth="1"/>
    <col min="5357" max="5357" width="17.6640625" style="61" customWidth="1"/>
    <col min="5358" max="5359" width="12.83203125" style="61" bestFit="1" customWidth="1"/>
    <col min="5360" max="5360" width="15.1640625" style="61"/>
    <col min="5361" max="5361" width="17.6640625" style="61" customWidth="1"/>
    <col min="5362" max="5362" width="15.5" style="61" customWidth="1"/>
    <col min="5363" max="5609" width="15.1640625" style="61"/>
    <col min="5610" max="5610" width="2.83203125" style="61" customWidth="1"/>
    <col min="5611" max="5611" width="26.33203125" style="61" customWidth="1"/>
    <col min="5612" max="5612" width="11.83203125" style="61" customWidth="1"/>
    <col min="5613" max="5613" width="17.6640625" style="61" customWidth="1"/>
    <col min="5614" max="5615" width="12.83203125" style="61" bestFit="1" customWidth="1"/>
    <col min="5616" max="5616" width="15.1640625" style="61"/>
    <col min="5617" max="5617" width="17.6640625" style="61" customWidth="1"/>
    <col min="5618" max="5618" width="15.5" style="61" customWidth="1"/>
    <col min="5619" max="5865" width="15.1640625" style="61"/>
    <col min="5866" max="5866" width="2.83203125" style="61" customWidth="1"/>
    <col min="5867" max="5867" width="26.33203125" style="61" customWidth="1"/>
    <col min="5868" max="5868" width="11.83203125" style="61" customWidth="1"/>
    <col min="5869" max="5869" width="17.6640625" style="61" customWidth="1"/>
    <col min="5870" max="5871" width="12.83203125" style="61" bestFit="1" customWidth="1"/>
    <col min="5872" max="5872" width="15.1640625" style="61"/>
    <col min="5873" max="5873" width="17.6640625" style="61" customWidth="1"/>
    <col min="5874" max="5874" width="15.5" style="61" customWidth="1"/>
    <col min="5875" max="6121" width="15.1640625" style="61"/>
    <col min="6122" max="6122" width="2.83203125" style="61" customWidth="1"/>
    <col min="6123" max="6123" width="26.33203125" style="61" customWidth="1"/>
    <col min="6124" max="6124" width="11.83203125" style="61" customWidth="1"/>
    <col min="6125" max="6125" width="17.6640625" style="61" customWidth="1"/>
    <col min="6126" max="6127" width="12.83203125" style="61" bestFit="1" customWidth="1"/>
    <col min="6128" max="6128" width="15.1640625" style="61"/>
    <col min="6129" max="6129" width="17.6640625" style="61" customWidth="1"/>
    <col min="6130" max="6130" width="15.5" style="61" customWidth="1"/>
    <col min="6131" max="6377" width="15.1640625" style="61"/>
    <col min="6378" max="6378" width="2.83203125" style="61" customWidth="1"/>
    <col min="6379" max="6379" width="26.33203125" style="61" customWidth="1"/>
    <col min="6380" max="6380" width="11.83203125" style="61" customWidth="1"/>
    <col min="6381" max="6381" width="17.6640625" style="61" customWidth="1"/>
    <col min="6382" max="6383" width="12.83203125" style="61" bestFit="1" customWidth="1"/>
    <col min="6384" max="6384" width="15.1640625" style="61"/>
    <col min="6385" max="6385" width="17.6640625" style="61" customWidth="1"/>
    <col min="6386" max="6386" width="15.5" style="61" customWidth="1"/>
    <col min="6387" max="6633" width="15.1640625" style="61"/>
    <col min="6634" max="6634" width="2.83203125" style="61" customWidth="1"/>
    <col min="6635" max="6635" width="26.33203125" style="61" customWidth="1"/>
    <col min="6636" max="6636" width="11.83203125" style="61" customWidth="1"/>
    <col min="6637" max="6637" width="17.6640625" style="61" customWidth="1"/>
    <col min="6638" max="6639" width="12.83203125" style="61" bestFit="1" customWidth="1"/>
    <col min="6640" max="6640" width="15.1640625" style="61"/>
    <col min="6641" max="6641" width="17.6640625" style="61" customWidth="1"/>
    <col min="6642" max="6642" width="15.5" style="61" customWidth="1"/>
    <col min="6643" max="6889" width="15.1640625" style="61"/>
    <col min="6890" max="6890" width="2.83203125" style="61" customWidth="1"/>
    <col min="6891" max="6891" width="26.33203125" style="61" customWidth="1"/>
    <col min="6892" max="6892" width="11.83203125" style="61" customWidth="1"/>
    <col min="6893" max="6893" width="17.6640625" style="61" customWidth="1"/>
    <col min="6894" max="6895" width="12.83203125" style="61" bestFit="1" customWidth="1"/>
    <col min="6896" max="6896" width="15.1640625" style="61"/>
    <col min="6897" max="6897" width="17.6640625" style="61" customWidth="1"/>
    <col min="6898" max="6898" width="15.5" style="61" customWidth="1"/>
    <col min="6899" max="7145" width="15.1640625" style="61"/>
    <col min="7146" max="7146" width="2.83203125" style="61" customWidth="1"/>
    <col min="7147" max="7147" width="26.33203125" style="61" customWidth="1"/>
    <col min="7148" max="7148" width="11.83203125" style="61" customWidth="1"/>
    <col min="7149" max="7149" width="17.6640625" style="61" customWidth="1"/>
    <col min="7150" max="7151" width="12.83203125" style="61" bestFit="1" customWidth="1"/>
    <col min="7152" max="7152" width="15.1640625" style="61"/>
    <col min="7153" max="7153" width="17.6640625" style="61" customWidth="1"/>
    <col min="7154" max="7154" width="15.5" style="61" customWidth="1"/>
    <col min="7155" max="7401" width="15.1640625" style="61"/>
    <col min="7402" max="7402" width="2.83203125" style="61" customWidth="1"/>
    <col min="7403" max="7403" width="26.33203125" style="61" customWidth="1"/>
    <col min="7404" max="7404" width="11.83203125" style="61" customWidth="1"/>
    <col min="7405" max="7405" width="17.6640625" style="61" customWidth="1"/>
    <col min="7406" max="7407" width="12.83203125" style="61" bestFit="1" customWidth="1"/>
    <col min="7408" max="7408" width="15.1640625" style="61"/>
    <col min="7409" max="7409" width="17.6640625" style="61" customWidth="1"/>
    <col min="7410" max="7410" width="15.5" style="61" customWidth="1"/>
    <col min="7411" max="7657" width="15.1640625" style="61"/>
    <col min="7658" max="7658" width="2.83203125" style="61" customWidth="1"/>
    <col min="7659" max="7659" width="26.33203125" style="61" customWidth="1"/>
    <col min="7660" max="7660" width="11.83203125" style="61" customWidth="1"/>
    <col min="7661" max="7661" width="17.6640625" style="61" customWidth="1"/>
    <col min="7662" max="7663" width="12.83203125" style="61" bestFit="1" customWidth="1"/>
    <col min="7664" max="7664" width="15.1640625" style="61"/>
    <col min="7665" max="7665" width="17.6640625" style="61" customWidth="1"/>
    <col min="7666" max="7666" width="15.5" style="61" customWidth="1"/>
    <col min="7667" max="7913" width="15.1640625" style="61"/>
    <col min="7914" max="7914" width="2.83203125" style="61" customWidth="1"/>
    <col min="7915" max="7915" width="26.33203125" style="61" customWidth="1"/>
    <col min="7916" max="7916" width="11.83203125" style="61" customWidth="1"/>
    <col min="7917" max="7917" width="17.6640625" style="61" customWidth="1"/>
    <col min="7918" max="7919" width="12.83203125" style="61" bestFit="1" customWidth="1"/>
    <col min="7920" max="7920" width="15.1640625" style="61"/>
    <col min="7921" max="7921" width="17.6640625" style="61" customWidth="1"/>
    <col min="7922" max="7922" width="15.5" style="61" customWidth="1"/>
    <col min="7923" max="8169" width="15.1640625" style="61"/>
    <col min="8170" max="8170" width="2.83203125" style="61" customWidth="1"/>
    <col min="8171" max="8171" width="26.33203125" style="61" customWidth="1"/>
    <col min="8172" max="8172" width="11.83203125" style="61" customWidth="1"/>
    <col min="8173" max="8173" width="17.6640625" style="61" customWidth="1"/>
    <col min="8174" max="8175" width="12.83203125" style="61" bestFit="1" customWidth="1"/>
    <col min="8176" max="8176" width="15.1640625" style="61"/>
    <col min="8177" max="8177" width="17.6640625" style="61" customWidth="1"/>
    <col min="8178" max="8178" width="15.5" style="61" customWidth="1"/>
    <col min="8179" max="8425" width="15.1640625" style="61"/>
    <col min="8426" max="8426" width="2.83203125" style="61" customWidth="1"/>
    <col min="8427" max="8427" width="26.33203125" style="61" customWidth="1"/>
    <col min="8428" max="8428" width="11.83203125" style="61" customWidth="1"/>
    <col min="8429" max="8429" width="17.6640625" style="61" customWidth="1"/>
    <col min="8430" max="8431" width="12.83203125" style="61" bestFit="1" customWidth="1"/>
    <col min="8432" max="8432" width="15.1640625" style="61"/>
    <col min="8433" max="8433" width="17.6640625" style="61" customWidth="1"/>
    <col min="8434" max="8434" width="15.5" style="61" customWidth="1"/>
    <col min="8435" max="8681" width="15.1640625" style="61"/>
    <col min="8682" max="8682" width="2.83203125" style="61" customWidth="1"/>
    <col min="8683" max="8683" width="26.33203125" style="61" customWidth="1"/>
    <col min="8684" max="8684" width="11.83203125" style="61" customWidth="1"/>
    <col min="8685" max="8685" width="17.6640625" style="61" customWidth="1"/>
    <col min="8686" max="8687" width="12.83203125" style="61" bestFit="1" customWidth="1"/>
    <col min="8688" max="8688" width="15.1640625" style="61"/>
    <col min="8689" max="8689" width="17.6640625" style="61" customWidth="1"/>
    <col min="8690" max="8690" width="15.5" style="61" customWidth="1"/>
    <col min="8691" max="8937" width="15.1640625" style="61"/>
    <col min="8938" max="8938" width="2.83203125" style="61" customWidth="1"/>
    <col min="8939" max="8939" width="26.33203125" style="61" customWidth="1"/>
    <col min="8940" max="8940" width="11.83203125" style="61" customWidth="1"/>
    <col min="8941" max="8941" width="17.6640625" style="61" customWidth="1"/>
    <col min="8942" max="8943" width="12.83203125" style="61" bestFit="1" customWidth="1"/>
    <col min="8944" max="8944" width="15.1640625" style="61"/>
    <col min="8945" max="8945" width="17.6640625" style="61" customWidth="1"/>
    <col min="8946" max="8946" width="15.5" style="61" customWidth="1"/>
    <col min="8947" max="9193" width="15.1640625" style="61"/>
    <col min="9194" max="9194" width="2.83203125" style="61" customWidth="1"/>
    <col min="9195" max="9195" width="26.33203125" style="61" customWidth="1"/>
    <col min="9196" max="9196" width="11.83203125" style="61" customWidth="1"/>
    <col min="9197" max="9197" width="17.6640625" style="61" customWidth="1"/>
    <col min="9198" max="9199" width="12.83203125" style="61" bestFit="1" customWidth="1"/>
    <col min="9200" max="9200" width="15.1640625" style="61"/>
    <col min="9201" max="9201" width="17.6640625" style="61" customWidth="1"/>
    <col min="9202" max="9202" width="15.5" style="61" customWidth="1"/>
    <col min="9203" max="9449" width="15.1640625" style="61"/>
    <col min="9450" max="9450" width="2.83203125" style="61" customWidth="1"/>
    <col min="9451" max="9451" width="26.33203125" style="61" customWidth="1"/>
    <col min="9452" max="9452" width="11.83203125" style="61" customWidth="1"/>
    <col min="9453" max="9453" width="17.6640625" style="61" customWidth="1"/>
    <col min="9454" max="9455" width="12.83203125" style="61" bestFit="1" customWidth="1"/>
    <col min="9456" max="9456" width="15.1640625" style="61"/>
    <col min="9457" max="9457" width="17.6640625" style="61" customWidth="1"/>
    <col min="9458" max="9458" width="15.5" style="61" customWidth="1"/>
    <col min="9459" max="9705" width="15.1640625" style="61"/>
    <col min="9706" max="9706" width="2.83203125" style="61" customWidth="1"/>
    <col min="9707" max="9707" width="26.33203125" style="61" customWidth="1"/>
    <col min="9708" max="9708" width="11.83203125" style="61" customWidth="1"/>
    <col min="9709" max="9709" width="17.6640625" style="61" customWidth="1"/>
    <col min="9710" max="9711" width="12.83203125" style="61" bestFit="1" customWidth="1"/>
    <col min="9712" max="9712" width="15.1640625" style="61"/>
    <col min="9713" max="9713" width="17.6640625" style="61" customWidth="1"/>
    <col min="9714" max="9714" width="15.5" style="61" customWidth="1"/>
    <col min="9715" max="9961" width="15.1640625" style="61"/>
    <col min="9962" max="9962" width="2.83203125" style="61" customWidth="1"/>
    <col min="9963" max="9963" width="26.33203125" style="61" customWidth="1"/>
    <col min="9964" max="9964" width="11.83203125" style="61" customWidth="1"/>
    <col min="9965" max="9965" width="17.6640625" style="61" customWidth="1"/>
    <col min="9966" max="9967" width="12.83203125" style="61" bestFit="1" customWidth="1"/>
    <col min="9968" max="9968" width="15.1640625" style="61"/>
    <col min="9969" max="9969" width="17.6640625" style="61" customWidth="1"/>
    <col min="9970" max="9970" width="15.5" style="61" customWidth="1"/>
    <col min="9971" max="10217" width="15.1640625" style="61"/>
    <col min="10218" max="10218" width="2.83203125" style="61" customWidth="1"/>
    <col min="10219" max="10219" width="26.33203125" style="61" customWidth="1"/>
    <col min="10220" max="10220" width="11.83203125" style="61" customWidth="1"/>
    <col min="10221" max="10221" width="17.6640625" style="61" customWidth="1"/>
    <col min="10222" max="10223" width="12.83203125" style="61" bestFit="1" customWidth="1"/>
    <col min="10224" max="10224" width="15.1640625" style="61"/>
    <col min="10225" max="10225" width="17.6640625" style="61" customWidth="1"/>
    <col min="10226" max="10226" width="15.5" style="61" customWidth="1"/>
    <col min="10227" max="10473" width="15.1640625" style="61"/>
    <col min="10474" max="10474" width="2.83203125" style="61" customWidth="1"/>
    <col min="10475" max="10475" width="26.33203125" style="61" customWidth="1"/>
    <col min="10476" max="10476" width="11.83203125" style="61" customWidth="1"/>
    <col min="10477" max="10477" width="17.6640625" style="61" customWidth="1"/>
    <col min="10478" max="10479" width="12.83203125" style="61" bestFit="1" customWidth="1"/>
    <col min="10480" max="10480" width="15.1640625" style="61"/>
    <col min="10481" max="10481" width="17.6640625" style="61" customWidth="1"/>
    <col min="10482" max="10482" width="15.5" style="61" customWidth="1"/>
    <col min="10483" max="10729" width="15.1640625" style="61"/>
    <col min="10730" max="10730" width="2.83203125" style="61" customWidth="1"/>
    <col min="10731" max="10731" width="26.33203125" style="61" customWidth="1"/>
    <col min="10732" max="10732" width="11.83203125" style="61" customWidth="1"/>
    <col min="10733" max="10733" width="17.6640625" style="61" customWidth="1"/>
    <col min="10734" max="10735" width="12.83203125" style="61" bestFit="1" customWidth="1"/>
    <col min="10736" max="10736" width="15.1640625" style="61"/>
    <col min="10737" max="10737" width="17.6640625" style="61" customWidth="1"/>
    <col min="10738" max="10738" width="15.5" style="61" customWidth="1"/>
    <col min="10739" max="10985" width="15.1640625" style="61"/>
    <col min="10986" max="10986" width="2.83203125" style="61" customWidth="1"/>
    <col min="10987" max="10987" width="26.33203125" style="61" customWidth="1"/>
    <col min="10988" max="10988" width="11.83203125" style="61" customWidth="1"/>
    <col min="10989" max="10989" width="17.6640625" style="61" customWidth="1"/>
    <col min="10990" max="10991" width="12.83203125" style="61" bestFit="1" customWidth="1"/>
    <col min="10992" max="10992" width="15.1640625" style="61"/>
    <col min="10993" max="10993" width="17.6640625" style="61" customWidth="1"/>
    <col min="10994" max="10994" width="15.5" style="61" customWidth="1"/>
    <col min="10995" max="11241" width="15.1640625" style="61"/>
    <col min="11242" max="11242" width="2.83203125" style="61" customWidth="1"/>
    <col min="11243" max="11243" width="26.33203125" style="61" customWidth="1"/>
    <col min="11244" max="11244" width="11.83203125" style="61" customWidth="1"/>
    <col min="11245" max="11245" width="17.6640625" style="61" customWidth="1"/>
    <col min="11246" max="11247" width="12.83203125" style="61" bestFit="1" customWidth="1"/>
    <col min="11248" max="11248" width="15.1640625" style="61"/>
    <col min="11249" max="11249" width="17.6640625" style="61" customWidth="1"/>
    <col min="11250" max="11250" width="15.5" style="61" customWidth="1"/>
    <col min="11251" max="11497" width="15.1640625" style="61"/>
    <col min="11498" max="11498" width="2.83203125" style="61" customWidth="1"/>
    <col min="11499" max="11499" width="26.33203125" style="61" customWidth="1"/>
    <col min="11500" max="11500" width="11.83203125" style="61" customWidth="1"/>
    <col min="11501" max="11501" width="17.6640625" style="61" customWidth="1"/>
    <col min="11502" max="11503" width="12.83203125" style="61" bestFit="1" customWidth="1"/>
    <col min="11504" max="11504" width="15.1640625" style="61"/>
    <col min="11505" max="11505" width="17.6640625" style="61" customWidth="1"/>
    <col min="11506" max="11506" width="15.5" style="61" customWidth="1"/>
    <col min="11507" max="11753" width="15.1640625" style="61"/>
    <col min="11754" max="11754" width="2.83203125" style="61" customWidth="1"/>
    <col min="11755" max="11755" width="26.33203125" style="61" customWidth="1"/>
    <col min="11756" max="11756" width="11.83203125" style="61" customWidth="1"/>
    <col min="11757" max="11757" width="17.6640625" style="61" customWidth="1"/>
    <col min="11758" max="11759" width="12.83203125" style="61" bestFit="1" customWidth="1"/>
    <col min="11760" max="11760" width="15.1640625" style="61"/>
    <col min="11761" max="11761" width="17.6640625" style="61" customWidth="1"/>
    <col min="11762" max="11762" width="15.5" style="61" customWidth="1"/>
    <col min="11763" max="12009" width="15.1640625" style="61"/>
    <col min="12010" max="12010" width="2.83203125" style="61" customWidth="1"/>
    <col min="12011" max="12011" width="26.33203125" style="61" customWidth="1"/>
    <col min="12012" max="12012" width="11.83203125" style="61" customWidth="1"/>
    <col min="12013" max="12013" width="17.6640625" style="61" customWidth="1"/>
    <col min="12014" max="12015" width="12.83203125" style="61" bestFit="1" customWidth="1"/>
    <col min="12016" max="12016" width="15.1640625" style="61"/>
    <col min="12017" max="12017" width="17.6640625" style="61" customWidth="1"/>
    <col min="12018" max="12018" width="15.5" style="61" customWidth="1"/>
    <col min="12019" max="12265" width="15.1640625" style="61"/>
    <col min="12266" max="12266" width="2.83203125" style="61" customWidth="1"/>
    <col min="12267" max="12267" width="26.33203125" style="61" customWidth="1"/>
    <col min="12268" max="12268" width="11.83203125" style="61" customWidth="1"/>
    <col min="12269" max="12269" width="17.6640625" style="61" customWidth="1"/>
    <col min="12270" max="12271" width="12.83203125" style="61" bestFit="1" customWidth="1"/>
    <col min="12272" max="12272" width="15.1640625" style="61"/>
    <col min="12273" max="12273" width="17.6640625" style="61" customWidth="1"/>
    <col min="12274" max="12274" width="15.5" style="61" customWidth="1"/>
    <col min="12275" max="12521" width="15.1640625" style="61"/>
    <col min="12522" max="12522" width="2.83203125" style="61" customWidth="1"/>
    <col min="12523" max="12523" width="26.33203125" style="61" customWidth="1"/>
    <col min="12524" max="12524" width="11.83203125" style="61" customWidth="1"/>
    <col min="12525" max="12525" width="17.6640625" style="61" customWidth="1"/>
    <col min="12526" max="12527" width="12.83203125" style="61" bestFit="1" customWidth="1"/>
    <col min="12528" max="12528" width="15.1640625" style="61"/>
    <col min="12529" max="12529" width="17.6640625" style="61" customWidth="1"/>
    <col min="12530" max="12530" width="15.5" style="61" customWidth="1"/>
    <col min="12531" max="12777" width="15.1640625" style="61"/>
    <col min="12778" max="12778" width="2.83203125" style="61" customWidth="1"/>
    <col min="12779" max="12779" width="26.33203125" style="61" customWidth="1"/>
    <col min="12780" max="12780" width="11.83203125" style="61" customWidth="1"/>
    <col min="12781" max="12781" width="17.6640625" style="61" customWidth="1"/>
    <col min="12782" max="12783" width="12.83203125" style="61" bestFit="1" customWidth="1"/>
    <col min="12784" max="12784" width="15.1640625" style="61"/>
    <col min="12785" max="12785" width="17.6640625" style="61" customWidth="1"/>
    <col min="12786" max="12786" width="15.5" style="61" customWidth="1"/>
    <col min="12787" max="13033" width="15.1640625" style="61"/>
    <col min="13034" max="13034" width="2.83203125" style="61" customWidth="1"/>
    <col min="13035" max="13035" width="26.33203125" style="61" customWidth="1"/>
    <col min="13036" max="13036" width="11.83203125" style="61" customWidth="1"/>
    <col min="13037" max="13037" width="17.6640625" style="61" customWidth="1"/>
    <col min="13038" max="13039" width="12.83203125" style="61" bestFit="1" customWidth="1"/>
    <col min="13040" max="13040" width="15.1640625" style="61"/>
    <col min="13041" max="13041" width="17.6640625" style="61" customWidth="1"/>
    <col min="13042" max="13042" width="15.5" style="61" customWidth="1"/>
    <col min="13043" max="13289" width="15.1640625" style="61"/>
    <col min="13290" max="13290" width="2.83203125" style="61" customWidth="1"/>
    <col min="13291" max="13291" width="26.33203125" style="61" customWidth="1"/>
    <col min="13292" max="13292" width="11.83203125" style="61" customWidth="1"/>
    <col min="13293" max="13293" width="17.6640625" style="61" customWidth="1"/>
    <col min="13294" max="13295" width="12.83203125" style="61" bestFit="1" customWidth="1"/>
    <col min="13296" max="13296" width="15.1640625" style="61"/>
    <col min="13297" max="13297" width="17.6640625" style="61" customWidth="1"/>
    <col min="13298" max="13298" width="15.5" style="61" customWidth="1"/>
    <col min="13299" max="13545" width="15.1640625" style="61"/>
    <col min="13546" max="13546" width="2.83203125" style="61" customWidth="1"/>
    <col min="13547" max="13547" width="26.33203125" style="61" customWidth="1"/>
    <col min="13548" max="13548" width="11.83203125" style="61" customWidth="1"/>
    <col min="13549" max="13549" width="17.6640625" style="61" customWidth="1"/>
    <col min="13550" max="13551" width="12.83203125" style="61" bestFit="1" customWidth="1"/>
    <col min="13552" max="13552" width="15.1640625" style="61"/>
    <col min="13553" max="13553" width="17.6640625" style="61" customWidth="1"/>
    <col min="13554" max="13554" width="15.5" style="61" customWidth="1"/>
    <col min="13555" max="13801" width="15.1640625" style="61"/>
    <col min="13802" max="13802" width="2.83203125" style="61" customWidth="1"/>
    <col min="13803" max="13803" width="26.33203125" style="61" customWidth="1"/>
    <col min="13804" max="13804" width="11.83203125" style="61" customWidth="1"/>
    <col min="13805" max="13805" width="17.6640625" style="61" customWidth="1"/>
    <col min="13806" max="13807" width="12.83203125" style="61" bestFit="1" customWidth="1"/>
    <col min="13808" max="13808" width="15.1640625" style="61"/>
    <col min="13809" max="13809" width="17.6640625" style="61" customWidth="1"/>
    <col min="13810" max="13810" width="15.5" style="61" customWidth="1"/>
    <col min="13811" max="14057" width="15.1640625" style="61"/>
    <col min="14058" max="14058" width="2.83203125" style="61" customWidth="1"/>
    <col min="14059" max="14059" width="26.33203125" style="61" customWidth="1"/>
    <col min="14060" max="14060" width="11.83203125" style="61" customWidth="1"/>
    <col min="14061" max="14061" width="17.6640625" style="61" customWidth="1"/>
    <col min="14062" max="14063" width="12.83203125" style="61" bestFit="1" customWidth="1"/>
    <col min="14064" max="14064" width="15.1640625" style="61"/>
    <col min="14065" max="14065" width="17.6640625" style="61" customWidth="1"/>
    <col min="14066" max="14066" width="15.5" style="61" customWidth="1"/>
    <col min="14067" max="14313" width="15.1640625" style="61"/>
    <col min="14314" max="14314" width="2.83203125" style="61" customWidth="1"/>
    <col min="14315" max="14315" width="26.33203125" style="61" customWidth="1"/>
    <col min="14316" max="14316" width="11.83203125" style="61" customWidth="1"/>
    <col min="14317" max="14317" width="17.6640625" style="61" customWidth="1"/>
    <col min="14318" max="14319" width="12.83203125" style="61" bestFit="1" customWidth="1"/>
    <col min="14320" max="14320" width="15.1640625" style="61"/>
    <col min="14321" max="14321" width="17.6640625" style="61" customWidth="1"/>
    <col min="14322" max="14322" width="15.5" style="61" customWidth="1"/>
    <col min="14323" max="14569" width="15.1640625" style="61"/>
    <col min="14570" max="14570" width="2.83203125" style="61" customWidth="1"/>
    <col min="14571" max="14571" width="26.33203125" style="61" customWidth="1"/>
    <col min="14572" max="14572" width="11.83203125" style="61" customWidth="1"/>
    <col min="14573" max="14573" width="17.6640625" style="61" customWidth="1"/>
    <col min="14574" max="14575" width="12.83203125" style="61" bestFit="1" customWidth="1"/>
    <col min="14576" max="14576" width="15.1640625" style="61"/>
    <col min="14577" max="14577" width="17.6640625" style="61" customWidth="1"/>
    <col min="14578" max="14578" width="15.5" style="61" customWidth="1"/>
    <col min="14579" max="14825" width="15.1640625" style="61"/>
    <col min="14826" max="14826" width="2.83203125" style="61" customWidth="1"/>
    <col min="14827" max="14827" width="26.33203125" style="61" customWidth="1"/>
    <col min="14828" max="14828" width="11.83203125" style="61" customWidth="1"/>
    <col min="14829" max="14829" width="17.6640625" style="61" customWidth="1"/>
    <col min="14830" max="14831" width="12.83203125" style="61" bestFit="1" customWidth="1"/>
    <col min="14832" max="14832" width="15.1640625" style="61"/>
    <col min="14833" max="14833" width="17.6640625" style="61" customWidth="1"/>
    <col min="14834" max="14834" width="15.5" style="61" customWidth="1"/>
    <col min="14835" max="15081" width="15.1640625" style="61"/>
    <col min="15082" max="15082" width="2.83203125" style="61" customWidth="1"/>
    <col min="15083" max="15083" width="26.33203125" style="61" customWidth="1"/>
    <col min="15084" max="15084" width="11.83203125" style="61" customWidth="1"/>
    <col min="15085" max="15085" width="17.6640625" style="61" customWidth="1"/>
    <col min="15086" max="15087" width="12.83203125" style="61" bestFit="1" customWidth="1"/>
    <col min="15088" max="15088" width="15.1640625" style="61"/>
    <col min="15089" max="15089" width="17.6640625" style="61" customWidth="1"/>
    <col min="15090" max="15090" width="15.5" style="61" customWidth="1"/>
    <col min="15091" max="15337" width="15.1640625" style="61"/>
    <col min="15338" max="15338" width="2.83203125" style="61" customWidth="1"/>
    <col min="15339" max="15339" width="26.33203125" style="61" customWidth="1"/>
    <col min="15340" max="15340" width="11.83203125" style="61" customWidth="1"/>
    <col min="15341" max="15341" width="17.6640625" style="61" customWidth="1"/>
    <col min="15342" max="15343" width="12.83203125" style="61" bestFit="1" customWidth="1"/>
    <col min="15344" max="15344" width="15.1640625" style="61"/>
    <col min="15345" max="15345" width="17.6640625" style="61" customWidth="1"/>
    <col min="15346" max="15346" width="15.5" style="61" customWidth="1"/>
    <col min="15347" max="15593" width="15.1640625" style="61"/>
    <col min="15594" max="15594" width="2.83203125" style="61" customWidth="1"/>
    <col min="15595" max="15595" width="26.33203125" style="61" customWidth="1"/>
    <col min="15596" max="15596" width="11.83203125" style="61" customWidth="1"/>
    <col min="15597" max="15597" width="17.6640625" style="61" customWidth="1"/>
    <col min="15598" max="15599" width="12.83203125" style="61" bestFit="1" customWidth="1"/>
    <col min="15600" max="15600" width="15.1640625" style="61"/>
    <col min="15601" max="15601" width="17.6640625" style="61" customWidth="1"/>
    <col min="15602" max="15602" width="15.5" style="61" customWidth="1"/>
    <col min="15603" max="15849" width="15.1640625" style="61"/>
    <col min="15850" max="15850" width="2.83203125" style="61" customWidth="1"/>
    <col min="15851" max="15851" width="26.33203125" style="61" customWidth="1"/>
    <col min="15852" max="15852" width="11.83203125" style="61" customWidth="1"/>
    <col min="15853" max="15853" width="17.6640625" style="61" customWidth="1"/>
    <col min="15854" max="15855" width="12.83203125" style="61" bestFit="1" customWidth="1"/>
    <col min="15856" max="15856" width="15.1640625" style="61"/>
    <col min="15857" max="15857" width="17.6640625" style="61" customWidth="1"/>
    <col min="15858" max="15858" width="15.5" style="61" customWidth="1"/>
    <col min="15859" max="16105" width="15.1640625" style="61"/>
    <col min="16106" max="16106" width="2.83203125" style="61" customWidth="1"/>
    <col min="16107" max="16107" width="26.33203125" style="61" customWidth="1"/>
    <col min="16108" max="16108" width="11.83203125" style="61" customWidth="1"/>
    <col min="16109" max="16109" width="17.6640625" style="61" customWidth="1"/>
    <col min="16110" max="16111" width="12.83203125" style="61" bestFit="1" customWidth="1"/>
    <col min="16112" max="16112" width="15.1640625" style="61"/>
    <col min="16113" max="16113" width="17.6640625" style="61" customWidth="1"/>
    <col min="16114" max="16114" width="15.5" style="61" customWidth="1"/>
    <col min="16115" max="16384" width="15.1640625" style="61"/>
  </cols>
  <sheetData>
    <row r="1" spans="1:16" ht="20.100000000000001" customHeight="1" x14ac:dyDescent="0.2">
      <c r="A1" s="1129"/>
      <c r="B1" s="1130"/>
      <c r="C1" s="1135" t="s">
        <v>0</v>
      </c>
      <c r="D1" s="1135"/>
      <c r="E1" s="1135"/>
      <c r="F1" s="1135"/>
      <c r="G1" s="1135"/>
      <c r="H1" s="1135"/>
      <c r="I1" s="1135"/>
      <c r="J1" s="1135"/>
      <c r="K1" s="1135"/>
      <c r="L1" s="1135"/>
      <c r="M1" s="1135"/>
      <c r="N1" s="1135"/>
      <c r="O1" s="1136"/>
      <c r="P1" s="62"/>
    </row>
    <row r="2" spans="1:16" ht="20.100000000000001" customHeight="1" x14ac:dyDescent="0.2">
      <c r="A2" s="1131"/>
      <c r="B2" s="1132"/>
      <c r="C2" s="1137" t="s">
        <v>367</v>
      </c>
      <c r="D2" s="1137"/>
      <c r="E2" s="1137"/>
      <c r="F2" s="1137"/>
      <c r="G2" s="1137"/>
      <c r="H2" s="1137"/>
      <c r="I2" s="1137"/>
      <c r="J2" s="1137"/>
      <c r="K2" s="1137"/>
      <c r="L2" s="1137"/>
      <c r="M2" s="1137"/>
      <c r="N2" s="1137"/>
      <c r="O2" s="1138"/>
    </row>
    <row r="3" spans="1:16" ht="20.100000000000001" customHeight="1" x14ac:dyDescent="0.2">
      <c r="A3" s="1133"/>
      <c r="B3" s="1134"/>
      <c r="C3" s="1139" t="s">
        <v>2</v>
      </c>
      <c r="D3" s="1139"/>
      <c r="E3" s="1139"/>
      <c r="F3" s="1139"/>
      <c r="G3" s="1139"/>
      <c r="H3" s="953" t="str">
        <f>Instructivo!G3</f>
        <v>VERSIÓN: 04</v>
      </c>
      <c r="I3" s="1140"/>
      <c r="J3" s="1140"/>
      <c r="K3" s="1140"/>
      <c r="L3" s="1140"/>
      <c r="M3" s="1140"/>
      <c r="N3" s="1140"/>
      <c r="O3" s="955"/>
    </row>
    <row r="4" spans="1:16" ht="20.100000000000001" customHeight="1" x14ac:dyDescent="0.2">
      <c r="A4" s="946"/>
      <c r="B4" s="946"/>
      <c r="C4" s="946"/>
      <c r="D4" s="946"/>
      <c r="E4" s="946"/>
      <c r="F4" s="946"/>
      <c r="G4" s="946"/>
      <c r="H4" s="946"/>
      <c r="I4" s="946"/>
    </row>
    <row r="5" spans="1:16" ht="19.5" customHeight="1" x14ac:dyDescent="0.2">
      <c r="A5" s="1093" t="s">
        <v>106</v>
      </c>
      <c r="B5" s="1093"/>
      <c r="C5" s="956" t="str">
        <f>'Plan Ejecución'!C5:AD5</f>
        <v>Licitación Pública</v>
      </c>
      <c r="D5" s="957"/>
      <c r="E5" s="957"/>
      <c r="F5" s="957"/>
      <c r="G5" s="957"/>
      <c r="H5" s="957"/>
      <c r="I5" s="957"/>
      <c r="J5" s="957"/>
      <c r="K5" s="957"/>
      <c r="L5" s="957"/>
      <c r="M5" s="957"/>
      <c r="N5" s="957"/>
      <c r="O5" s="958"/>
    </row>
    <row r="6" spans="1:16" ht="28.5" customHeight="1" x14ac:dyDescent="0.2">
      <c r="A6" s="1093" t="s">
        <v>108</v>
      </c>
      <c r="B6" s="1093"/>
      <c r="C6" s="956" t="str">
        <f>'Plan Ejecución'!C6:AD6</f>
        <v>“Adquirir el Programa de Seguros para la protección de los bienes e intereses, según los ramos y coberturas que requiera CORANTIOQUIA”.</v>
      </c>
      <c r="D6" s="957"/>
      <c r="E6" s="957"/>
      <c r="F6" s="957"/>
      <c r="G6" s="957"/>
      <c r="H6" s="957"/>
      <c r="I6" s="957"/>
      <c r="J6" s="957"/>
      <c r="K6" s="957"/>
      <c r="L6" s="957"/>
      <c r="M6" s="957"/>
      <c r="N6" s="957"/>
      <c r="O6" s="958"/>
    </row>
    <row r="7" spans="1:16" ht="20.100000000000001" customHeight="1" x14ac:dyDescent="0.2">
      <c r="D7" s="69"/>
      <c r="E7" s="69"/>
      <c r="F7" s="69"/>
      <c r="G7" s="69"/>
      <c r="H7" s="69"/>
    </row>
    <row r="8" spans="1:16" ht="19.5" hidden="1" customHeight="1" x14ac:dyDescent="0.2">
      <c r="A8" s="1151" t="s">
        <v>368</v>
      </c>
      <c r="B8" s="1152"/>
      <c r="C8" s="1152"/>
      <c r="D8" s="1152"/>
      <c r="E8" s="1152"/>
      <c r="F8" s="1152"/>
      <c r="G8" s="1152"/>
      <c r="H8" s="1152"/>
      <c r="I8" s="1153"/>
      <c r="J8" s="1157" t="s">
        <v>369</v>
      </c>
      <c r="K8" s="1158"/>
      <c r="L8" s="1158"/>
      <c r="M8" s="1158"/>
      <c r="N8" s="1158"/>
      <c r="O8" s="1159"/>
    </row>
    <row r="9" spans="1:16" ht="27.75" hidden="1" customHeight="1" x14ac:dyDescent="0.2">
      <c r="A9" s="348" t="s">
        <v>370</v>
      </c>
      <c r="B9" s="100" t="s">
        <v>371</v>
      </c>
      <c r="C9" s="100" t="s">
        <v>372</v>
      </c>
      <c r="D9" s="100" t="s">
        <v>119</v>
      </c>
      <c r="E9" s="100" t="s">
        <v>373</v>
      </c>
      <c r="F9" s="100" t="s">
        <v>374</v>
      </c>
      <c r="G9" s="100" t="s">
        <v>375</v>
      </c>
      <c r="H9" s="100" t="s">
        <v>376</v>
      </c>
      <c r="I9" s="101" t="s">
        <v>377</v>
      </c>
      <c r="J9" s="387" t="s">
        <v>149</v>
      </c>
      <c r="K9" s="388" t="s">
        <v>151</v>
      </c>
      <c r="L9" s="388" t="s">
        <v>153</v>
      </c>
      <c r="M9" s="388" t="s">
        <v>155</v>
      </c>
      <c r="N9" s="388" t="s">
        <v>157</v>
      </c>
      <c r="O9" s="389" t="s">
        <v>311</v>
      </c>
    </row>
    <row r="10" spans="1:16" ht="20.100000000000001" hidden="1" customHeight="1" x14ac:dyDescent="0.2">
      <c r="A10" s="1154" t="s">
        <v>378</v>
      </c>
      <c r="B10" s="1155"/>
      <c r="C10" s="1155"/>
      <c r="D10" s="1155"/>
      <c r="E10" s="1155"/>
      <c r="F10" s="1155"/>
      <c r="G10" s="1155"/>
      <c r="H10" s="1155"/>
      <c r="I10" s="1156"/>
      <c r="J10" s="365"/>
      <c r="K10" s="364"/>
      <c r="L10" s="364"/>
      <c r="M10" s="364"/>
      <c r="N10" s="364"/>
      <c r="O10" s="386"/>
    </row>
    <row r="11" spans="1:16" ht="20.100000000000001" hidden="1" customHeight="1" x14ac:dyDescent="0.2">
      <c r="A11" s="8"/>
      <c r="B11" s="552"/>
      <c r="C11" s="4"/>
      <c r="D11" s="3"/>
      <c r="E11" s="607"/>
      <c r="F11" s="9" t="str">
        <f>IFERROR(VLOOKUP(A11,Honorarios!$A$9:$C$15,2,FALSE),"")</f>
        <v/>
      </c>
      <c r="G11" s="553" t="str">
        <f>IFERROR(((VLOOKUP(A11,Honorarios!$A$9:$C$15,3,FALSE))),"")</f>
        <v/>
      </c>
      <c r="H11" s="102">
        <f>IFERROR(B11*C11*E11*F11*G11,0)</f>
        <v>0</v>
      </c>
      <c r="I11" s="122">
        <f>IFERROR(H11/$H$80,0)</f>
        <v>0</v>
      </c>
      <c r="J11" s="608"/>
      <c r="K11" s="364"/>
      <c r="L11" s="609"/>
      <c r="M11" s="364"/>
      <c r="N11" s="364"/>
      <c r="O11" s="386"/>
    </row>
    <row r="12" spans="1:16" ht="20.100000000000001" hidden="1" customHeight="1" x14ac:dyDescent="0.2">
      <c r="A12" s="8"/>
      <c r="B12" s="552"/>
      <c r="C12" s="4"/>
      <c r="D12" s="3"/>
      <c r="E12" s="607"/>
      <c r="F12" s="9" t="str">
        <f>IFERROR(VLOOKUP(A12,Honorarios!$A$9:$C$15,2,FALSE),"")</f>
        <v/>
      </c>
      <c r="G12" s="553" t="str">
        <f>IFERROR(((VLOOKUP(A12,Honorarios!$A$9:$C$15,3,FALSE))),"")</f>
        <v/>
      </c>
      <c r="H12" s="102">
        <f t="shared" ref="H12:H51" si="0">IFERROR(B12*C12*E12*F12*G12,0)</f>
        <v>0</v>
      </c>
      <c r="I12" s="122">
        <f t="shared" ref="I12:I51" si="1">IFERROR(H12/$H$80,0)</f>
        <v>0</v>
      </c>
      <c r="J12" s="365"/>
      <c r="K12" s="609"/>
      <c r="L12" s="609"/>
      <c r="M12" s="364"/>
      <c r="N12" s="364"/>
      <c r="O12" s="386"/>
    </row>
    <row r="13" spans="1:16" ht="20.100000000000001" hidden="1" customHeight="1" x14ac:dyDescent="0.2">
      <c r="A13" s="8"/>
      <c r="B13" s="552"/>
      <c r="C13" s="4"/>
      <c r="D13" s="3"/>
      <c r="E13" s="607"/>
      <c r="F13" s="9" t="str">
        <f>IFERROR(VLOOKUP(A13,Honorarios!$A$9:$C$15,2,FALSE),"")</f>
        <v/>
      </c>
      <c r="G13" s="553" t="str">
        <f>IFERROR(((VLOOKUP(A13,Honorarios!$A$9:$C$15,3,FALSE))),"")</f>
        <v/>
      </c>
      <c r="H13" s="102">
        <f t="shared" ref="H13:H27" si="2">IFERROR(B13*C13*E13*F13*G13,0)</f>
        <v>0</v>
      </c>
      <c r="I13" s="122">
        <f t="shared" ref="I13:I27" si="3">IFERROR(H13/$H$80,0)</f>
        <v>0</v>
      </c>
      <c r="J13" s="365"/>
      <c r="K13" s="609"/>
      <c r="L13" s="609"/>
      <c r="M13" s="364"/>
      <c r="N13" s="364"/>
      <c r="O13" s="386"/>
    </row>
    <row r="14" spans="1:16" ht="20.100000000000001" hidden="1" customHeight="1" x14ac:dyDescent="0.2">
      <c r="A14" s="8"/>
      <c r="B14" s="552"/>
      <c r="C14" s="4"/>
      <c r="D14" s="3"/>
      <c r="E14" s="607"/>
      <c r="F14" s="9" t="str">
        <f>IFERROR(VLOOKUP(A14,Honorarios!$A$9:$C$15,2,FALSE),"")</f>
        <v/>
      </c>
      <c r="G14" s="553" t="str">
        <f>IFERROR(((VLOOKUP(A14,Honorarios!$A$9:$C$15,3,FALSE))),"")</f>
        <v/>
      </c>
      <c r="H14" s="102">
        <f t="shared" si="2"/>
        <v>0</v>
      </c>
      <c r="I14" s="122">
        <f t="shared" si="3"/>
        <v>0</v>
      </c>
      <c r="J14" s="365"/>
      <c r="K14" s="609"/>
      <c r="L14" s="609"/>
      <c r="M14" s="364"/>
      <c r="N14" s="364"/>
      <c r="O14" s="386"/>
    </row>
    <row r="15" spans="1:16" ht="20.100000000000001" hidden="1" customHeight="1" x14ac:dyDescent="0.2">
      <c r="A15" s="8"/>
      <c r="B15" s="552"/>
      <c r="C15" s="4"/>
      <c r="D15" s="3"/>
      <c r="E15" s="607"/>
      <c r="F15" s="9" t="str">
        <f>IFERROR(VLOOKUP(A15,Honorarios!$A$9:$C$15,2,FALSE),"")</f>
        <v/>
      </c>
      <c r="G15" s="553" t="str">
        <f>IFERROR(((VLOOKUP(A15,Honorarios!$A$9:$C$15,3,FALSE))),"")</f>
        <v/>
      </c>
      <c r="H15" s="102">
        <f t="shared" si="2"/>
        <v>0</v>
      </c>
      <c r="I15" s="122">
        <f t="shared" si="3"/>
        <v>0</v>
      </c>
      <c r="J15" s="365"/>
      <c r="K15" s="609"/>
      <c r="L15" s="609"/>
      <c r="M15" s="364"/>
      <c r="N15" s="364"/>
      <c r="O15" s="386"/>
    </row>
    <row r="16" spans="1:16" ht="20.100000000000001" hidden="1" customHeight="1" x14ac:dyDescent="0.2">
      <c r="A16" s="8"/>
      <c r="B16" s="552"/>
      <c r="C16" s="4"/>
      <c r="D16" s="3"/>
      <c r="E16" s="607"/>
      <c r="F16" s="9" t="str">
        <f>IFERROR(VLOOKUP(A16,Honorarios!$A$9:$C$15,2,FALSE),"")</f>
        <v/>
      </c>
      <c r="G16" s="553" t="str">
        <f>IFERROR(((VLOOKUP(A16,Honorarios!$A$9:$C$15,3,FALSE))),"")</f>
        <v/>
      </c>
      <c r="H16" s="102">
        <f t="shared" si="2"/>
        <v>0</v>
      </c>
      <c r="I16" s="122">
        <f t="shared" si="3"/>
        <v>0</v>
      </c>
      <c r="J16" s="365"/>
      <c r="K16" s="609"/>
      <c r="L16" s="609"/>
      <c r="M16" s="364"/>
      <c r="N16" s="364"/>
      <c r="O16" s="386"/>
    </row>
    <row r="17" spans="1:15" ht="20.100000000000001" hidden="1" customHeight="1" x14ac:dyDescent="0.2">
      <c r="A17" s="8"/>
      <c r="B17" s="552"/>
      <c r="C17" s="4"/>
      <c r="D17" s="3"/>
      <c r="E17" s="607"/>
      <c r="F17" s="9" t="str">
        <f>IFERROR(VLOOKUP(A17,Honorarios!$A$9:$C$15,2,FALSE),"")</f>
        <v/>
      </c>
      <c r="G17" s="553" t="str">
        <f>IFERROR(((VLOOKUP(A17,Honorarios!$A$9:$C$15,3,FALSE))),"")</f>
        <v/>
      </c>
      <c r="H17" s="102">
        <f t="shared" si="2"/>
        <v>0</v>
      </c>
      <c r="I17" s="122">
        <f t="shared" si="3"/>
        <v>0</v>
      </c>
      <c r="J17" s="365"/>
      <c r="K17" s="609"/>
      <c r="L17" s="609"/>
      <c r="M17" s="364"/>
      <c r="N17" s="364"/>
      <c r="O17" s="386"/>
    </row>
    <row r="18" spans="1:15" ht="20.100000000000001" hidden="1" customHeight="1" x14ac:dyDescent="0.2">
      <c r="A18" s="8"/>
      <c r="B18" s="552"/>
      <c r="C18" s="4"/>
      <c r="D18" s="3"/>
      <c r="E18" s="607"/>
      <c r="F18" s="9" t="str">
        <f>IFERROR(VLOOKUP(A18,Honorarios!$A$9:$C$15,2,FALSE),"")</f>
        <v/>
      </c>
      <c r="G18" s="553" t="str">
        <f>IFERROR(((VLOOKUP(A18,Honorarios!$A$9:$C$15,3,FALSE))),"")</f>
        <v/>
      </c>
      <c r="H18" s="102">
        <f t="shared" si="2"/>
        <v>0</v>
      </c>
      <c r="I18" s="122">
        <f t="shared" si="3"/>
        <v>0</v>
      </c>
      <c r="J18" s="365"/>
      <c r="K18" s="609"/>
      <c r="L18" s="609"/>
      <c r="M18" s="364"/>
      <c r="N18" s="364"/>
      <c r="O18" s="386"/>
    </row>
    <row r="19" spans="1:15" ht="20.100000000000001" hidden="1" customHeight="1" x14ac:dyDescent="0.2">
      <c r="A19" s="8"/>
      <c r="B19" s="552"/>
      <c r="C19" s="4"/>
      <c r="D19" s="3"/>
      <c r="E19" s="607"/>
      <c r="F19" s="9" t="str">
        <f>IFERROR(VLOOKUP(A19,Honorarios!$A$9:$C$15,2,FALSE),"")</f>
        <v/>
      </c>
      <c r="G19" s="553" t="str">
        <f>IFERROR(((VLOOKUP(A19,Honorarios!$A$9:$C$15,3,FALSE))),"")</f>
        <v/>
      </c>
      <c r="H19" s="102">
        <f t="shared" si="2"/>
        <v>0</v>
      </c>
      <c r="I19" s="122">
        <f t="shared" si="3"/>
        <v>0</v>
      </c>
      <c r="J19" s="365"/>
      <c r="K19" s="609"/>
      <c r="L19" s="609"/>
      <c r="M19" s="364"/>
      <c r="N19" s="364"/>
      <c r="O19" s="386"/>
    </row>
    <row r="20" spans="1:15" ht="20.100000000000001" hidden="1" customHeight="1" x14ac:dyDescent="0.2">
      <c r="A20" s="8"/>
      <c r="B20" s="552"/>
      <c r="C20" s="4"/>
      <c r="D20" s="3"/>
      <c r="E20" s="607"/>
      <c r="F20" s="9" t="str">
        <f>IFERROR(VLOOKUP(A20,Honorarios!$A$9:$C$15,2,FALSE),"")</f>
        <v/>
      </c>
      <c r="G20" s="553" t="str">
        <f>IFERROR(((VLOOKUP(A20,Honorarios!$A$9:$C$15,3,FALSE))),"")</f>
        <v/>
      </c>
      <c r="H20" s="102">
        <f t="shared" si="2"/>
        <v>0</v>
      </c>
      <c r="I20" s="122">
        <f t="shared" si="3"/>
        <v>0</v>
      </c>
      <c r="J20" s="365"/>
      <c r="K20" s="609"/>
      <c r="L20" s="609"/>
      <c r="M20" s="364"/>
      <c r="N20" s="364"/>
      <c r="O20" s="386"/>
    </row>
    <row r="21" spans="1:15" ht="20.100000000000001" hidden="1" customHeight="1" x14ac:dyDescent="0.2">
      <c r="A21" s="8"/>
      <c r="B21" s="552"/>
      <c r="C21" s="4"/>
      <c r="D21" s="3"/>
      <c r="E21" s="607"/>
      <c r="F21" s="9" t="str">
        <f>IFERROR(VLOOKUP(A21,Honorarios!$A$9:$C$15,2,FALSE),"")</f>
        <v/>
      </c>
      <c r="G21" s="553" t="str">
        <f>IFERROR(((VLOOKUP(A21,Honorarios!$A$9:$C$15,3,FALSE))),"")</f>
        <v/>
      </c>
      <c r="H21" s="102">
        <f t="shared" si="2"/>
        <v>0</v>
      </c>
      <c r="I21" s="122">
        <f t="shared" si="3"/>
        <v>0</v>
      </c>
      <c r="J21" s="365"/>
      <c r="K21" s="609"/>
      <c r="L21" s="609"/>
      <c r="M21" s="364"/>
      <c r="N21" s="364"/>
      <c r="O21" s="386"/>
    </row>
    <row r="22" spans="1:15" ht="20.100000000000001" hidden="1" customHeight="1" x14ac:dyDescent="0.2">
      <c r="A22" s="8"/>
      <c r="B22" s="552"/>
      <c r="C22" s="4"/>
      <c r="D22" s="3"/>
      <c r="E22" s="607"/>
      <c r="F22" s="9" t="str">
        <f>IFERROR(VLOOKUP(A22,Honorarios!$A$9:$C$15,2,FALSE),"")</f>
        <v/>
      </c>
      <c r="G22" s="553" t="str">
        <f>IFERROR(((VLOOKUP(A22,Honorarios!$A$9:$C$15,3,FALSE))),"")</f>
        <v/>
      </c>
      <c r="H22" s="102">
        <f t="shared" si="2"/>
        <v>0</v>
      </c>
      <c r="I22" s="122">
        <f t="shared" si="3"/>
        <v>0</v>
      </c>
      <c r="J22" s="365"/>
      <c r="K22" s="609"/>
      <c r="L22" s="609"/>
      <c r="M22" s="364"/>
      <c r="N22" s="364"/>
      <c r="O22" s="386"/>
    </row>
    <row r="23" spans="1:15" ht="20.100000000000001" hidden="1" customHeight="1" x14ac:dyDescent="0.2">
      <c r="A23" s="8"/>
      <c r="B23" s="552"/>
      <c r="C23" s="4"/>
      <c r="D23" s="3"/>
      <c r="E23" s="607"/>
      <c r="F23" s="9" t="str">
        <f>IFERROR(VLOOKUP(A23,Honorarios!$A$9:$C$15,2,FALSE),"")</f>
        <v/>
      </c>
      <c r="G23" s="553" t="str">
        <f>IFERROR(((VLOOKUP(A23,Honorarios!$A$9:$C$15,3,FALSE))),"")</f>
        <v/>
      </c>
      <c r="H23" s="102">
        <f t="shared" si="2"/>
        <v>0</v>
      </c>
      <c r="I23" s="122">
        <f t="shared" si="3"/>
        <v>0</v>
      </c>
      <c r="J23" s="365"/>
      <c r="K23" s="609"/>
      <c r="L23" s="609"/>
      <c r="M23" s="364"/>
      <c r="N23" s="364"/>
      <c r="O23" s="386"/>
    </row>
    <row r="24" spans="1:15" ht="20.100000000000001" hidden="1" customHeight="1" x14ac:dyDescent="0.2">
      <c r="A24" s="8"/>
      <c r="B24" s="552"/>
      <c r="C24" s="4"/>
      <c r="D24" s="3"/>
      <c r="E24" s="607"/>
      <c r="F24" s="9" t="str">
        <f>IFERROR(VLOOKUP(A24,Honorarios!$A$9:$C$15,2,FALSE),"")</f>
        <v/>
      </c>
      <c r="G24" s="553" t="str">
        <f>IFERROR(((VLOOKUP(A24,Honorarios!$A$9:$C$15,3,FALSE))),"")</f>
        <v/>
      </c>
      <c r="H24" s="102">
        <f t="shared" si="2"/>
        <v>0</v>
      </c>
      <c r="I24" s="122">
        <f t="shared" si="3"/>
        <v>0</v>
      </c>
      <c r="J24" s="365"/>
      <c r="K24" s="609"/>
      <c r="L24" s="609"/>
      <c r="M24" s="364"/>
      <c r="N24" s="364"/>
      <c r="O24" s="386"/>
    </row>
    <row r="25" spans="1:15" ht="20.100000000000001" hidden="1" customHeight="1" x14ac:dyDescent="0.2">
      <c r="A25" s="8"/>
      <c r="B25" s="552"/>
      <c r="C25" s="4"/>
      <c r="D25" s="3"/>
      <c r="E25" s="607"/>
      <c r="F25" s="9" t="str">
        <f>IFERROR(VLOOKUP(A25,Honorarios!$A$9:$C$15,2,FALSE),"")</f>
        <v/>
      </c>
      <c r="G25" s="553" t="str">
        <f>IFERROR(((VLOOKUP(A25,Honorarios!$A$9:$C$15,3,FALSE))),"")</f>
        <v/>
      </c>
      <c r="H25" s="102">
        <f t="shared" si="2"/>
        <v>0</v>
      </c>
      <c r="I25" s="122">
        <f t="shared" si="3"/>
        <v>0</v>
      </c>
      <c r="J25" s="365"/>
      <c r="K25" s="609"/>
      <c r="L25" s="609"/>
      <c r="M25" s="364"/>
      <c r="N25" s="364"/>
      <c r="O25" s="386"/>
    </row>
    <row r="26" spans="1:15" ht="20.100000000000001" hidden="1" customHeight="1" x14ac:dyDescent="0.2">
      <c r="A26" s="8"/>
      <c r="B26" s="552"/>
      <c r="C26" s="4"/>
      <c r="D26" s="3"/>
      <c r="E26" s="607"/>
      <c r="F26" s="9" t="str">
        <f>IFERROR(VLOOKUP(A26,Honorarios!$A$9:$C$15,2,FALSE),"")</f>
        <v/>
      </c>
      <c r="G26" s="553" t="str">
        <f>IFERROR(((VLOOKUP(A26,Honorarios!$A$9:$C$15,3,FALSE))),"")</f>
        <v/>
      </c>
      <c r="H26" s="102">
        <f t="shared" si="2"/>
        <v>0</v>
      </c>
      <c r="I26" s="122">
        <f t="shared" si="3"/>
        <v>0</v>
      </c>
      <c r="J26" s="365"/>
      <c r="K26" s="609"/>
      <c r="L26" s="609"/>
      <c r="M26" s="364"/>
      <c r="N26" s="364"/>
      <c r="O26" s="386"/>
    </row>
    <row r="27" spans="1:15" ht="20.100000000000001" hidden="1" customHeight="1" x14ac:dyDescent="0.2">
      <c r="A27" s="8"/>
      <c r="B27" s="552"/>
      <c r="C27" s="4"/>
      <c r="D27" s="3"/>
      <c r="E27" s="607"/>
      <c r="F27" s="9" t="str">
        <f>IFERROR(VLOOKUP(A27,Honorarios!$A$9:$C$15,2,FALSE),"")</f>
        <v/>
      </c>
      <c r="G27" s="553" t="str">
        <f>IFERROR(((VLOOKUP(A27,Honorarios!$A$9:$C$15,3,FALSE))),"")</f>
        <v/>
      </c>
      <c r="H27" s="102">
        <f t="shared" si="2"/>
        <v>0</v>
      </c>
      <c r="I27" s="122">
        <f t="shared" si="3"/>
        <v>0</v>
      </c>
      <c r="J27" s="365"/>
      <c r="K27" s="609"/>
      <c r="L27" s="609"/>
      <c r="M27" s="364"/>
      <c r="N27" s="364"/>
      <c r="O27" s="386"/>
    </row>
    <row r="28" spans="1:15" ht="20.100000000000001" hidden="1" customHeight="1" x14ac:dyDescent="0.2">
      <c r="A28" s="8"/>
      <c r="B28" s="552"/>
      <c r="C28" s="4"/>
      <c r="D28" s="3"/>
      <c r="E28" s="551"/>
      <c r="F28" s="9" t="str">
        <f>IFERROR(VLOOKUP(A28,Honorarios!$A$9:$C$15,2,FALSE),"")</f>
        <v/>
      </c>
      <c r="G28" s="553" t="str">
        <f>IFERROR(((VLOOKUP(A28,Honorarios!$A$9:$C$15,3,FALSE))),"")</f>
        <v/>
      </c>
      <c r="H28" s="102">
        <f t="shared" si="0"/>
        <v>0</v>
      </c>
      <c r="I28" s="122">
        <f t="shared" si="1"/>
        <v>0</v>
      </c>
      <c r="J28" s="365"/>
      <c r="K28" s="609"/>
      <c r="L28" s="364"/>
      <c r="M28" s="364"/>
      <c r="N28" s="364"/>
      <c r="O28" s="386"/>
    </row>
    <row r="29" spans="1:15" ht="19.5" hidden="1" customHeight="1" x14ac:dyDescent="0.2">
      <c r="A29" s="8"/>
      <c r="B29" s="552"/>
      <c r="C29" s="4"/>
      <c r="D29" s="3"/>
      <c r="E29" s="551"/>
      <c r="F29" s="9" t="str">
        <f>IFERROR(VLOOKUP(A29,Honorarios!$A$9:$C$15,2,FALSE),"")</f>
        <v/>
      </c>
      <c r="G29" s="553" t="str">
        <f>IFERROR(((VLOOKUP(A29,Honorarios!$A$9:$C$15,3,FALSE))),"")</f>
        <v/>
      </c>
      <c r="H29" s="102">
        <f t="shared" si="0"/>
        <v>0</v>
      </c>
      <c r="I29" s="122">
        <f t="shared" si="1"/>
        <v>0</v>
      </c>
      <c r="J29" s="365"/>
      <c r="K29" s="364"/>
      <c r="L29" s="364"/>
      <c r="M29" s="364"/>
      <c r="N29" s="364"/>
      <c r="O29" s="386"/>
    </row>
    <row r="30" spans="1:15" ht="20.100000000000001" hidden="1" customHeight="1" x14ac:dyDescent="0.2">
      <c r="A30" s="8"/>
      <c r="B30" s="552"/>
      <c r="C30" s="4"/>
      <c r="D30" s="3"/>
      <c r="E30" s="551"/>
      <c r="F30" s="9" t="str">
        <f>IFERROR(VLOOKUP(A30,Honorarios!$A$9:$C$15,2,FALSE),"")</f>
        <v/>
      </c>
      <c r="G30" s="553" t="str">
        <f>IFERROR(((VLOOKUP(A30,Honorarios!$A$9:$C$15,3,FALSE))),"")</f>
        <v/>
      </c>
      <c r="H30" s="102">
        <f t="shared" si="0"/>
        <v>0</v>
      </c>
      <c r="I30" s="122">
        <f t="shared" si="1"/>
        <v>0</v>
      </c>
      <c r="J30" s="365"/>
      <c r="K30" s="364"/>
      <c r="L30" s="364"/>
      <c r="M30" s="364"/>
      <c r="N30" s="364"/>
      <c r="O30" s="386"/>
    </row>
    <row r="31" spans="1:15" ht="20.100000000000001" hidden="1" customHeight="1" x14ac:dyDescent="0.2">
      <c r="A31" s="8"/>
      <c r="B31" s="552"/>
      <c r="C31" s="4"/>
      <c r="D31" s="3"/>
      <c r="E31" s="551"/>
      <c r="F31" s="9" t="str">
        <f>IFERROR(VLOOKUP(A31,Honorarios!$A$9:$C$15,2,FALSE),"")</f>
        <v/>
      </c>
      <c r="G31" s="553" t="str">
        <f>IFERROR(((VLOOKUP(A31,Honorarios!$A$9:$C$15,3,FALSE))),"")</f>
        <v/>
      </c>
      <c r="H31" s="102">
        <f t="shared" si="0"/>
        <v>0</v>
      </c>
      <c r="I31" s="122">
        <f t="shared" si="1"/>
        <v>0</v>
      </c>
      <c r="J31" s="365"/>
      <c r="K31" s="364"/>
      <c r="L31" s="364"/>
      <c r="M31" s="364"/>
      <c r="N31" s="364"/>
      <c r="O31" s="386"/>
    </row>
    <row r="32" spans="1:15" ht="20.100000000000001" hidden="1" customHeight="1" x14ac:dyDescent="0.2">
      <c r="A32" s="8"/>
      <c r="B32" s="552"/>
      <c r="C32" s="4"/>
      <c r="D32" s="3"/>
      <c r="E32" s="551"/>
      <c r="F32" s="9" t="str">
        <f>IFERROR(VLOOKUP(A32,Honorarios!$A$9:$C$15,2,FALSE),"")</f>
        <v/>
      </c>
      <c r="G32" s="553" t="str">
        <f>IFERROR(((VLOOKUP(A32,Honorarios!$A$9:$C$15,3,FALSE))),"")</f>
        <v/>
      </c>
      <c r="H32" s="102">
        <f t="shared" si="0"/>
        <v>0</v>
      </c>
      <c r="I32" s="122">
        <f t="shared" si="1"/>
        <v>0</v>
      </c>
      <c r="J32" s="365"/>
      <c r="K32" s="364"/>
      <c r="L32" s="364"/>
      <c r="M32" s="364"/>
      <c r="N32" s="364"/>
      <c r="O32" s="386"/>
    </row>
    <row r="33" spans="1:15" ht="20.100000000000001" hidden="1" customHeight="1" x14ac:dyDescent="0.2">
      <c r="A33" s="8"/>
      <c r="B33" s="552"/>
      <c r="C33" s="4"/>
      <c r="D33" s="3"/>
      <c r="E33" s="551"/>
      <c r="F33" s="9" t="str">
        <f>IFERROR(VLOOKUP(A33,Honorarios!$A$9:$C$15,2,FALSE),"")</f>
        <v/>
      </c>
      <c r="G33" s="553" t="str">
        <f>IFERROR(((VLOOKUP(A33,Honorarios!$A$9:$C$15,3,FALSE))),"")</f>
        <v/>
      </c>
      <c r="H33" s="102">
        <f t="shared" si="0"/>
        <v>0</v>
      </c>
      <c r="I33" s="122">
        <f t="shared" si="1"/>
        <v>0</v>
      </c>
      <c r="J33" s="365"/>
      <c r="K33" s="364"/>
      <c r="L33" s="364"/>
      <c r="M33" s="364"/>
      <c r="N33" s="364"/>
      <c r="O33" s="386"/>
    </row>
    <row r="34" spans="1:15" ht="20.100000000000001" hidden="1" customHeight="1" x14ac:dyDescent="0.2">
      <c r="A34" s="8"/>
      <c r="B34" s="552"/>
      <c r="C34" s="4"/>
      <c r="D34" s="3"/>
      <c r="E34" s="551"/>
      <c r="F34" s="9" t="str">
        <f>IFERROR(VLOOKUP(A34,Honorarios!$A$9:$C$15,2,FALSE),"")</f>
        <v/>
      </c>
      <c r="G34" s="553" t="str">
        <f>IFERROR(((VLOOKUP(A34,Honorarios!$A$9:$C$15,3,FALSE))),"")</f>
        <v/>
      </c>
      <c r="H34" s="102">
        <f t="shared" ref="H34" si="4">IFERROR(B34*C34*E34*F34*G34,0)</f>
        <v>0</v>
      </c>
      <c r="I34" s="122">
        <f t="shared" ref="I34" si="5">IFERROR(H34/$H$80,0)</f>
        <v>0</v>
      </c>
      <c r="J34" s="365"/>
      <c r="K34" s="364"/>
      <c r="L34" s="364"/>
      <c r="M34" s="364"/>
      <c r="N34" s="364"/>
      <c r="O34" s="386"/>
    </row>
    <row r="35" spans="1:15" ht="20.100000000000001" hidden="1" customHeight="1" x14ac:dyDescent="0.2">
      <c r="A35" s="8"/>
      <c r="B35" s="552"/>
      <c r="C35" s="4"/>
      <c r="D35" s="3"/>
      <c r="E35" s="551"/>
      <c r="F35" s="9" t="str">
        <f>IFERROR(VLOOKUP(A35,Honorarios!$A$9:$C$15,2,FALSE),"")</f>
        <v/>
      </c>
      <c r="G35" s="553" t="str">
        <f>IFERROR(((VLOOKUP(A35,Honorarios!$A$9:$C$15,3,FALSE))),"")</f>
        <v/>
      </c>
      <c r="H35" s="102">
        <f t="shared" si="0"/>
        <v>0</v>
      </c>
      <c r="I35" s="122">
        <f t="shared" si="1"/>
        <v>0</v>
      </c>
      <c r="J35" s="365"/>
      <c r="K35" s="364"/>
      <c r="L35" s="364"/>
      <c r="M35" s="364"/>
      <c r="N35" s="364"/>
      <c r="O35" s="386"/>
    </row>
    <row r="36" spans="1:15" ht="20.100000000000001" hidden="1" customHeight="1" x14ac:dyDescent="0.2">
      <c r="A36" s="8"/>
      <c r="B36" s="552"/>
      <c r="C36" s="4"/>
      <c r="D36" s="3"/>
      <c r="E36" s="551"/>
      <c r="F36" s="9" t="str">
        <f>IFERROR(VLOOKUP(A36,Honorarios!$A$9:$C$15,2,FALSE),"")</f>
        <v/>
      </c>
      <c r="G36" s="553" t="str">
        <f>IFERROR(((VLOOKUP(A36,Honorarios!$A$9:$C$15,3,FALSE))),"")</f>
        <v/>
      </c>
      <c r="H36" s="102">
        <f t="shared" ref="H36:H50" si="6">IFERROR(B36*C36*E36*F36*G36,0)</f>
        <v>0</v>
      </c>
      <c r="I36" s="122">
        <f t="shared" ref="I36:I50" si="7">IFERROR(H36/$H$80,0)</f>
        <v>0</v>
      </c>
      <c r="J36" s="365"/>
      <c r="K36" s="364"/>
      <c r="L36" s="364"/>
      <c r="M36" s="364"/>
      <c r="N36" s="364"/>
      <c r="O36" s="386"/>
    </row>
    <row r="37" spans="1:15" ht="20.100000000000001" hidden="1" customHeight="1" x14ac:dyDescent="0.2">
      <c r="A37" s="8"/>
      <c r="B37" s="552"/>
      <c r="C37" s="4"/>
      <c r="D37" s="3"/>
      <c r="E37" s="551"/>
      <c r="F37" s="9" t="str">
        <f>IFERROR(VLOOKUP(A37,Honorarios!$A$9:$C$15,2,FALSE),"")</f>
        <v/>
      </c>
      <c r="G37" s="553" t="str">
        <f>IFERROR(((VLOOKUP(A37,Honorarios!$A$9:$C$15,3,FALSE))),"")</f>
        <v/>
      </c>
      <c r="H37" s="102">
        <f t="shared" si="6"/>
        <v>0</v>
      </c>
      <c r="I37" s="122">
        <f t="shared" si="7"/>
        <v>0</v>
      </c>
      <c r="J37" s="365"/>
      <c r="K37" s="364"/>
      <c r="L37" s="364"/>
      <c r="M37" s="364"/>
      <c r="N37" s="364"/>
      <c r="O37" s="386"/>
    </row>
    <row r="38" spans="1:15" ht="20.100000000000001" hidden="1" customHeight="1" x14ac:dyDescent="0.2">
      <c r="A38" s="8"/>
      <c r="B38" s="552"/>
      <c r="C38" s="4"/>
      <c r="D38" s="3"/>
      <c r="E38" s="551"/>
      <c r="F38" s="9" t="str">
        <f>IFERROR(VLOOKUP(A38,Honorarios!$A$9:$C$15,2,FALSE),"")</f>
        <v/>
      </c>
      <c r="G38" s="553" t="str">
        <f>IFERROR(((VLOOKUP(A38,Honorarios!$A$9:$C$15,3,FALSE))),"")</f>
        <v/>
      </c>
      <c r="H38" s="102">
        <f t="shared" si="6"/>
        <v>0</v>
      </c>
      <c r="I38" s="122">
        <f t="shared" si="7"/>
        <v>0</v>
      </c>
      <c r="J38" s="365"/>
      <c r="K38" s="364"/>
      <c r="L38" s="364"/>
      <c r="M38" s="364"/>
      <c r="N38" s="364"/>
      <c r="O38" s="386"/>
    </row>
    <row r="39" spans="1:15" ht="20.100000000000001" hidden="1" customHeight="1" x14ac:dyDescent="0.2">
      <c r="A39" s="8"/>
      <c r="B39" s="552"/>
      <c r="C39" s="4"/>
      <c r="D39" s="3"/>
      <c r="E39" s="551"/>
      <c r="F39" s="9" t="str">
        <f>IFERROR(VLOOKUP(A39,Honorarios!$A$9:$C$15,2,FALSE),"")</f>
        <v/>
      </c>
      <c r="G39" s="553" t="str">
        <f>IFERROR(((VLOOKUP(A39,Honorarios!$A$9:$C$15,3,FALSE))),"")</f>
        <v/>
      </c>
      <c r="H39" s="102">
        <f t="shared" si="6"/>
        <v>0</v>
      </c>
      <c r="I39" s="122">
        <f t="shared" si="7"/>
        <v>0</v>
      </c>
      <c r="J39" s="365"/>
      <c r="K39" s="364"/>
      <c r="L39" s="364"/>
      <c r="M39" s="364"/>
      <c r="N39" s="364"/>
      <c r="O39" s="386"/>
    </row>
    <row r="40" spans="1:15" ht="20.100000000000001" hidden="1" customHeight="1" x14ac:dyDescent="0.2">
      <c r="A40" s="8"/>
      <c r="B40" s="552"/>
      <c r="C40" s="4"/>
      <c r="D40" s="3"/>
      <c r="E40" s="551"/>
      <c r="F40" s="9" t="str">
        <f>IFERROR(VLOOKUP(A40,Honorarios!$A$9:$C$15,2,FALSE),"")</f>
        <v/>
      </c>
      <c r="G40" s="553" t="str">
        <f>IFERROR(((VLOOKUP(A40,Honorarios!$A$9:$C$15,3,FALSE))),"")</f>
        <v/>
      </c>
      <c r="H40" s="102">
        <f t="shared" si="6"/>
        <v>0</v>
      </c>
      <c r="I40" s="122">
        <f t="shared" si="7"/>
        <v>0</v>
      </c>
      <c r="J40" s="365"/>
      <c r="K40" s="364"/>
      <c r="L40" s="364"/>
      <c r="M40" s="364"/>
      <c r="N40" s="364"/>
      <c r="O40" s="386"/>
    </row>
    <row r="41" spans="1:15" ht="20.100000000000001" hidden="1" customHeight="1" x14ac:dyDescent="0.2">
      <c r="A41" s="8"/>
      <c r="B41" s="552"/>
      <c r="C41" s="4"/>
      <c r="D41" s="3"/>
      <c r="E41" s="551"/>
      <c r="F41" s="9" t="str">
        <f>IFERROR(VLOOKUP(A41,Honorarios!$A$9:$C$15,2,FALSE),"")</f>
        <v/>
      </c>
      <c r="G41" s="553" t="str">
        <f>IFERROR(((VLOOKUP(A41,Honorarios!$A$9:$C$15,3,FALSE))),"")</f>
        <v/>
      </c>
      <c r="H41" s="102">
        <f t="shared" si="6"/>
        <v>0</v>
      </c>
      <c r="I41" s="122">
        <f t="shared" si="7"/>
        <v>0</v>
      </c>
      <c r="J41" s="365"/>
      <c r="K41" s="364"/>
      <c r="L41" s="364"/>
      <c r="M41" s="364"/>
      <c r="N41" s="364"/>
      <c r="O41" s="386"/>
    </row>
    <row r="42" spans="1:15" ht="20.100000000000001" hidden="1" customHeight="1" x14ac:dyDescent="0.2">
      <c r="A42" s="8"/>
      <c r="B42" s="552"/>
      <c r="C42" s="4"/>
      <c r="D42" s="3"/>
      <c r="E42" s="551"/>
      <c r="F42" s="9" t="str">
        <f>IFERROR(VLOOKUP(A42,Honorarios!$A$9:$C$15,2,FALSE),"")</f>
        <v/>
      </c>
      <c r="G42" s="553" t="str">
        <f>IFERROR(((VLOOKUP(A42,Honorarios!$A$9:$C$15,3,FALSE))),"")</f>
        <v/>
      </c>
      <c r="H42" s="102">
        <f t="shared" si="6"/>
        <v>0</v>
      </c>
      <c r="I42" s="122">
        <f t="shared" si="7"/>
        <v>0</v>
      </c>
      <c r="J42" s="365"/>
      <c r="K42" s="364"/>
      <c r="L42" s="364"/>
      <c r="M42" s="364"/>
      <c r="N42" s="364"/>
      <c r="O42" s="386"/>
    </row>
    <row r="43" spans="1:15" ht="20.100000000000001" hidden="1" customHeight="1" x14ac:dyDescent="0.2">
      <c r="A43" s="8"/>
      <c r="B43" s="552"/>
      <c r="C43" s="4"/>
      <c r="D43" s="3"/>
      <c r="E43" s="551"/>
      <c r="F43" s="9" t="str">
        <f>IFERROR(VLOOKUP(A43,Honorarios!$A$9:$C$15,2,FALSE),"")</f>
        <v/>
      </c>
      <c r="G43" s="553" t="str">
        <f>IFERROR(((VLOOKUP(A43,Honorarios!$A$9:$C$15,3,FALSE))),"")</f>
        <v/>
      </c>
      <c r="H43" s="102">
        <f t="shared" si="6"/>
        <v>0</v>
      </c>
      <c r="I43" s="122">
        <f t="shared" si="7"/>
        <v>0</v>
      </c>
      <c r="J43" s="365"/>
      <c r="K43" s="364"/>
      <c r="L43" s="364"/>
      <c r="M43" s="364"/>
      <c r="N43" s="364"/>
      <c r="O43" s="386"/>
    </row>
    <row r="44" spans="1:15" ht="20.100000000000001" hidden="1" customHeight="1" x14ac:dyDescent="0.2">
      <c r="A44" s="8"/>
      <c r="B44" s="552"/>
      <c r="C44" s="4"/>
      <c r="D44" s="3"/>
      <c r="E44" s="551"/>
      <c r="F44" s="9" t="str">
        <f>IFERROR(VLOOKUP(A44,Honorarios!$A$9:$C$15,2,FALSE),"")</f>
        <v/>
      </c>
      <c r="G44" s="553" t="str">
        <f>IFERROR(((VLOOKUP(A44,Honorarios!$A$9:$C$15,3,FALSE))),"")</f>
        <v/>
      </c>
      <c r="H44" s="102">
        <f t="shared" si="6"/>
        <v>0</v>
      </c>
      <c r="I44" s="122">
        <f t="shared" si="7"/>
        <v>0</v>
      </c>
      <c r="J44" s="365"/>
      <c r="K44" s="364"/>
      <c r="L44" s="364"/>
      <c r="M44" s="364"/>
      <c r="N44" s="364"/>
      <c r="O44" s="386"/>
    </row>
    <row r="45" spans="1:15" ht="20.100000000000001" hidden="1" customHeight="1" x14ac:dyDescent="0.2">
      <c r="A45" s="8"/>
      <c r="B45" s="552"/>
      <c r="C45" s="4"/>
      <c r="D45" s="3"/>
      <c r="E45" s="551"/>
      <c r="F45" s="9" t="str">
        <f>IFERROR(VLOOKUP(A45,Honorarios!$A$9:$C$15,2,FALSE),"")</f>
        <v/>
      </c>
      <c r="G45" s="553" t="str">
        <f>IFERROR(((VLOOKUP(A45,Honorarios!$A$9:$C$15,3,FALSE))),"")</f>
        <v/>
      </c>
      <c r="H45" s="102">
        <f t="shared" si="6"/>
        <v>0</v>
      </c>
      <c r="I45" s="122">
        <f t="shared" si="7"/>
        <v>0</v>
      </c>
      <c r="J45" s="365"/>
      <c r="K45" s="364"/>
      <c r="L45" s="364"/>
      <c r="M45" s="364"/>
      <c r="N45" s="364"/>
      <c r="O45" s="386"/>
    </row>
    <row r="46" spans="1:15" ht="20.100000000000001" hidden="1" customHeight="1" x14ac:dyDescent="0.2">
      <c r="A46" s="8"/>
      <c r="B46" s="552"/>
      <c r="C46" s="4"/>
      <c r="D46" s="3"/>
      <c r="E46" s="551"/>
      <c r="F46" s="9" t="str">
        <f>IFERROR(VLOOKUP(A46,Honorarios!$A$9:$C$15,2,FALSE),"")</f>
        <v/>
      </c>
      <c r="G46" s="553" t="str">
        <f>IFERROR(((VLOOKUP(A46,Honorarios!$A$9:$C$15,3,FALSE))),"")</f>
        <v/>
      </c>
      <c r="H46" s="102">
        <f t="shared" si="6"/>
        <v>0</v>
      </c>
      <c r="I46" s="122">
        <f t="shared" si="7"/>
        <v>0</v>
      </c>
      <c r="J46" s="365"/>
      <c r="K46" s="364"/>
      <c r="L46" s="364"/>
      <c r="M46" s="364"/>
      <c r="N46" s="364"/>
      <c r="O46" s="386"/>
    </row>
    <row r="47" spans="1:15" ht="20.100000000000001" hidden="1" customHeight="1" x14ac:dyDescent="0.2">
      <c r="A47" s="8"/>
      <c r="B47" s="552"/>
      <c r="C47" s="4"/>
      <c r="D47" s="3"/>
      <c r="E47" s="551"/>
      <c r="F47" s="9" t="str">
        <f>IFERROR(VLOOKUP(A47,Honorarios!$A$9:$C$15,2,FALSE),"")</f>
        <v/>
      </c>
      <c r="G47" s="553" t="str">
        <f>IFERROR(((VLOOKUP(A47,Honorarios!$A$9:$C$15,3,FALSE))),"")</f>
        <v/>
      </c>
      <c r="H47" s="102">
        <f>IFERROR(B47*C47*E47*F47*G47,0)</f>
        <v>0</v>
      </c>
      <c r="I47" s="122">
        <f t="shared" si="7"/>
        <v>0</v>
      </c>
      <c r="J47" s="365"/>
      <c r="K47" s="364"/>
      <c r="L47" s="364"/>
      <c r="M47" s="364"/>
      <c r="N47" s="364"/>
      <c r="O47" s="386"/>
    </row>
    <row r="48" spans="1:15" ht="20.100000000000001" hidden="1" customHeight="1" x14ac:dyDescent="0.2">
      <c r="A48" s="8"/>
      <c r="B48" s="552"/>
      <c r="C48" s="4"/>
      <c r="D48" s="3"/>
      <c r="E48" s="551"/>
      <c r="F48" s="9" t="str">
        <f>IFERROR(VLOOKUP(A48,Honorarios!$A$9:$C$15,2,FALSE),"")</f>
        <v/>
      </c>
      <c r="G48" s="553" t="str">
        <f>IFERROR(((VLOOKUP(A48,Honorarios!$A$9:$C$15,3,FALSE))),"")</f>
        <v/>
      </c>
      <c r="H48" s="102">
        <f t="shared" si="6"/>
        <v>0</v>
      </c>
      <c r="I48" s="122">
        <f t="shared" si="7"/>
        <v>0</v>
      </c>
      <c r="J48" s="365"/>
      <c r="K48" s="364"/>
      <c r="L48" s="364"/>
      <c r="M48" s="364"/>
      <c r="N48" s="364"/>
      <c r="O48" s="386"/>
    </row>
    <row r="49" spans="1:15" ht="20.100000000000001" hidden="1" customHeight="1" x14ac:dyDescent="0.2">
      <c r="A49" s="8"/>
      <c r="B49" s="552"/>
      <c r="C49" s="4"/>
      <c r="D49" s="3"/>
      <c r="E49" s="551"/>
      <c r="F49" s="9" t="str">
        <f>IFERROR(VLOOKUP(A49,Honorarios!$A$9:$C$15,2,FALSE),"")</f>
        <v/>
      </c>
      <c r="G49" s="553" t="str">
        <f>IFERROR(((VLOOKUP(A49,Honorarios!$A$9:$C$15,3,FALSE))),"")</f>
        <v/>
      </c>
      <c r="H49" s="102">
        <f t="shared" si="6"/>
        <v>0</v>
      </c>
      <c r="I49" s="122">
        <f t="shared" si="7"/>
        <v>0</v>
      </c>
      <c r="J49" s="365"/>
      <c r="K49" s="364"/>
      <c r="L49" s="364"/>
      <c r="M49" s="364"/>
      <c r="N49" s="364"/>
      <c r="O49" s="386"/>
    </row>
    <row r="50" spans="1:15" ht="20.100000000000001" hidden="1" customHeight="1" x14ac:dyDescent="0.2">
      <c r="A50" s="8"/>
      <c r="B50" s="552"/>
      <c r="C50" s="4"/>
      <c r="D50" s="3"/>
      <c r="E50" s="551"/>
      <c r="F50" s="9" t="str">
        <f>IFERROR(VLOOKUP(A50,Honorarios!$A$9:$C$15,2,FALSE),"")</f>
        <v/>
      </c>
      <c r="G50" s="553" t="str">
        <f>IFERROR(((VLOOKUP(A50,Honorarios!$A$9:$C$15,3,FALSE))),"")</f>
        <v/>
      </c>
      <c r="H50" s="102">
        <f t="shared" si="6"/>
        <v>0</v>
      </c>
      <c r="I50" s="122">
        <f t="shared" si="7"/>
        <v>0</v>
      </c>
      <c r="J50" s="365"/>
      <c r="K50" s="364"/>
      <c r="L50" s="364"/>
      <c r="M50" s="364"/>
      <c r="N50" s="364"/>
      <c r="O50" s="386"/>
    </row>
    <row r="51" spans="1:15" ht="20.100000000000001" hidden="1" customHeight="1" x14ac:dyDescent="0.2">
      <c r="A51" s="8"/>
      <c r="B51" s="552"/>
      <c r="C51" s="4"/>
      <c r="D51" s="3"/>
      <c r="E51" s="551"/>
      <c r="F51" s="9" t="str">
        <f>IFERROR(VLOOKUP(A51,Honorarios!$A$9:$C$15,2,FALSE),"")</f>
        <v/>
      </c>
      <c r="G51" s="553" t="str">
        <f>IFERROR(((VLOOKUP(A51,Honorarios!$A$9:$C$15,3,FALSE))),"")</f>
        <v/>
      </c>
      <c r="H51" s="102">
        <f t="shared" si="0"/>
        <v>0</v>
      </c>
      <c r="I51" s="122">
        <f t="shared" si="1"/>
        <v>0</v>
      </c>
      <c r="J51" s="365"/>
      <c r="K51" s="364"/>
      <c r="L51" s="364"/>
      <c r="M51" s="364"/>
      <c r="N51" s="364"/>
      <c r="O51" s="386"/>
    </row>
    <row r="52" spans="1:15" ht="20.100000000000001" hidden="1" customHeight="1" x14ac:dyDescent="0.2">
      <c r="A52" s="1143" t="s">
        <v>379</v>
      </c>
      <c r="B52" s="1144"/>
      <c r="C52" s="1144"/>
      <c r="D52" s="1144"/>
      <c r="E52" s="1144"/>
      <c r="F52" s="1144"/>
      <c r="G52" s="1145"/>
      <c r="H52" s="103">
        <f>SUM(H11:H51)</f>
        <v>0</v>
      </c>
      <c r="I52" s="119">
        <f>SUM(I11:I51)</f>
        <v>0</v>
      </c>
      <c r="J52" s="365"/>
      <c r="K52" s="364"/>
      <c r="L52" s="364"/>
      <c r="M52" s="364"/>
      <c r="N52" s="364"/>
      <c r="O52" s="386"/>
    </row>
    <row r="53" spans="1:15" ht="20.100000000000001" hidden="1" customHeight="1" x14ac:dyDescent="0.2">
      <c r="A53" s="1154" t="s">
        <v>380</v>
      </c>
      <c r="B53" s="1155"/>
      <c r="C53" s="1155"/>
      <c r="D53" s="1155"/>
      <c r="E53" s="1155"/>
      <c r="F53" s="1155"/>
      <c r="G53" s="1155"/>
      <c r="H53" s="1155"/>
      <c r="I53" s="1156"/>
      <c r="J53" s="365"/>
      <c r="K53" s="364"/>
      <c r="L53" s="364"/>
      <c r="M53" s="364"/>
      <c r="N53" s="364"/>
      <c r="O53" s="386"/>
    </row>
    <row r="54" spans="1:15" ht="20.100000000000001" hidden="1" customHeight="1" x14ac:dyDescent="0.2">
      <c r="A54" s="8"/>
      <c r="B54" s="5"/>
      <c r="C54" s="6"/>
      <c r="D54" s="3"/>
      <c r="E54" s="11"/>
      <c r="F54" s="9"/>
      <c r="G54" s="610"/>
      <c r="H54" s="102">
        <f>B54*C54*E54*F54*G54</f>
        <v>0</v>
      </c>
      <c r="I54" s="122">
        <f>IFERROR(H54/$H$80,0)</f>
        <v>0</v>
      </c>
      <c r="J54" s="608"/>
      <c r="K54" s="609"/>
      <c r="L54" s="364"/>
      <c r="M54" s="364"/>
      <c r="N54" s="364"/>
      <c r="O54" s="386"/>
    </row>
    <row r="55" spans="1:15" ht="20.100000000000001" hidden="1" customHeight="1" x14ac:dyDescent="0.2">
      <c r="A55" s="10"/>
      <c r="B55" s="5"/>
      <c r="C55" s="6"/>
      <c r="D55" s="3"/>
      <c r="E55" s="11"/>
      <c r="F55" s="55"/>
      <c r="G55" s="12"/>
      <c r="H55" s="102">
        <f t="shared" ref="H55:H56" si="8">B55*C55*E55*F55*G55</f>
        <v>0</v>
      </c>
      <c r="I55" s="122">
        <f t="shared" ref="I55:I76" si="9">IFERROR(H55/$H$80,0)</f>
        <v>0</v>
      </c>
      <c r="J55" s="365"/>
      <c r="K55" s="364"/>
      <c r="L55" s="609"/>
      <c r="M55" s="364"/>
      <c r="N55" s="364"/>
      <c r="O55" s="386"/>
    </row>
    <row r="56" spans="1:15" ht="20.100000000000001" hidden="1" customHeight="1" x14ac:dyDescent="0.2">
      <c r="A56" s="10"/>
      <c r="B56" s="5"/>
      <c r="C56" s="6"/>
      <c r="D56" s="3"/>
      <c r="E56" s="11"/>
      <c r="F56" s="3"/>
      <c r="G56" s="12"/>
      <c r="H56" s="102">
        <f t="shared" si="8"/>
        <v>0</v>
      </c>
      <c r="I56" s="122">
        <f t="shared" si="9"/>
        <v>0</v>
      </c>
      <c r="J56" s="365"/>
      <c r="K56" s="364"/>
      <c r="L56" s="364"/>
      <c r="M56" s="364"/>
      <c r="N56" s="364"/>
      <c r="O56" s="386"/>
    </row>
    <row r="57" spans="1:15" ht="20.100000000000001" hidden="1" customHeight="1" x14ac:dyDescent="0.2">
      <c r="A57" s="10"/>
      <c r="B57" s="5"/>
      <c r="C57" s="6"/>
      <c r="D57" s="3"/>
      <c r="E57" s="11"/>
      <c r="F57" s="3"/>
      <c r="G57" s="12"/>
      <c r="H57" s="102">
        <f t="shared" ref="H57:H72" si="10">B57*C57*E57*F57*G57</f>
        <v>0</v>
      </c>
      <c r="I57" s="122">
        <f t="shared" ref="I57:I72" si="11">IFERROR(H57/$H$80,0)</f>
        <v>0</v>
      </c>
      <c r="J57" s="365"/>
      <c r="K57" s="364"/>
      <c r="L57" s="364"/>
      <c r="M57" s="364"/>
      <c r="N57" s="364"/>
      <c r="O57" s="386"/>
    </row>
    <row r="58" spans="1:15" ht="20.100000000000001" hidden="1" customHeight="1" x14ac:dyDescent="0.2">
      <c r="A58" s="10"/>
      <c r="B58" s="5"/>
      <c r="C58" s="6"/>
      <c r="D58" s="3"/>
      <c r="E58" s="11"/>
      <c r="F58" s="3"/>
      <c r="G58" s="12"/>
      <c r="H58" s="102">
        <f t="shared" si="10"/>
        <v>0</v>
      </c>
      <c r="I58" s="122">
        <f t="shared" si="11"/>
        <v>0</v>
      </c>
      <c r="J58" s="365"/>
      <c r="K58" s="364"/>
      <c r="L58" s="364"/>
      <c r="M58" s="364"/>
      <c r="N58" s="364"/>
      <c r="O58" s="386"/>
    </row>
    <row r="59" spans="1:15" ht="20.100000000000001" hidden="1" customHeight="1" x14ac:dyDescent="0.2">
      <c r="A59" s="10"/>
      <c r="B59" s="5"/>
      <c r="C59" s="6"/>
      <c r="D59" s="3"/>
      <c r="E59" s="11"/>
      <c r="F59" s="3"/>
      <c r="G59" s="12"/>
      <c r="H59" s="102">
        <f t="shared" si="10"/>
        <v>0</v>
      </c>
      <c r="I59" s="122">
        <f t="shared" si="11"/>
        <v>0</v>
      </c>
      <c r="J59" s="365"/>
      <c r="K59" s="364"/>
      <c r="L59" s="364"/>
      <c r="M59" s="364"/>
      <c r="N59" s="364"/>
      <c r="O59" s="386"/>
    </row>
    <row r="60" spans="1:15" ht="20.100000000000001" hidden="1" customHeight="1" x14ac:dyDescent="0.2">
      <c r="A60" s="10"/>
      <c r="B60" s="5"/>
      <c r="C60" s="6"/>
      <c r="D60" s="3"/>
      <c r="E60" s="11"/>
      <c r="F60" s="3"/>
      <c r="G60" s="12"/>
      <c r="H60" s="102">
        <f t="shared" si="10"/>
        <v>0</v>
      </c>
      <c r="I60" s="122">
        <f t="shared" si="11"/>
        <v>0</v>
      </c>
      <c r="J60" s="365"/>
      <c r="K60" s="364"/>
      <c r="L60" s="364"/>
      <c r="M60" s="364"/>
      <c r="N60" s="364"/>
      <c r="O60" s="386"/>
    </row>
    <row r="61" spans="1:15" ht="20.100000000000001" hidden="1" customHeight="1" x14ac:dyDescent="0.2">
      <c r="A61" s="10"/>
      <c r="B61" s="5"/>
      <c r="C61" s="6"/>
      <c r="D61" s="3"/>
      <c r="E61" s="11"/>
      <c r="F61" s="3"/>
      <c r="G61" s="12"/>
      <c r="H61" s="102">
        <f t="shared" si="10"/>
        <v>0</v>
      </c>
      <c r="I61" s="122">
        <f t="shared" si="11"/>
        <v>0</v>
      </c>
      <c r="J61" s="365"/>
      <c r="K61" s="364"/>
      <c r="L61" s="364"/>
      <c r="M61" s="364"/>
      <c r="N61" s="364"/>
      <c r="O61" s="386"/>
    </row>
    <row r="62" spans="1:15" ht="20.100000000000001" hidden="1" customHeight="1" x14ac:dyDescent="0.2">
      <c r="A62" s="10"/>
      <c r="B62" s="5"/>
      <c r="C62" s="6"/>
      <c r="D62" s="3"/>
      <c r="E62" s="11"/>
      <c r="F62" s="3"/>
      <c r="G62" s="12"/>
      <c r="H62" s="102">
        <f t="shared" si="10"/>
        <v>0</v>
      </c>
      <c r="I62" s="122">
        <f t="shared" si="11"/>
        <v>0</v>
      </c>
      <c r="J62" s="365"/>
      <c r="K62" s="364"/>
      <c r="L62" s="364"/>
      <c r="M62" s="364"/>
      <c r="N62" s="364"/>
      <c r="O62" s="386"/>
    </row>
    <row r="63" spans="1:15" ht="20.100000000000001" hidden="1" customHeight="1" x14ac:dyDescent="0.2">
      <c r="A63" s="10"/>
      <c r="B63" s="5"/>
      <c r="C63" s="6"/>
      <c r="D63" s="3"/>
      <c r="E63" s="11"/>
      <c r="F63" s="3"/>
      <c r="G63" s="12"/>
      <c r="H63" s="102">
        <f t="shared" si="10"/>
        <v>0</v>
      </c>
      <c r="I63" s="122">
        <f t="shared" si="11"/>
        <v>0</v>
      </c>
      <c r="J63" s="365"/>
      <c r="K63" s="364"/>
      <c r="L63" s="364"/>
      <c r="M63" s="364"/>
      <c r="N63" s="364"/>
      <c r="O63" s="386"/>
    </row>
    <row r="64" spans="1:15" ht="20.100000000000001" hidden="1" customHeight="1" x14ac:dyDescent="0.2">
      <c r="A64" s="10"/>
      <c r="B64" s="5"/>
      <c r="C64" s="6"/>
      <c r="D64" s="3"/>
      <c r="E64" s="11"/>
      <c r="F64" s="3"/>
      <c r="G64" s="12"/>
      <c r="H64" s="102">
        <f t="shared" si="10"/>
        <v>0</v>
      </c>
      <c r="I64" s="122">
        <f t="shared" si="11"/>
        <v>0</v>
      </c>
      <c r="J64" s="365"/>
      <c r="K64" s="364"/>
      <c r="L64" s="364"/>
      <c r="M64" s="364"/>
      <c r="N64" s="364"/>
      <c r="O64" s="386"/>
    </row>
    <row r="65" spans="1:15" ht="20.100000000000001" hidden="1" customHeight="1" x14ac:dyDescent="0.2">
      <c r="A65" s="10"/>
      <c r="B65" s="5"/>
      <c r="C65" s="6"/>
      <c r="D65" s="3"/>
      <c r="E65" s="11"/>
      <c r="F65" s="3"/>
      <c r="G65" s="12"/>
      <c r="H65" s="102">
        <f t="shared" si="10"/>
        <v>0</v>
      </c>
      <c r="I65" s="122">
        <f t="shared" si="11"/>
        <v>0</v>
      </c>
      <c r="J65" s="365"/>
      <c r="K65" s="364"/>
      <c r="L65" s="364"/>
      <c r="M65" s="364"/>
      <c r="N65" s="364"/>
      <c r="O65" s="386"/>
    </row>
    <row r="66" spans="1:15" ht="20.100000000000001" hidden="1" customHeight="1" x14ac:dyDescent="0.2">
      <c r="A66" s="10"/>
      <c r="B66" s="5"/>
      <c r="C66" s="6"/>
      <c r="D66" s="3"/>
      <c r="E66" s="11"/>
      <c r="F66" s="3"/>
      <c r="G66" s="12"/>
      <c r="H66" s="102">
        <f t="shared" si="10"/>
        <v>0</v>
      </c>
      <c r="I66" s="122">
        <f t="shared" si="11"/>
        <v>0</v>
      </c>
      <c r="J66" s="365"/>
      <c r="K66" s="364"/>
      <c r="L66" s="364"/>
      <c r="M66" s="364"/>
      <c r="N66" s="364"/>
      <c r="O66" s="386"/>
    </row>
    <row r="67" spans="1:15" ht="20.100000000000001" hidden="1" customHeight="1" x14ac:dyDescent="0.2">
      <c r="A67" s="10"/>
      <c r="B67" s="5"/>
      <c r="C67" s="6"/>
      <c r="D67" s="3"/>
      <c r="E67" s="11"/>
      <c r="F67" s="3"/>
      <c r="G67" s="12"/>
      <c r="H67" s="102">
        <f t="shared" si="10"/>
        <v>0</v>
      </c>
      <c r="I67" s="122">
        <f t="shared" si="11"/>
        <v>0</v>
      </c>
      <c r="J67" s="365"/>
      <c r="K67" s="364"/>
      <c r="L67" s="364"/>
      <c r="M67" s="364"/>
      <c r="N67" s="364"/>
      <c r="O67" s="386"/>
    </row>
    <row r="68" spans="1:15" ht="20.100000000000001" hidden="1" customHeight="1" x14ac:dyDescent="0.2">
      <c r="A68" s="10"/>
      <c r="B68" s="5"/>
      <c r="C68" s="6"/>
      <c r="D68" s="3"/>
      <c r="E68" s="11"/>
      <c r="F68" s="3"/>
      <c r="G68" s="12"/>
      <c r="H68" s="102">
        <f t="shared" si="10"/>
        <v>0</v>
      </c>
      <c r="I68" s="122">
        <f t="shared" si="11"/>
        <v>0</v>
      </c>
      <c r="J68" s="365"/>
      <c r="K68" s="364"/>
      <c r="L68" s="364"/>
      <c r="M68" s="364"/>
      <c r="N68" s="364"/>
      <c r="O68" s="386"/>
    </row>
    <row r="69" spans="1:15" ht="20.100000000000001" hidden="1" customHeight="1" x14ac:dyDescent="0.2">
      <c r="A69" s="10"/>
      <c r="B69" s="5"/>
      <c r="C69" s="6"/>
      <c r="D69" s="3"/>
      <c r="E69" s="11"/>
      <c r="F69" s="3"/>
      <c r="G69" s="12"/>
      <c r="H69" s="102">
        <f t="shared" si="10"/>
        <v>0</v>
      </c>
      <c r="I69" s="122">
        <f t="shared" si="11"/>
        <v>0</v>
      </c>
      <c r="J69" s="365"/>
      <c r="K69" s="364"/>
      <c r="L69" s="364"/>
      <c r="M69" s="364"/>
      <c r="N69" s="364"/>
      <c r="O69" s="386"/>
    </row>
    <row r="70" spans="1:15" ht="20.100000000000001" hidden="1" customHeight="1" x14ac:dyDescent="0.2">
      <c r="A70" s="10"/>
      <c r="B70" s="5"/>
      <c r="C70" s="6"/>
      <c r="D70" s="3"/>
      <c r="E70" s="11"/>
      <c r="F70" s="3"/>
      <c r="G70" s="12"/>
      <c r="H70" s="102">
        <f t="shared" si="10"/>
        <v>0</v>
      </c>
      <c r="I70" s="122">
        <f t="shared" si="11"/>
        <v>0</v>
      </c>
      <c r="J70" s="365"/>
      <c r="K70" s="364"/>
      <c r="L70" s="364"/>
      <c r="M70" s="364"/>
      <c r="N70" s="364"/>
      <c r="O70" s="386"/>
    </row>
    <row r="71" spans="1:15" ht="20.100000000000001" hidden="1" customHeight="1" x14ac:dyDescent="0.2">
      <c r="A71" s="10"/>
      <c r="B71" s="5"/>
      <c r="C71" s="6"/>
      <c r="D71" s="3"/>
      <c r="E71" s="11"/>
      <c r="F71" s="3"/>
      <c r="G71" s="12"/>
      <c r="H71" s="102">
        <f t="shared" si="10"/>
        <v>0</v>
      </c>
      <c r="I71" s="122">
        <f t="shared" si="11"/>
        <v>0</v>
      </c>
      <c r="J71" s="365"/>
      <c r="K71" s="364"/>
      <c r="L71" s="364"/>
      <c r="M71" s="364"/>
      <c r="N71" s="364"/>
      <c r="O71" s="386"/>
    </row>
    <row r="72" spans="1:15" ht="20.100000000000001" hidden="1" customHeight="1" x14ac:dyDescent="0.2">
      <c r="A72" s="10"/>
      <c r="B72" s="5"/>
      <c r="C72" s="6"/>
      <c r="D72" s="3"/>
      <c r="E72" s="11"/>
      <c r="F72" s="3"/>
      <c r="G72" s="12"/>
      <c r="H72" s="102">
        <f t="shared" si="10"/>
        <v>0</v>
      </c>
      <c r="I72" s="122">
        <f t="shared" si="11"/>
        <v>0</v>
      </c>
      <c r="J72" s="365"/>
      <c r="K72" s="364"/>
      <c r="L72" s="364"/>
      <c r="M72" s="364"/>
      <c r="N72" s="364"/>
      <c r="O72" s="386"/>
    </row>
    <row r="73" spans="1:15" ht="20.100000000000001" hidden="1" customHeight="1" x14ac:dyDescent="0.2">
      <c r="A73" s="10"/>
      <c r="B73" s="5"/>
      <c r="C73" s="6"/>
      <c r="D73" s="3"/>
      <c r="E73" s="11"/>
      <c r="F73" s="3"/>
      <c r="G73" s="12"/>
      <c r="H73" s="102">
        <f t="shared" ref="H73:H78" si="12">B73*C73*E73*F73*G73</f>
        <v>0</v>
      </c>
      <c r="I73" s="122">
        <f t="shared" si="9"/>
        <v>0</v>
      </c>
      <c r="J73" s="365"/>
      <c r="K73" s="364"/>
      <c r="L73" s="364"/>
      <c r="M73" s="364"/>
      <c r="N73" s="364"/>
      <c r="O73" s="386"/>
    </row>
    <row r="74" spans="1:15" ht="20.100000000000001" hidden="1" customHeight="1" x14ac:dyDescent="0.2">
      <c r="A74" s="10"/>
      <c r="B74" s="5"/>
      <c r="C74" s="6"/>
      <c r="D74" s="3"/>
      <c r="E74" s="11"/>
      <c r="F74" s="3"/>
      <c r="G74" s="12"/>
      <c r="H74" s="102">
        <f t="shared" si="12"/>
        <v>0</v>
      </c>
      <c r="I74" s="122">
        <f t="shared" si="9"/>
        <v>0</v>
      </c>
      <c r="J74" s="365"/>
      <c r="K74" s="364"/>
      <c r="L74" s="364"/>
      <c r="M74" s="364"/>
      <c r="N74" s="364"/>
      <c r="O74" s="386"/>
    </row>
    <row r="75" spans="1:15" ht="20.100000000000001" hidden="1" customHeight="1" x14ac:dyDescent="0.2">
      <c r="A75" s="10"/>
      <c r="B75" s="5"/>
      <c r="C75" s="6"/>
      <c r="D75" s="3"/>
      <c r="E75" s="11"/>
      <c r="F75" s="3"/>
      <c r="G75" s="12"/>
      <c r="H75" s="102">
        <f t="shared" si="12"/>
        <v>0</v>
      </c>
      <c r="I75" s="122">
        <f t="shared" si="9"/>
        <v>0</v>
      </c>
      <c r="J75" s="365"/>
      <c r="K75" s="364"/>
      <c r="L75" s="364"/>
      <c r="M75" s="364"/>
      <c r="N75" s="364"/>
      <c r="O75" s="386"/>
    </row>
    <row r="76" spans="1:15" ht="20.100000000000001" hidden="1" customHeight="1" x14ac:dyDescent="0.2">
      <c r="A76" s="10"/>
      <c r="B76" s="5"/>
      <c r="C76" s="6"/>
      <c r="D76" s="3"/>
      <c r="E76" s="11"/>
      <c r="F76" s="3"/>
      <c r="G76" s="12"/>
      <c r="H76" s="102">
        <f t="shared" si="12"/>
        <v>0</v>
      </c>
      <c r="I76" s="122">
        <f t="shared" si="9"/>
        <v>0</v>
      </c>
      <c r="J76" s="365"/>
      <c r="K76" s="364"/>
      <c r="L76" s="364"/>
      <c r="M76" s="364"/>
      <c r="N76" s="364"/>
      <c r="O76" s="386"/>
    </row>
    <row r="77" spans="1:15" ht="20.100000000000001" hidden="1" customHeight="1" x14ac:dyDescent="0.2">
      <c r="A77" s="10"/>
      <c r="B77" s="5"/>
      <c r="C77" s="6"/>
      <c r="D77" s="3"/>
      <c r="E77" s="11"/>
      <c r="F77" s="3"/>
      <c r="G77" s="12"/>
      <c r="H77" s="102">
        <f t="shared" si="12"/>
        <v>0</v>
      </c>
      <c r="I77" s="122">
        <f>IFERROR(H77/$H$80,0)</f>
        <v>0</v>
      </c>
      <c r="J77" s="365"/>
      <c r="K77" s="364"/>
      <c r="L77" s="364"/>
      <c r="M77" s="364"/>
      <c r="N77" s="364"/>
      <c r="O77" s="386"/>
    </row>
    <row r="78" spans="1:15" ht="20.100000000000001" hidden="1" customHeight="1" x14ac:dyDescent="0.2">
      <c r="A78" s="10"/>
      <c r="B78" s="5"/>
      <c r="C78" s="6"/>
      <c r="D78" s="3"/>
      <c r="E78" s="11"/>
      <c r="F78" s="3"/>
      <c r="G78" s="12"/>
      <c r="H78" s="102">
        <f t="shared" si="12"/>
        <v>0</v>
      </c>
      <c r="I78" s="122">
        <f>IFERROR(H78/$H$80,0)</f>
        <v>0</v>
      </c>
      <c r="J78" s="365"/>
      <c r="K78" s="364"/>
      <c r="L78" s="364"/>
      <c r="M78" s="364"/>
      <c r="N78" s="364"/>
      <c r="O78" s="386"/>
    </row>
    <row r="79" spans="1:15" ht="20.100000000000001" hidden="1" customHeight="1" x14ac:dyDescent="0.2">
      <c r="A79" s="1143" t="s">
        <v>381</v>
      </c>
      <c r="B79" s="1144"/>
      <c r="C79" s="1144"/>
      <c r="D79" s="1144"/>
      <c r="E79" s="1144"/>
      <c r="F79" s="1144"/>
      <c r="G79" s="1145"/>
      <c r="H79" s="103">
        <f>SUM(H54:H78)</f>
        <v>0</v>
      </c>
      <c r="I79" s="119">
        <f>SUM(I54:I78)</f>
        <v>0</v>
      </c>
      <c r="J79" s="365"/>
      <c r="K79" s="364"/>
      <c r="L79" s="364"/>
      <c r="M79" s="364"/>
      <c r="N79" s="364"/>
      <c r="O79" s="386"/>
    </row>
    <row r="80" spans="1:15" ht="20.100000000000001" hidden="1" customHeight="1" x14ac:dyDescent="0.2">
      <c r="A80" s="1126" t="s">
        <v>382</v>
      </c>
      <c r="B80" s="1127"/>
      <c r="C80" s="1127"/>
      <c r="D80" s="1127"/>
      <c r="E80" s="1127"/>
      <c r="F80" s="1127"/>
      <c r="G80" s="1128"/>
      <c r="H80" s="104">
        <f>H52+H79</f>
        <v>0</v>
      </c>
      <c r="I80" s="120">
        <f>I52+I79</f>
        <v>0</v>
      </c>
      <c r="J80" s="365"/>
      <c r="K80" s="364"/>
      <c r="L80" s="364"/>
      <c r="M80" s="364"/>
      <c r="N80" s="364"/>
      <c r="O80" s="386"/>
    </row>
    <row r="81" spans="1:17" ht="20.100000000000001" customHeight="1" x14ac:dyDescent="0.2">
      <c r="A81" s="384"/>
      <c r="B81" s="105"/>
      <c r="C81" s="105"/>
      <c r="D81" s="106"/>
      <c r="E81" s="106"/>
      <c r="F81" s="106"/>
      <c r="G81" s="106"/>
      <c r="H81" s="107"/>
      <c r="I81" s="385"/>
      <c r="J81" s="365"/>
      <c r="K81" s="364"/>
      <c r="L81" s="364"/>
      <c r="M81" s="364"/>
      <c r="N81" s="364"/>
      <c r="O81" s="386"/>
    </row>
    <row r="82" spans="1:17" ht="20.100000000000001" customHeight="1" x14ac:dyDescent="0.2">
      <c r="A82" s="1151" t="s">
        <v>383</v>
      </c>
      <c r="B82" s="1152"/>
      <c r="C82" s="1152"/>
      <c r="D82" s="1152"/>
      <c r="E82" s="1152"/>
      <c r="F82" s="1152"/>
      <c r="G82" s="1152"/>
      <c r="H82" s="1152"/>
      <c r="I82" s="1153"/>
      <c r="J82" s="365"/>
      <c r="K82" s="364"/>
      <c r="L82" s="364"/>
      <c r="M82" s="364"/>
      <c r="N82" s="364"/>
      <c r="O82" s="386"/>
    </row>
    <row r="83" spans="1:17" ht="25.5" customHeight="1" x14ac:dyDescent="0.2">
      <c r="A83" s="1146" t="s">
        <v>370</v>
      </c>
      <c r="B83" s="1147"/>
      <c r="C83" s="1147"/>
      <c r="D83" s="383" t="s">
        <v>119</v>
      </c>
      <c r="E83" s="108" t="s">
        <v>373</v>
      </c>
      <c r="F83" s="1160" t="s">
        <v>384</v>
      </c>
      <c r="G83" s="1161"/>
      <c r="H83" s="108" t="s">
        <v>376</v>
      </c>
      <c r="I83" s="121" t="s">
        <v>377</v>
      </c>
      <c r="J83" s="929" t="s">
        <v>385</v>
      </c>
      <c r="K83" s="930" t="s">
        <v>386</v>
      </c>
      <c r="L83" s="364"/>
      <c r="M83" s="364"/>
      <c r="N83" s="364"/>
      <c r="O83" s="386"/>
    </row>
    <row r="84" spans="1:17" ht="25.5" customHeight="1" x14ac:dyDescent="0.2">
      <c r="A84" s="1148" t="s">
        <v>1541</v>
      </c>
      <c r="B84" s="1149"/>
      <c r="C84" s="1150"/>
      <c r="D84" s="109" t="s">
        <v>387</v>
      </c>
      <c r="E84" s="612">
        <v>1</v>
      </c>
      <c r="F84" s="1162">
        <v>92760628.554720387</v>
      </c>
      <c r="G84" s="1163"/>
      <c r="H84" s="613">
        <f t="shared" ref="H84:H88" si="13">+F84*E84</f>
        <v>92760628.554720387</v>
      </c>
      <c r="I84" s="922">
        <f t="shared" ref="I84:I88" si="14">IFERROR(K84/$K$126,0)</f>
        <v>8.5569882155129659E-2</v>
      </c>
      <c r="J84" s="611">
        <f>H84*0.19</f>
        <v>17624519.425396875</v>
      </c>
      <c r="K84" s="144">
        <f t="shared" ref="K84:K92" si="15">H84+J84</f>
        <v>110385147.98011726</v>
      </c>
      <c r="L84" s="364"/>
      <c r="M84" s="364"/>
      <c r="N84" s="364"/>
      <c r="O84" s="386"/>
    </row>
    <row r="85" spans="1:17" ht="25.5" customHeight="1" x14ac:dyDescent="0.2">
      <c r="A85" s="1148" t="s">
        <v>1542</v>
      </c>
      <c r="B85" s="1149"/>
      <c r="C85" s="1150"/>
      <c r="D85" s="109" t="s">
        <v>387</v>
      </c>
      <c r="E85" s="612">
        <v>1</v>
      </c>
      <c r="F85" s="1162">
        <v>149451400</v>
      </c>
      <c r="G85" s="1163"/>
      <c r="H85" s="613">
        <f t="shared" si="13"/>
        <v>149451400</v>
      </c>
      <c r="I85" s="922">
        <f t="shared" si="14"/>
        <v>0.13786602015503877</v>
      </c>
      <c r="J85" s="611">
        <f t="shared" ref="J85:J92" si="16">H85*0.19</f>
        <v>28395766</v>
      </c>
      <c r="K85" s="144">
        <f t="shared" si="15"/>
        <v>177847166</v>
      </c>
      <c r="L85" s="364"/>
      <c r="M85" s="364"/>
      <c r="N85" s="364"/>
      <c r="O85" s="386"/>
    </row>
    <row r="86" spans="1:17" ht="25.5" customHeight="1" x14ac:dyDescent="0.2">
      <c r="A86" s="1148" t="s">
        <v>1543</v>
      </c>
      <c r="B86" s="1149"/>
      <c r="C86" s="1150"/>
      <c r="D86" s="109" t="s">
        <v>387</v>
      </c>
      <c r="E86" s="612">
        <v>1</v>
      </c>
      <c r="F86" s="1162">
        <v>28620300</v>
      </c>
      <c r="G86" s="1163"/>
      <c r="H86" s="613">
        <f t="shared" si="13"/>
        <v>28620300</v>
      </c>
      <c r="I86" s="922">
        <f t="shared" si="14"/>
        <v>2.2186279069767442E-2</v>
      </c>
      <c r="J86" s="611"/>
      <c r="K86" s="144">
        <f t="shared" si="15"/>
        <v>28620300</v>
      </c>
      <c r="L86" s="364"/>
      <c r="M86" s="364"/>
      <c r="N86" s="364"/>
      <c r="O86" s="386"/>
    </row>
    <row r="87" spans="1:17" ht="25.5" customHeight="1" x14ac:dyDescent="0.2">
      <c r="A87" s="1148" t="s">
        <v>1544</v>
      </c>
      <c r="B87" s="1149"/>
      <c r="C87" s="1150"/>
      <c r="D87" s="109" t="s">
        <v>387</v>
      </c>
      <c r="E87" s="612">
        <v>1</v>
      </c>
      <c r="F87" s="1162">
        <v>380000000</v>
      </c>
      <c r="G87" s="1163"/>
      <c r="H87" s="613">
        <f t="shared" si="13"/>
        <v>380000000</v>
      </c>
      <c r="I87" s="922">
        <f t="shared" si="14"/>
        <v>0.29457364341085274</v>
      </c>
      <c r="J87" s="611"/>
      <c r="K87" s="144">
        <f t="shared" si="15"/>
        <v>380000000</v>
      </c>
      <c r="L87" s="364"/>
      <c r="M87" s="364"/>
      <c r="N87" s="364"/>
      <c r="O87" s="386"/>
    </row>
    <row r="88" spans="1:17" ht="25.5" customHeight="1" x14ac:dyDescent="0.2">
      <c r="A88" s="1148" t="s">
        <v>1545</v>
      </c>
      <c r="B88" s="1149"/>
      <c r="C88" s="1150"/>
      <c r="D88" s="109" t="s">
        <v>387</v>
      </c>
      <c r="E88" s="612">
        <v>1</v>
      </c>
      <c r="F88" s="1162">
        <v>72015000</v>
      </c>
      <c r="G88" s="1163"/>
      <c r="H88" s="613">
        <f t="shared" si="13"/>
        <v>72015000</v>
      </c>
      <c r="I88" s="922">
        <f t="shared" si="14"/>
        <v>6.6432441860465111E-2</v>
      </c>
      <c r="J88" s="611">
        <f t="shared" si="16"/>
        <v>13682850</v>
      </c>
      <c r="K88" s="144">
        <f t="shared" si="15"/>
        <v>85697850</v>
      </c>
      <c r="L88" s="364"/>
      <c r="M88" s="364"/>
      <c r="N88" s="364"/>
      <c r="O88" s="386"/>
    </row>
    <row r="89" spans="1:17" ht="31.5" customHeight="1" x14ac:dyDescent="0.2">
      <c r="A89" s="1148" t="s">
        <v>1546</v>
      </c>
      <c r="B89" s="1149"/>
      <c r="C89" s="1150"/>
      <c r="D89" s="109" t="s">
        <v>387</v>
      </c>
      <c r="E89" s="612">
        <v>1</v>
      </c>
      <c r="F89" s="1162">
        <v>33765000</v>
      </c>
      <c r="G89" s="1163"/>
      <c r="H89" s="613">
        <f>+F89*E89</f>
        <v>33765000</v>
      </c>
      <c r="I89" s="922">
        <f>IFERROR(K89/$K$126,0)</f>
        <v>3.1147558139534882E-2</v>
      </c>
      <c r="J89" s="611">
        <f t="shared" si="16"/>
        <v>6415350</v>
      </c>
      <c r="K89" s="144">
        <f t="shared" si="15"/>
        <v>40180350</v>
      </c>
      <c r="L89" s="364"/>
      <c r="M89" s="364"/>
      <c r="N89" s="364"/>
      <c r="O89" s="386"/>
      <c r="P89" s="733"/>
      <c r="Q89" s="928"/>
    </row>
    <row r="90" spans="1:17" ht="29.25" customHeight="1" x14ac:dyDescent="0.2">
      <c r="A90" s="1148" t="s">
        <v>1547</v>
      </c>
      <c r="B90" s="1149"/>
      <c r="C90" s="1150"/>
      <c r="D90" s="109" t="s">
        <v>387</v>
      </c>
      <c r="E90" s="612">
        <v>1</v>
      </c>
      <c r="F90" s="1162">
        <v>12515000</v>
      </c>
      <c r="G90" s="1163"/>
      <c r="H90" s="613">
        <f>+F90*E90</f>
        <v>12515000</v>
      </c>
      <c r="I90" s="922">
        <f>IFERROR(K90/$K$126,0)</f>
        <v>1.154484496124031E-2</v>
      </c>
      <c r="J90" s="611">
        <f t="shared" si="16"/>
        <v>2377850</v>
      </c>
      <c r="K90" s="144">
        <f t="shared" si="15"/>
        <v>14892850</v>
      </c>
      <c r="L90" s="364"/>
      <c r="M90" s="364"/>
      <c r="N90" s="364"/>
      <c r="O90" s="386"/>
      <c r="P90" s="737"/>
      <c r="Q90" s="928"/>
    </row>
    <row r="91" spans="1:17" ht="20.100000000000001" customHeight="1" x14ac:dyDescent="0.2">
      <c r="A91" s="1148" t="s">
        <v>1548</v>
      </c>
      <c r="B91" s="1149"/>
      <c r="C91" s="1150"/>
      <c r="D91" s="109" t="s">
        <v>387</v>
      </c>
      <c r="E91" s="110">
        <v>1</v>
      </c>
      <c r="F91" s="1162">
        <v>165000</v>
      </c>
      <c r="G91" s="1163"/>
      <c r="H91" s="613">
        <f>+F91*E91</f>
        <v>165000</v>
      </c>
      <c r="I91" s="922">
        <f>IFERROR(K91/$K$126,0)</f>
        <v>1.5220930232558139E-4</v>
      </c>
      <c r="J91" s="611">
        <f t="shared" si="16"/>
        <v>31350</v>
      </c>
      <c r="K91" s="144">
        <f t="shared" si="15"/>
        <v>196350</v>
      </c>
      <c r="L91" s="144"/>
      <c r="M91" s="364"/>
      <c r="N91" s="364"/>
      <c r="O91" s="386"/>
      <c r="P91" s="733"/>
      <c r="Q91" s="928"/>
    </row>
    <row r="92" spans="1:17" ht="20.100000000000001" customHeight="1" x14ac:dyDescent="0.2">
      <c r="A92" s="1148" t="s">
        <v>1549</v>
      </c>
      <c r="B92" s="1149"/>
      <c r="C92" s="1150"/>
      <c r="D92" s="109" t="s">
        <v>387</v>
      </c>
      <c r="E92" s="110">
        <v>1</v>
      </c>
      <c r="F92" s="1162">
        <v>350015000</v>
      </c>
      <c r="G92" s="1163"/>
      <c r="H92" s="613">
        <f t="shared" ref="H92:H110" si="17">+F92*E92</f>
        <v>350015000</v>
      </c>
      <c r="I92" s="922">
        <f>IFERROR(K92/$K$126,0)</f>
        <v>0.32288205426356587</v>
      </c>
      <c r="J92" s="611">
        <f t="shared" si="16"/>
        <v>66502850</v>
      </c>
      <c r="K92" s="144">
        <f t="shared" si="15"/>
        <v>416517850</v>
      </c>
      <c r="L92" s="144"/>
      <c r="M92" s="364"/>
      <c r="N92" s="364"/>
      <c r="O92" s="386"/>
      <c r="P92" s="737"/>
      <c r="Q92" s="928"/>
    </row>
    <row r="93" spans="1:17" ht="20.100000000000001" customHeight="1" x14ac:dyDescent="0.2">
      <c r="A93" s="1148" t="s">
        <v>1550</v>
      </c>
      <c r="B93" s="1149"/>
      <c r="C93" s="1150"/>
      <c r="D93" s="109" t="s">
        <v>387</v>
      </c>
      <c r="E93" s="110">
        <v>1</v>
      </c>
      <c r="F93" s="1162">
        <v>35662136.019882701</v>
      </c>
      <c r="G93" s="1163"/>
      <c r="H93" s="613">
        <f>+F93*E93</f>
        <v>35662136.019882701</v>
      </c>
      <c r="I93" s="922">
        <f>IFERROR(K93/$K$126,0)</f>
        <v>2.7645066682079614E-2</v>
      </c>
      <c r="J93" s="611"/>
      <c r="K93" s="144">
        <f t="shared" ref="K93" si="18">H93+J93</f>
        <v>35662136.019882701</v>
      </c>
      <c r="L93" s="144"/>
      <c r="M93" s="364"/>
      <c r="N93" s="364"/>
      <c r="O93" s="386"/>
      <c r="P93" s="733"/>
      <c r="Q93" s="928"/>
    </row>
    <row r="94" spans="1:17" ht="20.100000000000001" hidden="1" customHeight="1" x14ac:dyDescent="0.2">
      <c r="A94" s="1120"/>
      <c r="B94" s="1121"/>
      <c r="C94" s="1121"/>
      <c r="D94" s="109"/>
      <c r="E94" s="110"/>
      <c r="F94" s="1122"/>
      <c r="G94" s="1123"/>
      <c r="H94" s="613">
        <f t="shared" si="17"/>
        <v>0</v>
      </c>
      <c r="I94" s="122">
        <f t="shared" ref="I94:I125" si="19">IFERROR(H94/$H$126,0)</f>
        <v>0</v>
      </c>
      <c r="J94" s="365"/>
      <c r="K94" s="364"/>
      <c r="L94" s="144"/>
      <c r="M94" s="364"/>
      <c r="N94" s="364"/>
      <c r="O94" s="386"/>
    </row>
    <row r="95" spans="1:17" ht="20.100000000000001" hidden="1" customHeight="1" x14ac:dyDescent="0.2">
      <c r="A95" s="1120"/>
      <c r="B95" s="1121"/>
      <c r="C95" s="1121"/>
      <c r="D95" s="109"/>
      <c r="E95" s="110"/>
      <c r="F95" s="1122"/>
      <c r="G95" s="1123"/>
      <c r="H95" s="613">
        <f t="shared" si="17"/>
        <v>0</v>
      </c>
      <c r="I95" s="122">
        <f t="shared" si="19"/>
        <v>0</v>
      </c>
      <c r="J95" s="365"/>
      <c r="K95" s="364"/>
      <c r="L95" s="144"/>
      <c r="M95" s="364"/>
      <c r="N95" s="364"/>
      <c r="O95" s="386"/>
    </row>
    <row r="96" spans="1:17" ht="20.100000000000001" hidden="1" customHeight="1" x14ac:dyDescent="0.2">
      <c r="A96" s="1120"/>
      <c r="B96" s="1121"/>
      <c r="C96" s="1121"/>
      <c r="D96" s="109"/>
      <c r="E96" s="110"/>
      <c r="F96" s="1122"/>
      <c r="G96" s="1123"/>
      <c r="H96" s="613">
        <f t="shared" si="17"/>
        <v>0</v>
      </c>
      <c r="I96" s="122">
        <f t="shared" si="19"/>
        <v>0</v>
      </c>
      <c r="J96" s="365"/>
      <c r="K96" s="364"/>
      <c r="L96" s="144"/>
      <c r="M96" s="364"/>
      <c r="N96" s="364"/>
      <c r="O96" s="386"/>
    </row>
    <row r="97" spans="1:15" ht="20.100000000000001" hidden="1" customHeight="1" x14ac:dyDescent="0.2">
      <c r="A97" s="1120"/>
      <c r="B97" s="1121"/>
      <c r="C97" s="1121"/>
      <c r="D97" s="109"/>
      <c r="E97" s="110"/>
      <c r="F97" s="1122"/>
      <c r="G97" s="1123"/>
      <c r="H97" s="613">
        <f t="shared" si="17"/>
        <v>0</v>
      </c>
      <c r="I97" s="122">
        <f t="shared" si="19"/>
        <v>0</v>
      </c>
      <c r="J97" s="365"/>
      <c r="K97" s="364"/>
      <c r="L97" s="144"/>
      <c r="M97" s="364"/>
      <c r="N97" s="364"/>
      <c r="O97" s="386"/>
    </row>
    <row r="98" spans="1:15" ht="20.100000000000001" hidden="1" customHeight="1" x14ac:dyDescent="0.2">
      <c r="A98" s="1120"/>
      <c r="B98" s="1121"/>
      <c r="C98" s="1121"/>
      <c r="D98" s="109"/>
      <c r="E98" s="110"/>
      <c r="F98" s="1122"/>
      <c r="G98" s="1123"/>
      <c r="H98" s="613">
        <f t="shared" si="17"/>
        <v>0</v>
      </c>
      <c r="I98" s="122">
        <f t="shared" si="19"/>
        <v>0</v>
      </c>
      <c r="J98" s="365"/>
      <c r="K98" s="364"/>
      <c r="L98" s="144"/>
      <c r="M98" s="364"/>
      <c r="N98" s="364"/>
      <c r="O98" s="386"/>
    </row>
    <row r="99" spans="1:15" ht="20.100000000000001" hidden="1" customHeight="1" x14ac:dyDescent="0.2">
      <c r="A99" s="1120"/>
      <c r="B99" s="1121"/>
      <c r="C99" s="1121"/>
      <c r="D99" s="109"/>
      <c r="E99" s="110"/>
      <c r="F99" s="1122"/>
      <c r="G99" s="1123"/>
      <c r="H99" s="613">
        <f t="shared" si="17"/>
        <v>0</v>
      </c>
      <c r="I99" s="122">
        <f t="shared" si="19"/>
        <v>0</v>
      </c>
      <c r="J99" s="365"/>
      <c r="K99" s="364"/>
      <c r="L99" s="144"/>
      <c r="M99" s="364"/>
      <c r="N99" s="364"/>
      <c r="O99" s="386"/>
    </row>
    <row r="100" spans="1:15" ht="20.100000000000001" hidden="1" customHeight="1" x14ac:dyDescent="0.2">
      <c r="A100" s="1120"/>
      <c r="B100" s="1121"/>
      <c r="C100" s="1121"/>
      <c r="D100" s="109"/>
      <c r="E100" s="110"/>
      <c r="F100" s="1122"/>
      <c r="G100" s="1123"/>
      <c r="H100" s="613">
        <f t="shared" si="17"/>
        <v>0</v>
      </c>
      <c r="I100" s="122">
        <f t="shared" si="19"/>
        <v>0</v>
      </c>
      <c r="J100" s="365"/>
      <c r="K100" s="364"/>
      <c r="L100" s="144"/>
      <c r="M100" s="364"/>
      <c r="N100" s="364"/>
      <c r="O100" s="386"/>
    </row>
    <row r="101" spans="1:15" ht="20.100000000000001" hidden="1" customHeight="1" x14ac:dyDescent="0.2">
      <c r="A101" s="1120"/>
      <c r="B101" s="1121"/>
      <c r="C101" s="1121"/>
      <c r="D101" s="109"/>
      <c r="E101" s="110"/>
      <c r="F101" s="1122"/>
      <c r="G101" s="1123"/>
      <c r="H101" s="613">
        <f t="shared" si="17"/>
        <v>0</v>
      </c>
      <c r="I101" s="122">
        <f t="shared" si="19"/>
        <v>0</v>
      </c>
      <c r="J101" s="365"/>
      <c r="K101" s="364"/>
      <c r="L101" s="144"/>
      <c r="M101" s="364"/>
      <c r="N101" s="364"/>
      <c r="O101" s="386"/>
    </row>
    <row r="102" spans="1:15" ht="20.100000000000001" hidden="1" customHeight="1" x14ac:dyDescent="0.2">
      <c r="A102" s="1120"/>
      <c r="B102" s="1121"/>
      <c r="C102" s="1121"/>
      <c r="D102" s="109"/>
      <c r="E102" s="110"/>
      <c r="F102" s="1122"/>
      <c r="G102" s="1123"/>
      <c r="H102" s="613">
        <f t="shared" si="17"/>
        <v>0</v>
      </c>
      <c r="I102" s="122">
        <f t="shared" si="19"/>
        <v>0</v>
      </c>
      <c r="J102" s="365"/>
      <c r="K102" s="364"/>
      <c r="L102" s="144"/>
      <c r="M102" s="364"/>
      <c r="N102" s="364"/>
      <c r="O102" s="386"/>
    </row>
    <row r="103" spans="1:15" ht="20.100000000000001" hidden="1" customHeight="1" x14ac:dyDescent="0.2">
      <c r="A103" s="1120"/>
      <c r="B103" s="1121"/>
      <c r="C103" s="1121"/>
      <c r="D103" s="109"/>
      <c r="E103" s="110"/>
      <c r="F103" s="1122"/>
      <c r="G103" s="1123"/>
      <c r="H103" s="613">
        <f t="shared" si="17"/>
        <v>0</v>
      </c>
      <c r="I103" s="122">
        <f t="shared" si="19"/>
        <v>0</v>
      </c>
      <c r="J103" s="365"/>
      <c r="K103" s="364"/>
      <c r="L103" s="144"/>
      <c r="M103" s="364"/>
      <c r="N103" s="364"/>
      <c r="O103" s="386"/>
    </row>
    <row r="104" spans="1:15" ht="20.100000000000001" hidden="1" customHeight="1" x14ac:dyDescent="0.2">
      <c r="A104" s="1120"/>
      <c r="B104" s="1121"/>
      <c r="C104" s="1121"/>
      <c r="D104" s="109"/>
      <c r="E104" s="110"/>
      <c r="F104" s="1122"/>
      <c r="G104" s="1123"/>
      <c r="H104" s="613">
        <f t="shared" si="17"/>
        <v>0</v>
      </c>
      <c r="I104" s="122">
        <f t="shared" si="19"/>
        <v>0</v>
      </c>
      <c r="J104" s="365"/>
      <c r="K104" s="364"/>
      <c r="L104" s="144"/>
      <c r="M104" s="364"/>
      <c r="N104" s="364"/>
      <c r="O104" s="386"/>
    </row>
    <row r="105" spans="1:15" ht="20.100000000000001" hidden="1" customHeight="1" x14ac:dyDescent="0.2">
      <c r="A105" s="1120"/>
      <c r="B105" s="1121"/>
      <c r="C105" s="1121"/>
      <c r="D105" s="109"/>
      <c r="E105" s="110"/>
      <c r="F105" s="1122"/>
      <c r="G105" s="1123"/>
      <c r="H105" s="613">
        <f t="shared" si="17"/>
        <v>0</v>
      </c>
      <c r="I105" s="122">
        <f t="shared" si="19"/>
        <v>0</v>
      </c>
      <c r="J105" s="365"/>
      <c r="K105" s="364"/>
      <c r="L105" s="144"/>
      <c r="M105" s="364"/>
      <c r="N105" s="364"/>
      <c r="O105" s="386"/>
    </row>
    <row r="106" spans="1:15" ht="20.100000000000001" hidden="1" customHeight="1" x14ac:dyDescent="0.2">
      <c r="A106" s="1120"/>
      <c r="B106" s="1121"/>
      <c r="C106" s="1121"/>
      <c r="D106" s="109"/>
      <c r="E106" s="110"/>
      <c r="F106" s="1122"/>
      <c r="G106" s="1123"/>
      <c r="H106" s="613">
        <f t="shared" si="17"/>
        <v>0</v>
      </c>
      <c r="I106" s="122">
        <f t="shared" si="19"/>
        <v>0</v>
      </c>
      <c r="J106" s="365"/>
      <c r="K106" s="364"/>
      <c r="L106" s="144"/>
      <c r="M106" s="364"/>
      <c r="N106" s="364"/>
      <c r="O106" s="386"/>
    </row>
    <row r="107" spans="1:15" ht="20.100000000000001" hidden="1" customHeight="1" x14ac:dyDescent="0.2">
      <c r="A107" s="1120"/>
      <c r="B107" s="1121"/>
      <c r="C107" s="1121"/>
      <c r="D107" s="109"/>
      <c r="E107" s="110"/>
      <c r="F107" s="1122"/>
      <c r="G107" s="1123"/>
      <c r="H107" s="613">
        <f t="shared" si="17"/>
        <v>0</v>
      </c>
      <c r="I107" s="122">
        <f t="shared" si="19"/>
        <v>0</v>
      </c>
      <c r="J107" s="365"/>
      <c r="K107" s="364"/>
      <c r="L107" s="144"/>
      <c r="M107" s="364"/>
      <c r="N107" s="364"/>
      <c r="O107" s="386"/>
    </row>
    <row r="108" spans="1:15" ht="20.100000000000001" hidden="1" customHeight="1" x14ac:dyDescent="0.2">
      <c r="A108" s="1120"/>
      <c r="B108" s="1121"/>
      <c r="C108" s="1121"/>
      <c r="D108" s="109"/>
      <c r="E108" s="110"/>
      <c r="F108" s="1122"/>
      <c r="G108" s="1123"/>
      <c r="H108" s="613">
        <f t="shared" si="17"/>
        <v>0</v>
      </c>
      <c r="I108" s="122">
        <f t="shared" si="19"/>
        <v>0</v>
      </c>
      <c r="J108" s="365"/>
      <c r="K108" s="364"/>
      <c r="L108" s="144"/>
      <c r="M108" s="364"/>
      <c r="N108" s="364"/>
      <c r="O108" s="386"/>
    </row>
    <row r="109" spans="1:15" ht="20.100000000000001" hidden="1" customHeight="1" x14ac:dyDescent="0.2">
      <c r="A109" s="1120"/>
      <c r="B109" s="1121"/>
      <c r="C109" s="1121"/>
      <c r="D109" s="109"/>
      <c r="E109" s="110"/>
      <c r="F109" s="1122"/>
      <c r="G109" s="1123"/>
      <c r="H109" s="613">
        <f t="shared" si="17"/>
        <v>0</v>
      </c>
      <c r="I109" s="122">
        <f t="shared" si="19"/>
        <v>0</v>
      </c>
      <c r="J109" s="365"/>
      <c r="K109" s="364"/>
      <c r="L109" s="144"/>
      <c r="M109" s="364"/>
      <c r="N109" s="364"/>
      <c r="O109" s="386"/>
    </row>
    <row r="110" spans="1:15" ht="20.100000000000001" hidden="1" customHeight="1" x14ac:dyDescent="0.2">
      <c r="A110" s="1120"/>
      <c r="B110" s="1121"/>
      <c r="C110" s="1121"/>
      <c r="D110" s="109"/>
      <c r="E110" s="110"/>
      <c r="F110" s="1122"/>
      <c r="G110" s="1123"/>
      <c r="H110" s="613">
        <f t="shared" si="17"/>
        <v>0</v>
      </c>
      <c r="I110" s="122">
        <f t="shared" si="19"/>
        <v>0</v>
      </c>
      <c r="J110" s="365"/>
      <c r="K110" s="364"/>
      <c r="L110" s="144"/>
      <c r="M110" s="364"/>
      <c r="N110" s="364"/>
      <c r="O110" s="386"/>
    </row>
    <row r="111" spans="1:15" ht="20.100000000000001" hidden="1" customHeight="1" x14ac:dyDescent="0.2">
      <c r="A111" s="1120"/>
      <c r="B111" s="1121"/>
      <c r="C111" s="1121"/>
      <c r="D111" s="109"/>
      <c r="E111" s="110"/>
      <c r="F111" s="1122"/>
      <c r="G111" s="1123"/>
      <c r="H111" s="111">
        <f t="shared" ref="H111" si="20">+F111*E111</f>
        <v>0</v>
      </c>
      <c r="I111" s="122">
        <f t="shared" si="19"/>
        <v>0</v>
      </c>
      <c r="J111" s="365"/>
      <c r="K111" s="364"/>
      <c r="L111" s="364"/>
      <c r="M111" s="364"/>
      <c r="N111" s="364"/>
      <c r="O111" s="386"/>
    </row>
    <row r="112" spans="1:15" ht="20.100000000000001" hidden="1" customHeight="1" x14ac:dyDescent="0.2">
      <c r="A112" s="1120"/>
      <c r="B112" s="1121"/>
      <c r="C112" s="1121"/>
      <c r="D112" s="109"/>
      <c r="E112" s="110"/>
      <c r="F112" s="1122"/>
      <c r="G112" s="1123"/>
      <c r="H112" s="111">
        <f t="shared" ref="H112:H125" si="21">+F112*E112</f>
        <v>0</v>
      </c>
      <c r="I112" s="122">
        <f t="shared" si="19"/>
        <v>0</v>
      </c>
      <c r="J112" s="365"/>
      <c r="K112" s="364"/>
      <c r="L112" s="364"/>
      <c r="M112" s="364"/>
      <c r="N112" s="364"/>
      <c r="O112" s="386"/>
    </row>
    <row r="113" spans="1:17" ht="20.100000000000001" hidden="1" customHeight="1" x14ac:dyDescent="0.2">
      <c r="A113" s="1120"/>
      <c r="B113" s="1121"/>
      <c r="C113" s="1121"/>
      <c r="D113" s="109"/>
      <c r="E113" s="110"/>
      <c r="F113" s="1122"/>
      <c r="G113" s="1123"/>
      <c r="H113" s="111">
        <f t="shared" si="21"/>
        <v>0</v>
      </c>
      <c r="I113" s="122">
        <f t="shared" si="19"/>
        <v>0</v>
      </c>
      <c r="J113" s="365"/>
      <c r="K113" s="364"/>
      <c r="L113" s="364"/>
      <c r="M113" s="364"/>
      <c r="N113" s="364"/>
      <c r="O113" s="386"/>
    </row>
    <row r="114" spans="1:17" ht="20.100000000000001" hidden="1" customHeight="1" x14ac:dyDescent="0.2">
      <c r="A114" s="1120"/>
      <c r="B114" s="1121"/>
      <c r="C114" s="1121"/>
      <c r="D114" s="109"/>
      <c r="E114" s="110"/>
      <c r="F114" s="1122"/>
      <c r="G114" s="1123"/>
      <c r="H114" s="111">
        <f t="shared" si="21"/>
        <v>0</v>
      </c>
      <c r="I114" s="122">
        <f t="shared" si="19"/>
        <v>0</v>
      </c>
      <c r="J114" s="365"/>
      <c r="K114" s="364"/>
      <c r="L114" s="364"/>
      <c r="M114" s="364"/>
      <c r="N114" s="364"/>
      <c r="O114" s="386"/>
    </row>
    <row r="115" spans="1:17" ht="20.100000000000001" hidden="1" customHeight="1" x14ac:dyDescent="0.2">
      <c r="A115" s="1120"/>
      <c r="B115" s="1121"/>
      <c r="C115" s="1121"/>
      <c r="D115" s="109"/>
      <c r="E115" s="110"/>
      <c r="F115" s="1122"/>
      <c r="G115" s="1123"/>
      <c r="H115" s="111">
        <f t="shared" si="21"/>
        <v>0</v>
      </c>
      <c r="I115" s="122">
        <f t="shared" si="19"/>
        <v>0</v>
      </c>
      <c r="J115" s="365"/>
      <c r="K115" s="364"/>
      <c r="L115" s="364"/>
      <c r="M115" s="364"/>
      <c r="N115" s="364"/>
      <c r="O115" s="386"/>
    </row>
    <row r="116" spans="1:17" ht="20.100000000000001" hidden="1" customHeight="1" x14ac:dyDescent="0.2">
      <c r="A116" s="1120"/>
      <c r="B116" s="1121"/>
      <c r="C116" s="1121"/>
      <c r="D116" s="109"/>
      <c r="E116" s="110"/>
      <c r="F116" s="1122"/>
      <c r="G116" s="1123"/>
      <c r="H116" s="111">
        <f t="shared" si="21"/>
        <v>0</v>
      </c>
      <c r="I116" s="122">
        <f t="shared" si="19"/>
        <v>0</v>
      </c>
      <c r="J116" s="365"/>
      <c r="K116" s="364"/>
      <c r="L116" s="364"/>
      <c r="M116" s="364"/>
      <c r="N116" s="364"/>
      <c r="O116" s="386"/>
    </row>
    <row r="117" spans="1:17" ht="20.100000000000001" hidden="1" customHeight="1" x14ac:dyDescent="0.2">
      <c r="A117" s="1120"/>
      <c r="B117" s="1121"/>
      <c r="C117" s="1121"/>
      <c r="D117" s="109"/>
      <c r="E117" s="110"/>
      <c r="F117" s="1122"/>
      <c r="G117" s="1123"/>
      <c r="H117" s="111">
        <f t="shared" si="21"/>
        <v>0</v>
      </c>
      <c r="I117" s="122">
        <f t="shared" si="19"/>
        <v>0</v>
      </c>
      <c r="J117" s="365"/>
      <c r="K117" s="364"/>
      <c r="L117" s="364"/>
      <c r="M117" s="364"/>
      <c r="N117" s="364"/>
      <c r="O117" s="386"/>
    </row>
    <row r="118" spans="1:17" ht="20.100000000000001" hidden="1" customHeight="1" x14ac:dyDescent="0.2">
      <c r="A118" s="1120"/>
      <c r="B118" s="1121"/>
      <c r="C118" s="1121"/>
      <c r="D118" s="109"/>
      <c r="E118" s="110"/>
      <c r="F118" s="1122"/>
      <c r="G118" s="1123"/>
      <c r="H118" s="111">
        <f t="shared" si="21"/>
        <v>0</v>
      </c>
      <c r="I118" s="122">
        <f t="shared" si="19"/>
        <v>0</v>
      </c>
      <c r="J118" s="365"/>
      <c r="K118" s="364"/>
      <c r="L118" s="364"/>
      <c r="M118" s="364"/>
      <c r="N118" s="364"/>
      <c r="O118" s="386"/>
    </row>
    <row r="119" spans="1:17" ht="20.100000000000001" hidden="1" customHeight="1" x14ac:dyDescent="0.2">
      <c r="A119" s="1120"/>
      <c r="B119" s="1121"/>
      <c r="C119" s="1121"/>
      <c r="D119" s="109"/>
      <c r="E119" s="110"/>
      <c r="F119" s="1122"/>
      <c r="G119" s="1123"/>
      <c r="H119" s="111">
        <f t="shared" si="21"/>
        <v>0</v>
      </c>
      <c r="I119" s="122">
        <f t="shared" si="19"/>
        <v>0</v>
      </c>
      <c r="J119" s="365"/>
      <c r="K119" s="364"/>
      <c r="L119" s="364"/>
      <c r="M119" s="364"/>
      <c r="N119" s="364"/>
      <c r="O119" s="386"/>
    </row>
    <row r="120" spans="1:17" ht="20.100000000000001" hidden="1" customHeight="1" x14ac:dyDescent="0.2">
      <c r="A120" s="1120"/>
      <c r="B120" s="1121"/>
      <c r="C120" s="1121"/>
      <c r="D120" s="109"/>
      <c r="E120" s="110"/>
      <c r="F120" s="1122"/>
      <c r="G120" s="1123"/>
      <c r="H120" s="111">
        <f t="shared" si="21"/>
        <v>0</v>
      </c>
      <c r="I120" s="122">
        <f t="shared" si="19"/>
        <v>0</v>
      </c>
      <c r="J120" s="365"/>
      <c r="K120" s="364"/>
      <c r="L120" s="364"/>
      <c r="M120" s="364"/>
      <c r="N120" s="364"/>
      <c r="O120" s="386"/>
    </row>
    <row r="121" spans="1:17" ht="20.100000000000001" hidden="1" customHeight="1" x14ac:dyDescent="0.2">
      <c r="A121" s="1120"/>
      <c r="B121" s="1121"/>
      <c r="C121" s="1121"/>
      <c r="D121" s="109"/>
      <c r="E121" s="110"/>
      <c r="F121" s="1122"/>
      <c r="G121" s="1123"/>
      <c r="H121" s="111">
        <f t="shared" si="21"/>
        <v>0</v>
      </c>
      <c r="I121" s="122">
        <f t="shared" si="19"/>
        <v>0</v>
      </c>
      <c r="J121" s="365"/>
      <c r="K121" s="364"/>
      <c r="L121" s="364"/>
      <c r="M121" s="364"/>
      <c r="N121" s="364"/>
      <c r="O121" s="386"/>
    </row>
    <row r="122" spans="1:17" ht="20.100000000000001" hidden="1" customHeight="1" x14ac:dyDescent="0.2">
      <c r="A122" s="1120"/>
      <c r="B122" s="1121"/>
      <c r="C122" s="1121"/>
      <c r="D122" s="109"/>
      <c r="E122" s="110"/>
      <c r="F122" s="1122"/>
      <c r="G122" s="1123"/>
      <c r="H122" s="111">
        <f t="shared" si="21"/>
        <v>0</v>
      </c>
      <c r="I122" s="122">
        <f t="shared" si="19"/>
        <v>0</v>
      </c>
      <c r="J122" s="365"/>
      <c r="K122" s="364"/>
      <c r="L122" s="364"/>
      <c r="M122" s="364"/>
      <c r="N122" s="364"/>
      <c r="O122" s="386"/>
    </row>
    <row r="123" spans="1:17" ht="20.100000000000001" hidden="1" customHeight="1" x14ac:dyDescent="0.2">
      <c r="A123" s="1120"/>
      <c r="B123" s="1121"/>
      <c r="C123" s="1121"/>
      <c r="D123" s="109"/>
      <c r="E123" s="110"/>
      <c r="F123" s="1122"/>
      <c r="G123" s="1123"/>
      <c r="H123" s="111">
        <f t="shared" si="21"/>
        <v>0</v>
      </c>
      <c r="I123" s="122">
        <f t="shared" si="19"/>
        <v>0</v>
      </c>
      <c r="J123" s="365"/>
      <c r="K123" s="364"/>
      <c r="L123" s="364"/>
      <c r="M123" s="364"/>
      <c r="N123" s="364"/>
      <c r="O123" s="386"/>
    </row>
    <row r="124" spans="1:17" ht="20.100000000000001" hidden="1" customHeight="1" x14ac:dyDescent="0.2">
      <c r="A124" s="1120"/>
      <c r="B124" s="1121"/>
      <c r="C124" s="1121"/>
      <c r="D124" s="109"/>
      <c r="E124" s="110"/>
      <c r="F124" s="1122"/>
      <c r="G124" s="1123"/>
      <c r="H124" s="111">
        <f t="shared" si="21"/>
        <v>0</v>
      </c>
      <c r="I124" s="122">
        <f t="shared" si="19"/>
        <v>0</v>
      </c>
      <c r="J124" s="365"/>
      <c r="K124" s="364"/>
      <c r="L124" s="364"/>
      <c r="M124" s="364"/>
      <c r="N124" s="364"/>
      <c r="O124" s="386"/>
    </row>
    <row r="125" spans="1:17" ht="20.100000000000001" hidden="1" customHeight="1" x14ac:dyDescent="0.2">
      <c r="A125" s="1120"/>
      <c r="B125" s="1121"/>
      <c r="C125" s="1121"/>
      <c r="D125" s="109"/>
      <c r="E125" s="110"/>
      <c r="F125" s="1122"/>
      <c r="G125" s="1123"/>
      <c r="H125" s="111">
        <f t="shared" si="21"/>
        <v>0</v>
      </c>
      <c r="I125" s="122">
        <f t="shared" si="19"/>
        <v>0</v>
      </c>
      <c r="J125" s="365"/>
      <c r="K125" s="364"/>
      <c r="L125" s="364"/>
      <c r="M125" s="364"/>
      <c r="N125" s="364"/>
      <c r="O125" s="386"/>
    </row>
    <row r="126" spans="1:17" ht="20.100000000000001" customHeight="1" x14ac:dyDescent="0.2">
      <c r="A126" s="1126" t="s">
        <v>388</v>
      </c>
      <c r="B126" s="1127"/>
      <c r="C126" s="1127"/>
      <c r="D126" s="1127"/>
      <c r="E126" s="1127"/>
      <c r="F126" s="1127"/>
      <c r="G126" s="1128"/>
      <c r="H126" s="112">
        <f>SUM(H84:H125)</f>
        <v>1154969464.5746031</v>
      </c>
      <c r="I126" s="120">
        <f>SUM(I84:I125)</f>
        <v>1</v>
      </c>
      <c r="J126" s="931">
        <f>SUM(J84:J93)</f>
        <v>135030535.42539686</v>
      </c>
      <c r="K126" s="932">
        <f>SUM(K84:K125)</f>
        <v>1290000000</v>
      </c>
      <c r="L126" s="367"/>
      <c r="M126" s="367"/>
      <c r="N126" s="367"/>
      <c r="O126" s="390"/>
      <c r="Q126" s="927"/>
    </row>
    <row r="127" spans="1:17" ht="20.100000000000001" customHeight="1" x14ac:dyDescent="0.2">
      <c r="A127" s="105"/>
      <c r="B127" s="105"/>
      <c r="C127" s="105"/>
      <c r="D127" s="105"/>
      <c r="E127" s="105"/>
      <c r="F127" s="105"/>
      <c r="G127" s="105"/>
      <c r="H127" s="137"/>
      <c r="I127" s="734"/>
      <c r="J127" s="735"/>
      <c r="K127" s="735"/>
      <c r="L127" s="735">
        <f t="shared" ref="L127:O127" si="22">SUM(L10:L126)</f>
        <v>0</v>
      </c>
      <c r="M127" s="735">
        <f t="shared" si="22"/>
        <v>0</v>
      </c>
      <c r="N127" s="735">
        <f t="shared" si="22"/>
        <v>0</v>
      </c>
      <c r="O127" s="735">
        <f t="shared" si="22"/>
        <v>0</v>
      </c>
    </row>
    <row r="128" spans="1:17" ht="20.100000000000001" customHeight="1" x14ac:dyDescent="0.2">
      <c r="A128" s="105"/>
      <c r="B128" s="105"/>
      <c r="C128" s="105"/>
      <c r="D128" s="106"/>
      <c r="E128" s="106"/>
      <c r="F128" s="106"/>
      <c r="G128" s="106"/>
      <c r="H128" s="113"/>
      <c r="I128" s="114"/>
      <c r="L128" s="134"/>
    </row>
    <row r="129" spans="1:13" ht="20.100000000000001" customHeight="1" x14ac:dyDescent="0.2">
      <c r="A129" s="1124" t="s">
        <v>389</v>
      </c>
      <c r="B129" s="1125"/>
      <c r="C129" s="1125"/>
      <c r="D129" s="1125"/>
      <c r="E129" s="1125"/>
      <c r="F129" s="1125"/>
      <c r="G129" s="1125"/>
      <c r="H129" s="915">
        <f>H80+H126</f>
        <v>1154969464.5746031</v>
      </c>
      <c r="L129" s="134"/>
    </row>
    <row r="130" spans="1:13" ht="20.100000000000001" customHeight="1" x14ac:dyDescent="0.2">
      <c r="A130" s="1141" t="s">
        <v>390</v>
      </c>
      <c r="B130" s="1142"/>
      <c r="C130" s="1142"/>
      <c r="D130" s="1142"/>
      <c r="E130" s="1142"/>
      <c r="F130" s="1142"/>
      <c r="G130" s="618"/>
      <c r="H130" s="616"/>
      <c r="I130" s="375" t="s">
        <v>391</v>
      </c>
      <c r="L130" s="134"/>
      <c r="M130" s="914"/>
    </row>
    <row r="131" spans="1:13" ht="20.100000000000001" customHeight="1" x14ac:dyDescent="0.2">
      <c r="A131" s="1141" t="s">
        <v>392</v>
      </c>
      <c r="B131" s="1142"/>
      <c r="C131" s="1142"/>
      <c r="D131" s="1142"/>
      <c r="E131" s="1142"/>
      <c r="F131" s="1142"/>
      <c r="G131" s="619">
        <v>0</v>
      </c>
      <c r="H131" s="616">
        <f>G131*H130</f>
        <v>0</v>
      </c>
    </row>
    <row r="132" spans="1:13" ht="20.100000000000001" customHeight="1" x14ac:dyDescent="0.2">
      <c r="A132" s="1141" t="s">
        <v>385</v>
      </c>
      <c r="B132" s="1142"/>
      <c r="C132" s="1142"/>
      <c r="D132" s="1142"/>
      <c r="E132" s="1142"/>
      <c r="F132" s="1142"/>
      <c r="G132" s="619">
        <v>0.19</v>
      </c>
      <c r="H132" s="616">
        <f>(+H84+H85+H88+H89+H90+H91+H92)*0.19</f>
        <v>135030535.42539689</v>
      </c>
      <c r="I132" s="375" t="s">
        <v>393</v>
      </c>
    </row>
    <row r="133" spans="1:13" ht="20.100000000000001" customHeight="1" x14ac:dyDescent="0.2">
      <c r="A133" s="1126" t="s">
        <v>394</v>
      </c>
      <c r="B133" s="1127"/>
      <c r="C133" s="1127"/>
      <c r="D133" s="1127"/>
      <c r="E133" s="1127"/>
      <c r="F133" s="1127"/>
      <c r="G133" s="1128"/>
      <c r="H133" s="617">
        <f>SUM(H129:H132)</f>
        <v>1290000000</v>
      </c>
    </row>
    <row r="134" spans="1:13" ht="20.100000000000001" customHeight="1" x14ac:dyDescent="0.2">
      <c r="A134" s="105"/>
      <c r="B134" s="117"/>
      <c r="C134" s="117"/>
      <c r="D134" s="117"/>
      <c r="E134" s="117"/>
      <c r="F134" s="117"/>
      <c r="G134" s="117"/>
      <c r="H134" s="113"/>
    </row>
  </sheetData>
  <sheetProtection formatCells="0" formatColumns="0" formatRows="0" insertColumns="0" insertRows="0" insertHyperlinks="0" deleteColumns="0" deleteRows="0" sort="0" autoFilter="0" pivotTables="0"/>
  <mergeCells count="110">
    <mergeCell ref="A87:C87"/>
    <mergeCell ref="F87:G87"/>
    <mergeCell ref="A88:C88"/>
    <mergeCell ref="F88:G88"/>
    <mergeCell ref="A84:C84"/>
    <mergeCell ref="F84:G84"/>
    <mergeCell ref="A85:C85"/>
    <mergeCell ref="F85:G85"/>
    <mergeCell ref="A86:C86"/>
    <mergeCell ref="F86:G86"/>
    <mergeCell ref="F83:G83"/>
    <mergeCell ref="F89:G89"/>
    <mergeCell ref="A119:C119"/>
    <mergeCell ref="A92:C92"/>
    <mergeCell ref="F92:G92"/>
    <mergeCell ref="A93:C93"/>
    <mergeCell ref="F93:G93"/>
    <mergeCell ref="A94:C94"/>
    <mergeCell ref="A106:C106"/>
    <mergeCell ref="F106:G106"/>
    <mergeCell ref="A116:C116"/>
    <mergeCell ref="F117:G117"/>
    <mergeCell ref="F118:G118"/>
    <mergeCell ref="F119:G119"/>
    <mergeCell ref="A90:C90"/>
    <mergeCell ref="A91:C91"/>
    <mergeCell ref="F90:G90"/>
    <mergeCell ref="F91:G91"/>
    <mergeCell ref="A111:C111"/>
    <mergeCell ref="F111:G111"/>
    <mergeCell ref="A104:C104"/>
    <mergeCell ref="F104:G104"/>
    <mergeCell ref="F112:G112"/>
    <mergeCell ref="F113:G113"/>
    <mergeCell ref="A4:I4"/>
    <mergeCell ref="A8:I8"/>
    <mergeCell ref="A10:I10"/>
    <mergeCell ref="A53:I53"/>
    <mergeCell ref="A52:G52"/>
    <mergeCell ref="A5:B5"/>
    <mergeCell ref="A6:B6"/>
    <mergeCell ref="C5:O5"/>
    <mergeCell ref="C6:O6"/>
    <mergeCell ref="J8:O8"/>
    <mergeCell ref="A1:B3"/>
    <mergeCell ref="C1:O1"/>
    <mergeCell ref="C2:O2"/>
    <mergeCell ref="C3:G3"/>
    <mergeCell ref="H3:O3"/>
    <mergeCell ref="A131:F131"/>
    <mergeCell ref="A132:F132"/>
    <mergeCell ref="A133:G133"/>
    <mergeCell ref="A79:G79"/>
    <mergeCell ref="A83:C83"/>
    <mergeCell ref="A89:C89"/>
    <mergeCell ref="A82:I82"/>
    <mergeCell ref="A80:G80"/>
    <mergeCell ref="F123:G123"/>
    <mergeCell ref="F121:G121"/>
    <mergeCell ref="A125:C125"/>
    <mergeCell ref="A124:C124"/>
    <mergeCell ref="F125:G125"/>
    <mergeCell ref="F124:G124"/>
    <mergeCell ref="F120:G120"/>
    <mergeCell ref="A120:C120"/>
    <mergeCell ref="A105:C105"/>
    <mergeCell ref="F105:G105"/>
    <mergeCell ref="A130:F130"/>
    <mergeCell ref="A110:C110"/>
    <mergeCell ref="F110:G110"/>
    <mergeCell ref="A107:C107"/>
    <mergeCell ref="F107:G107"/>
    <mergeCell ref="A108:C108"/>
    <mergeCell ref="F108:G108"/>
    <mergeCell ref="A109:C109"/>
    <mergeCell ref="F109:G109"/>
    <mergeCell ref="A129:G129"/>
    <mergeCell ref="A126:G126"/>
    <mergeCell ref="A121:C121"/>
    <mergeCell ref="A122:C122"/>
    <mergeCell ref="A123:C123"/>
    <mergeCell ref="F122:G122"/>
    <mergeCell ref="F114:G114"/>
    <mergeCell ref="F115:G115"/>
    <mergeCell ref="F116:G116"/>
    <mergeCell ref="A112:C112"/>
    <mergeCell ref="A113:C113"/>
    <mergeCell ref="A114:C114"/>
    <mergeCell ref="A115:C115"/>
    <mergeCell ref="A117:C117"/>
    <mergeCell ref="A118:C118"/>
    <mergeCell ref="A103:C103"/>
    <mergeCell ref="F103:G103"/>
    <mergeCell ref="A98:C98"/>
    <mergeCell ref="F98:G98"/>
    <mergeCell ref="A99:C99"/>
    <mergeCell ref="F99:G99"/>
    <mergeCell ref="A100:C100"/>
    <mergeCell ref="F100:G100"/>
    <mergeCell ref="F94:G94"/>
    <mergeCell ref="A101:C101"/>
    <mergeCell ref="F101:G101"/>
    <mergeCell ref="A102:C102"/>
    <mergeCell ref="F102:G102"/>
    <mergeCell ref="A95:C95"/>
    <mergeCell ref="F95:G95"/>
    <mergeCell ref="A96:C96"/>
    <mergeCell ref="F96:G96"/>
    <mergeCell ref="A97:C97"/>
    <mergeCell ref="F97:G97"/>
  </mergeCells>
  <dataValidations disablePrompts="1" xWindow="814" yWindow="711" count="6">
    <dataValidation allowBlank="1" showInputMessage="1" showErrorMessage="1" prompt="diligencie la dedicación del personal relacionado." sqref="WUO983106:WUO983114 IC11:IC51 RY11:RY51 ABU11:ABU51 ALQ11:ALQ51 AVM11:AVM51 BFI11:BFI51 BPE11:BPE51 BZA11:BZA51 CIW11:CIW51 CSS11:CSS51 DCO11:DCO51 DMK11:DMK51 DWG11:DWG51 EGC11:EGC51 EPY11:EPY51 EZU11:EZU51 FJQ11:FJQ51 FTM11:FTM51 GDI11:GDI51 GNE11:GNE51 GXA11:GXA51 HGW11:HGW51 HQS11:HQS51 IAO11:IAO51 IKK11:IKK51 IUG11:IUG51 JEC11:JEC51 JNY11:JNY51 JXU11:JXU51 KHQ11:KHQ51 KRM11:KRM51 LBI11:LBI51 LLE11:LLE51 LVA11:LVA51 MEW11:MEW51 MOS11:MOS51 MYO11:MYO51 NIK11:NIK51 NSG11:NSG51 OCC11:OCC51 OLY11:OLY51 OVU11:OVU51 PFQ11:PFQ51 PPM11:PPM51 PZI11:PZI51 QJE11:QJE51 QTA11:QTA51 RCW11:RCW51 RMS11:RMS51 RWO11:RWO51 SGK11:SGK51 SQG11:SQG51 TAC11:TAC51 TJY11:TJY51 TTU11:TTU51 UDQ11:UDQ51 UNM11:UNM51 UXI11:UXI51 VHE11:VHE51 VRA11:VRA51 WAW11:WAW51 WKS11:WKS51 WUO11:WUO51 C65591:C65599 IC65591:IC65599 RY65591:RY65599 ABU65591:ABU65599 ALQ65591:ALQ65599 AVM65591:AVM65599 BFI65591:BFI65599 BPE65591:BPE65599 BZA65591:BZA65599 CIW65591:CIW65599 CSS65591:CSS65599 DCO65591:DCO65599 DMK65591:DMK65599 DWG65591:DWG65599 EGC65591:EGC65599 EPY65591:EPY65599 EZU65591:EZU65599 FJQ65591:FJQ65599 FTM65591:FTM65599 GDI65591:GDI65599 GNE65591:GNE65599 GXA65591:GXA65599 HGW65591:HGW65599 HQS65591:HQS65599 IAO65591:IAO65599 IKK65591:IKK65599 IUG65591:IUG65599 JEC65591:JEC65599 JNY65591:JNY65599 JXU65591:JXU65599 KHQ65591:KHQ65599 KRM65591:KRM65599 LBI65591:LBI65599 LLE65591:LLE65599 LVA65591:LVA65599 MEW65591:MEW65599 MOS65591:MOS65599 MYO65591:MYO65599 NIK65591:NIK65599 NSG65591:NSG65599 OCC65591:OCC65599 OLY65591:OLY65599 OVU65591:OVU65599 PFQ65591:PFQ65599 PPM65591:PPM65599 PZI65591:PZI65599 QJE65591:QJE65599 QTA65591:QTA65599 RCW65591:RCW65599 RMS65591:RMS65599 RWO65591:RWO65599 SGK65591:SGK65599 SQG65591:SQG65599 TAC65591:TAC65599 TJY65591:TJY65599 TTU65591:TTU65599 UDQ65591:UDQ65599 UNM65591:UNM65599 UXI65591:UXI65599 VHE65591:VHE65599 VRA65591:VRA65599 WAW65591:WAW65599 WKS65591:WKS65599 WUO65591:WUO65599 C131127:C131135 IC131127:IC131135 RY131127:RY131135 ABU131127:ABU131135 ALQ131127:ALQ131135 AVM131127:AVM131135 BFI131127:BFI131135 BPE131127:BPE131135 BZA131127:BZA131135 CIW131127:CIW131135 CSS131127:CSS131135 DCO131127:DCO131135 DMK131127:DMK131135 DWG131127:DWG131135 EGC131127:EGC131135 EPY131127:EPY131135 EZU131127:EZU131135 FJQ131127:FJQ131135 FTM131127:FTM131135 GDI131127:GDI131135 GNE131127:GNE131135 GXA131127:GXA131135 HGW131127:HGW131135 HQS131127:HQS131135 IAO131127:IAO131135 IKK131127:IKK131135 IUG131127:IUG131135 JEC131127:JEC131135 JNY131127:JNY131135 JXU131127:JXU131135 KHQ131127:KHQ131135 KRM131127:KRM131135 LBI131127:LBI131135 LLE131127:LLE131135 LVA131127:LVA131135 MEW131127:MEW131135 MOS131127:MOS131135 MYO131127:MYO131135 NIK131127:NIK131135 NSG131127:NSG131135 OCC131127:OCC131135 OLY131127:OLY131135 OVU131127:OVU131135 PFQ131127:PFQ131135 PPM131127:PPM131135 PZI131127:PZI131135 QJE131127:QJE131135 QTA131127:QTA131135 RCW131127:RCW131135 RMS131127:RMS131135 RWO131127:RWO131135 SGK131127:SGK131135 SQG131127:SQG131135 TAC131127:TAC131135 TJY131127:TJY131135 TTU131127:TTU131135 UDQ131127:UDQ131135 UNM131127:UNM131135 UXI131127:UXI131135 VHE131127:VHE131135 VRA131127:VRA131135 WAW131127:WAW131135 WKS131127:WKS131135 WUO131127:WUO131135 C196663:C196671 IC196663:IC196671 RY196663:RY196671 ABU196663:ABU196671 ALQ196663:ALQ196671 AVM196663:AVM196671 BFI196663:BFI196671 BPE196663:BPE196671 BZA196663:BZA196671 CIW196663:CIW196671 CSS196663:CSS196671 DCO196663:DCO196671 DMK196663:DMK196671 DWG196663:DWG196671 EGC196663:EGC196671 EPY196663:EPY196671 EZU196663:EZU196671 FJQ196663:FJQ196671 FTM196663:FTM196671 GDI196663:GDI196671 GNE196663:GNE196671 GXA196663:GXA196671 HGW196663:HGW196671 HQS196663:HQS196671 IAO196663:IAO196671 IKK196663:IKK196671 IUG196663:IUG196671 JEC196663:JEC196671 JNY196663:JNY196671 JXU196663:JXU196671 KHQ196663:KHQ196671 KRM196663:KRM196671 LBI196663:LBI196671 LLE196663:LLE196671 LVA196663:LVA196671 MEW196663:MEW196671 MOS196663:MOS196671 MYO196663:MYO196671 NIK196663:NIK196671 NSG196663:NSG196671 OCC196663:OCC196671 OLY196663:OLY196671 OVU196663:OVU196671 PFQ196663:PFQ196671 PPM196663:PPM196671 PZI196663:PZI196671 QJE196663:QJE196671 QTA196663:QTA196671 RCW196663:RCW196671 RMS196663:RMS196671 RWO196663:RWO196671 SGK196663:SGK196671 SQG196663:SQG196671 TAC196663:TAC196671 TJY196663:TJY196671 TTU196663:TTU196671 UDQ196663:UDQ196671 UNM196663:UNM196671 UXI196663:UXI196671 VHE196663:VHE196671 VRA196663:VRA196671 WAW196663:WAW196671 WKS196663:WKS196671 WUO196663:WUO196671 C262199:C262207 IC262199:IC262207 RY262199:RY262207 ABU262199:ABU262207 ALQ262199:ALQ262207 AVM262199:AVM262207 BFI262199:BFI262207 BPE262199:BPE262207 BZA262199:BZA262207 CIW262199:CIW262207 CSS262199:CSS262207 DCO262199:DCO262207 DMK262199:DMK262207 DWG262199:DWG262207 EGC262199:EGC262207 EPY262199:EPY262207 EZU262199:EZU262207 FJQ262199:FJQ262207 FTM262199:FTM262207 GDI262199:GDI262207 GNE262199:GNE262207 GXA262199:GXA262207 HGW262199:HGW262207 HQS262199:HQS262207 IAO262199:IAO262207 IKK262199:IKK262207 IUG262199:IUG262207 JEC262199:JEC262207 JNY262199:JNY262207 JXU262199:JXU262207 KHQ262199:KHQ262207 KRM262199:KRM262207 LBI262199:LBI262207 LLE262199:LLE262207 LVA262199:LVA262207 MEW262199:MEW262207 MOS262199:MOS262207 MYO262199:MYO262207 NIK262199:NIK262207 NSG262199:NSG262207 OCC262199:OCC262207 OLY262199:OLY262207 OVU262199:OVU262207 PFQ262199:PFQ262207 PPM262199:PPM262207 PZI262199:PZI262207 QJE262199:QJE262207 QTA262199:QTA262207 RCW262199:RCW262207 RMS262199:RMS262207 RWO262199:RWO262207 SGK262199:SGK262207 SQG262199:SQG262207 TAC262199:TAC262207 TJY262199:TJY262207 TTU262199:TTU262207 UDQ262199:UDQ262207 UNM262199:UNM262207 UXI262199:UXI262207 VHE262199:VHE262207 VRA262199:VRA262207 WAW262199:WAW262207 WKS262199:WKS262207 WUO262199:WUO262207 C327735:C327743 IC327735:IC327743 RY327735:RY327743 ABU327735:ABU327743 ALQ327735:ALQ327743 AVM327735:AVM327743 BFI327735:BFI327743 BPE327735:BPE327743 BZA327735:BZA327743 CIW327735:CIW327743 CSS327735:CSS327743 DCO327735:DCO327743 DMK327735:DMK327743 DWG327735:DWG327743 EGC327735:EGC327743 EPY327735:EPY327743 EZU327735:EZU327743 FJQ327735:FJQ327743 FTM327735:FTM327743 GDI327735:GDI327743 GNE327735:GNE327743 GXA327735:GXA327743 HGW327735:HGW327743 HQS327735:HQS327743 IAO327735:IAO327743 IKK327735:IKK327743 IUG327735:IUG327743 JEC327735:JEC327743 JNY327735:JNY327743 JXU327735:JXU327743 KHQ327735:KHQ327743 KRM327735:KRM327743 LBI327735:LBI327743 LLE327735:LLE327743 LVA327735:LVA327743 MEW327735:MEW327743 MOS327735:MOS327743 MYO327735:MYO327743 NIK327735:NIK327743 NSG327735:NSG327743 OCC327735:OCC327743 OLY327735:OLY327743 OVU327735:OVU327743 PFQ327735:PFQ327743 PPM327735:PPM327743 PZI327735:PZI327743 QJE327735:QJE327743 QTA327735:QTA327743 RCW327735:RCW327743 RMS327735:RMS327743 RWO327735:RWO327743 SGK327735:SGK327743 SQG327735:SQG327743 TAC327735:TAC327743 TJY327735:TJY327743 TTU327735:TTU327743 UDQ327735:UDQ327743 UNM327735:UNM327743 UXI327735:UXI327743 VHE327735:VHE327743 VRA327735:VRA327743 WAW327735:WAW327743 WKS327735:WKS327743 WUO327735:WUO327743 C393271:C393279 IC393271:IC393279 RY393271:RY393279 ABU393271:ABU393279 ALQ393271:ALQ393279 AVM393271:AVM393279 BFI393271:BFI393279 BPE393271:BPE393279 BZA393271:BZA393279 CIW393271:CIW393279 CSS393271:CSS393279 DCO393271:DCO393279 DMK393271:DMK393279 DWG393271:DWG393279 EGC393271:EGC393279 EPY393271:EPY393279 EZU393271:EZU393279 FJQ393271:FJQ393279 FTM393271:FTM393279 GDI393271:GDI393279 GNE393271:GNE393279 GXA393271:GXA393279 HGW393271:HGW393279 HQS393271:HQS393279 IAO393271:IAO393279 IKK393271:IKK393279 IUG393271:IUG393279 JEC393271:JEC393279 JNY393271:JNY393279 JXU393271:JXU393279 KHQ393271:KHQ393279 KRM393271:KRM393279 LBI393271:LBI393279 LLE393271:LLE393279 LVA393271:LVA393279 MEW393271:MEW393279 MOS393271:MOS393279 MYO393271:MYO393279 NIK393271:NIK393279 NSG393271:NSG393279 OCC393271:OCC393279 OLY393271:OLY393279 OVU393271:OVU393279 PFQ393271:PFQ393279 PPM393271:PPM393279 PZI393271:PZI393279 QJE393271:QJE393279 QTA393271:QTA393279 RCW393271:RCW393279 RMS393271:RMS393279 RWO393271:RWO393279 SGK393271:SGK393279 SQG393271:SQG393279 TAC393271:TAC393279 TJY393271:TJY393279 TTU393271:TTU393279 UDQ393271:UDQ393279 UNM393271:UNM393279 UXI393271:UXI393279 VHE393271:VHE393279 VRA393271:VRA393279 WAW393271:WAW393279 WKS393271:WKS393279 WUO393271:WUO393279 C458807:C458815 IC458807:IC458815 RY458807:RY458815 ABU458807:ABU458815 ALQ458807:ALQ458815 AVM458807:AVM458815 BFI458807:BFI458815 BPE458807:BPE458815 BZA458807:BZA458815 CIW458807:CIW458815 CSS458807:CSS458815 DCO458807:DCO458815 DMK458807:DMK458815 DWG458807:DWG458815 EGC458807:EGC458815 EPY458807:EPY458815 EZU458807:EZU458815 FJQ458807:FJQ458815 FTM458807:FTM458815 GDI458807:GDI458815 GNE458807:GNE458815 GXA458807:GXA458815 HGW458807:HGW458815 HQS458807:HQS458815 IAO458807:IAO458815 IKK458807:IKK458815 IUG458807:IUG458815 JEC458807:JEC458815 JNY458807:JNY458815 JXU458807:JXU458815 KHQ458807:KHQ458815 KRM458807:KRM458815 LBI458807:LBI458815 LLE458807:LLE458815 LVA458807:LVA458815 MEW458807:MEW458815 MOS458807:MOS458815 MYO458807:MYO458815 NIK458807:NIK458815 NSG458807:NSG458815 OCC458807:OCC458815 OLY458807:OLY458815 OVU458807:OVU458815 PFQ458807:PFQ458815 PPM458807:PPM458815 PZI458807:PZI458815 QJE458807:QJE458815 QTA458807:QTA458815 RCW458807:RCW458815 RMS458807:RMS458815 RWO458807:RWO458815 SGK458807:SGK458815 SQG458807:SQG458815 TAC458807:TAC458815 TJY458807:TJY458815 TTU458807:TTU458815 UDQ458807:UDQ458815 UNM458807:UNM458815 UXI458807:UXI458815 VHE458807:VHE458815 VRA458807:VRA458815 WAW458807:WAW458815 WKS458807:WKS458815 WUO458807:WUO458815 C524343:C524351 IC524343:IC524351 RY524343:RY524351 ABU524343:ABU524351 ALQ524343:ALQ524351 AVM524343:AVM524351 BFI524343:BFI524351 BPE524343:BPE524351 BZA524343:BZA524351 CIW524343:CIW524351 CSS524343:CSS524351 DCO524343:DCO524351 DMK524343:DMK524351 DWG524343:DWG524351 EGC524343:EGC524351 EPY524343:EPY524351 EZU524343:EZU524351 FJQ524343:FJQ524351 FTM524343:FTM524351 GDI524343:GDI524351 GNE524343:GNE524351 GXA524343:GXA524351 HGW524343:HGW524351 HQS524343:HQS524351 IAO524343:IAO524351 IKK524343:IKK524351 IUG524343:IUG524351 JEC524343:JEC524351 JNY524343:JNY524351 JXU524343:JXU524351 KHQ524343:KHQ524351 KRM524343:KRM524351 LBI524343:LBI524351 LLE524343:LLE524351 LVA524343:LVA524351 MEW524343:MEW524351 MOS524343:MOS524351 MYO524343:MYO524351 NIK524343:NIK524351 NSG524343:NSG524351 OCC524343:OCC524351 OLY524343:OLY524351 OVU524343:OVU524351 PFQ524343:PFQ524351 PPM524343:PPM524351 PZI524343:PZI524351 QJE524343:QJE524351 QTA524343:QTA524351 RCW524343:RCW524351 RMS524343:RMS524351 RWO524343:RWO524351 SGK524343:SGK524351 SQG524343:SQG524351 TAC524343:TAC524351 TJY524343:TJY524351 TTU524343:TTU524351 UDQ524343:UDQ524351 UNM524343:UNM524351 UXI524343:UXI524351 VHE524343:VHE524351 VRA524343:VRA524351 WAW524343:WAW524351 WKS524343:WKS524351 WUO524343:WUO524351 C589879:C589887 IC589879:IC589887 RY589879:RY589887 ABU589879:ABU589887 ALQ589879:ALQ589887 AVM589879:AVM589887 BFI589879:BFI589887 BPE589879:BPE589887 BZA589879:BZA589887 CIW589879:CIW589887 CSS589879:CSS589887 DCO589879:DCO589887 DMK589879:DMK589887 DWG589879:DWG589887 EGC589879:EGC589887 EPY589879:EPY589887 EZU589879:EZU589887 FJQ589879:FJQ589887 FTM589879:FTM589887 GDI589879:GDI589887 GNE589879:GNE589887 GXA589879:GXA589887 HGW589879:HGW589887 HQS589879:HQS589887 IAO589879:IAO589887 IKK589879:IKK589887 IUG589879:IUG589887 JEC589879:JEC589887 JNY589879:JNY589887 JXU589879:JXU589887 KHQ589879:KHQ589887 KRM589879:KRM589887 LBI589879:LBI589887 LLE589879:LLE589887 LVA589879:LVA589887 MEW589879:MEW589887 MOS589879:MOS589887 MYO589879:MYO589887 NIK589879:NIK589887 NSG589879:NSG589887 OCC589879:OCC589887 OLY589879:OLY589887 OVU589879:OVU589887 PFQ589879:PFQ589887 PPM589879:PPM589887 PZI589879:PZI589887 QJE589879:QJE589887 QTA589879:QTA589887 RCW589879:RCW589887 RMS589879:RMS589887 RWO589879:RWO589887 SGK589879:SGK589887 SQG589879:SQG589887 TAC589879:TAC589887 TJY589879:TJY589887 TTU589879:TTU589887 UDQ589879:UDQ589887 UNM589879:UNM589887 UXI589879:UXI589887 VHE589879:VHE589887 VRA589879:VRA589887 WAW589879:WAW589887 WKS589879:WKS589887 WUO589879:WUO589887 C655415:C655423 IC655415:IC655423 RY655415:RY655423 ABU655415:ABU655423 ALQ655415:ALQ655423 AVM655415:AVM655423 BFI655415:BFI655423 BPE655415:BPE655423 BZA655415:BZA655423 CIW655415:CIW655423 CSS655415:CSS655423 DCO655415:DCO655423 DMK655415:DMK655423 DWG655415:DWG655423 EGC655415:EGC655423 EPY655415:EPY655423 EZU655415:EZU655423 FJQ655415:FJQ655423 FTM655415:FTM655423 GDI655415:GDI655423 GNE655415:GNE655423 GXA655415:GXA655423 HGW655415:HGW655423 HQS655415:HQS655423 IAO655415:IAO655423 IKK655415:IKK655423 IUG655415:IUG655423 JEC655415:JEC655423 JNY655415:JNY655423 JXU655415:JXU655423 KHQ655415:KHQ655423 KRM655415:KRM655423 LBI655415:LBI655423 LLE655415:LLE655423 LVA655415:LVA655423 MEW655415:MEW655423 MOS655415:MOS655423 MYO655415:MYO655423 NIK655415:NIK655423 NSG655415:NSG655423 OCC655415:OCC655423 OLY655415:OLY655423 OVU655415:OVU655423 PFQ655415:PFQ655423 PPM655415:PPM655423 PZI655415:PZI655423 QJE655415:QJE655423 QTA655415:QTA655423 RCW655415:RCW655423 RMS655415:RMS655423 RWO655415:RWO655423 SGK655415:SGK655423 SQG655415:SQG655423 TAC655415:TAC655423 TJY655415:TJY655423 TTU655415:TTU655423 UDQ655415:UDQ655423 UNM655415:UNM655423 UXI655415:UXI655423 VHE655415:VHE655423 VRA655415:VRA655423 WAW655415:WAW655423 WKS655415:WKS655423 WUO655415:WUO655423 C720951:C720959 IC720951:IC720959 RY720951:RY720959 ABU720951:ABU720959 ALQ720951:ALQ720959 AVM720951:AVM720959 BFI720951:BFI720959 BPE720951:BPE720959 BZA720951:BZA720959 CIW720951:CIW720959 CSS720951:CSS720959 DCO720951:DCO720959 DMK720951:DMK720959 DWG720951:DWG720959 EGC720951:EGC720959 EPY720951:EPY720959 EZU720951:EZU720959 FJQ720951:FJQ720959 FTM720951:FTM720959 GDI720951:GDI720959 GNE720951:GNE720959 GXA720951:GXA720959 HGW720951:HGW720959 HQS720951:HQS720959 IAO720951:IAO720959 IKK720951:IKK720959 IUG720951:IUG720959 JEC720951:JEC720959 JNY720951:JNY720959 JXU720951:JXU720959 KHQ720951:KHQ720959 KRM720951:KRM720959 LBI720951:LBI720959 LLE720951:LLE720959 LVA720951:LVA720959 MEW720951:MEW720959 MOS720951:MOS720959 MYO720951:MYO720959 NIK720951:NIK720959 NSG720951:NSG720959 OCC720951:OCC720959 OLY720951:OLY720959 OVU720951:OVU720959 PFQ720951:PFQ720959 PPM720951:PPM720959 PZI720951:PZI720959 QJE720951:QJE720959 QTA720951:QTA720959 RCW720951:RCW720959 RMS720951:RMS720959 RWO720951:RWO720959 SGK720951:SGK720959 SQG720951:SQG720959 TAC720951:TAC720959 TJY720951:TJY720959 TTU720951:TTU720959 UDQ720951:UDQ720959 UNM720951:UNM720959 UXI720951:UXI720959 VHE720951:VHE720959 VRA720951:VRA720959 WAW720951:WAW720959 WKS720951:WKS720959 WUO720951:WUO720959 C786487:C786495 IC786487:IC786495 RY786487:RY786495 ABU786487:ABU786495 ALQ786487:ALQ786495 AVM786487:AVM786495 BFI786487:BFI786495 BPE786487:BPE786495 BZA786487:BZA786495 CIW786487:CIW786495 CSS786487:CSS786495 DCO786487:DCO786495 DMK786487:DMK786495 DWG786487:DWG786495 EGC786487:EGC786495 EPY786487:EPY786495 EZU786487:EZU786495 FJQ786487:FJQ786495 FTM786487:FTM786495 GDI786487:GDI786495 GNE786487:GNE786495 GXA786487:GXA786495 HGW786487:HGW786495 HQS786487:HQS786495 IAO786487:IAO786495 IKK786487:IKK786495 IUG786487:IUG786495 JEC786487:JEC786495 JNY786487:JNY786495 JXU786487:JXU786495 KHQ786487:KHQ786495 KRM786487:KRM786495 LBI786487:LBI786495 LLE786487:LLE786495 LVA786487:LVA786495 MEW786487:MEW786495 MOS786487:MOS786495 MYO786487:MYO786495 NIK786487:NIK786495 NSG786487:NSG786495 OCC786487:OCC786495 OLY786487:OLY786495 OVU786487:OVU786495 PFQ786487:PFQ786495 PPM786487:PPM786495 PZI786487:PZI786495 QJE786487:QJE786495 QTA786487:QTA786495 RCW786487:RCW786495 RMS786487:RMS786495 RWO786487:RWO786495 SGK786487:SGK786495 SQG786487:SQG786495 TAC786487:TAC786495 TJY786487:TJY786495 TTU786487:TTU786495 UDQ786487:UDQ786495 UNM786487:UNM786495 UXI786487:UXI786495 VHE786487:VHE786495 VRA786487:VRA786495 WAW786487:WAW786495 WKS786487:WKS786495 WUO786487:WUO786495 C852023:C852031 IC852023:IC852031 RY852023:RY852031 ABU852023:ABU852031 ALQ852023:ALQ852031 AVM852023:AVM852031 BFI852023:BFI852031 BPE852023:BPE852031 BZA852023:BZA852031 CIW852023:CIW852031 CSS852023:CSS852031 DCO852023:DCO852031 DMK852023:DMK852031 DWG852023:DWG852031 EGC852023:EGC852031 EPY852023:EPY852031 EZU852023:EZU852031 FJQ852023:FJQ852031 FTM852023:FTM852031 GDI852023:GDI852031 GNE852023:GNE852031 GXA852023:GXA852031 HGW852023:HGW852031 HQS852023:HQS852031 IAO852023:IAO852031 IKK852023:IKK852031 IUG852023:IUG852031 JEC852023:JEC852031 JNY852023:JNY852031 JXU852023:JXU852031 KHQ852023:KHQ852031 KRM852023:KRM852031 LBI852023:LBI852031 LLE852023:LLE852031 LVA852023:LVA852031 MEW852023:MEW852031 MOS852023:MOS852031 MYO852023:MYO852031 NIK852023:NIK852031 NSG852023:NSG852031 OCC852023:OCC852031 OLY852023:OLY852031 OVU852023:OVU852031 PFQ852023:PFQ852031 PPM852023:PPM852031 PZI852023:PZI852031 QJE852023:QJE852031 QTA852023:QTA852031 RCW852023:RCW852031 RMS852023:RMS852031 RWO852023:RWO852031 SGK852023:SGK852031 SQG852023:SQG852031 TAC852023:TAC852031 TJY852023:TJY852031 TTU852023:TTU852031 UDQ852023:UDQ852031 UNM852023:UNM852031 UXI852023:UXI852031 VHE852023:VHE852031 VRA852023:VRA852031 WAW852023:WAW852031 WKS852023:WKS852031 WUO852023:WUO852031 C917559:C917567 IC917559:IC917567 RY917559:RY917567 ABU917559:ABU917567 ALQ917559:ALQ917567 AVM917559:AVM917567 BFI917559:BFI917567 BPE917559:BPE917567 BZA917559:BZA917567 CIW917559:CIW917567 CSS917559:CSS917567 DCO917559:DCO917567 DMK917559:DMK917567 DWG917559:DWG917567 EGC917559:EGC917567 EPY917559:EPY917567 EZU917559:EZU917567 FJQ917559:FJQ917567 FTM917559:FTM917567 GDI917559:GDI917567 GNE917559:GNE917567 GXA917559:GXA917567 HGW917559:HGW917567 HQS917559:HQS917567 IAO917559:IAO917567 IKK917559:IKK917567 IUG917559:IUG917567 JEC917559:JEC917567 JNY917559:JNY917567 JXU917559:JXU917567 KHQ917559:KHQ917567 KRM917559:KRM917567 LBI917559:LBI917567 LLE917559:LLE917567 LVA917559:LVA917567 MEW917559:MEW917567 MOS917559:MOS917567 MYO917559:MYO917567 NIK917559:NIK917567 NSG917559:NSG917567 OCC917559:OCC917567 OLY917559:OLY917567 OVU917559:OVU917567 PFQ917559:PFQ917567 PPM917559:PPM917567 PZI917559:PZI917567 QJE917559:QJE917567 QTA917559:QTA917567 RCW917559:RCW917567 RMS917559:RMS917567 RWO917559:RWO917567 SGK917559:SGK917567 SQG917559:SQG917567 TAC917559:TAC917567 TJY917559:TJY917567 TTU917559:TTU917567 UDQ917559:UDQ917567 UNM917559:UNM917567 UXI917559:UXI917567 VHE917559:VHE917567 VRA917559:VRA917567 WAW917559:WAW917567 WKS917559:WKS917567 WUO917559:WUO917567 C983095:C983103 IC983095:IC983103 RY983095:RY983103 ABU983095:ABU983103 ALQ983095:ALQ983103 AVM983095:AVM983103 BFI983095:BFI983103 BPE983095:BPE983103 BZA983095:BZA983103 CIW983095:CIW983103 CSS983095:CSS983103 DCO983095:DCO983103 DMK983095:DMK983103 DWG983095:DWG983103 EGC983095:EGC983103 EPY983095:EPY983103 EZU983095:EZU983103 FJQ983095:FJQ983103 FTM983095:FTM983103 GDI983095:GDI983103 GNE983095:GNE983103 GXA983095:GXA983103 HGW983095:HGW983103 HQS983095:HQS983103 IAO983095:IAO983103 IKK983095:IKK983103 IUG983095:IUG983103 JEC983095:JEC983103 JNY983095:JNY983103 JXU983095:JXU983103 KHQ983095:KHQ983103 KRM983095:KRM983103 LBI983095:LBI983103 LLE983095:LLE983103 LVA983095:LVA983103 MEW983095:MEW983103 MOS983095:MOS983103 MYO983095:MYO983103 NIK983095:NIK983103 NSG983095:NSG983103 OCC983095:OCC983103 OLY983095:OLY983103 OVU983095:OVU983103 PFQ983095:PFQ983103 PPM983095:PPM983103 PZI983095:PZI983103 QJE983095:QJE983103 QTA983095:QTA983103 RCW983095:RCW983103 RMS983095:RMS983103 RWO983095:RWO983103 SGK983095:SGK983103 SQG983095:SQG983103 TAC983095:TAC983103 TJY983095:TJY983103 TTU983095:TTU983103 UDQ983095:UDQ983103 UNM983095:UNM983103 UXI983095:UXI983103 VHE983095:VHE983103 VRA983095:VRA983103 WAW983095:WAW983103 WKS983095:WKS983103 WUO983095:WUO983103 C11:C51 IC54:IC78 RY54:RY78 ABU54:ABU78 ALQ54:ALQ78 AVM54:AVM78 BFI54:BFI78 BPE54:BPE78 BZA54:BZA78 CIW54:CIW78 CSS54:CSS78 DCO54:DCO78 DMK54:DMK78 DWG54:DWG78 EGC54:EGC78 EPY54:EPY78 EZU54:EZU78 FJQ54:FJQ78 FTM54:FTM78 GDI54:GDI78 GNE54:GNE78 GXA54:GXA78 HGW54:HGW78 HQS54:HQS78 IAO54:IAO78 IKK54:IKK78 IUG54:IUG78 JEC54:JEC78 JNY54:JNY78 JXU54:JXU78 KHQ54:KHQ78 KRM54:KRM78 LBI54:LBI78 LLE54:LLE78 LVA54:LVA78 MEW54:MEW78 MOS54:MOS78 MYO54:MYO78 NIK54:NIK78 NSG54:NSG78 OCC54:OCC78 OLY54:OLY78 OVU54:OVU78 PFQ54:PFQ78 PPM54:PPM78 PZI54:PZI78 QJE54:QJE78 QTA54:QTA78 RCW54:RCW78 RMS54:RMS78 RWO54:RWO78 SGK54:SGK78 SQG54:SQG78 TAC54:TAC78 TJY54:TJY78 TTU54:TTU78 UDQ54:UDQ78 UNM54:UNM78 UXI54:UXI78 VHE54:VHE78 VRA54:VRA78 WAW54:WAW78 WKS54:WKS78 WUO54:WUO78 C65602:C65610 IC65602:IC65610 RY65602:RY65610 ABU65602:ABU65610 ALQ65602:ALQ65610 AVM65602:AVM65610 BFI65602:BFI65610 BPE65602:BPE65610 BZA65602:BZA65610 CIW65602:CIW65610 CSS65602:CSS65610 DCO65602:DCO65610 DMK65602:DMK65610 DWG65602:DWG65610 EGC65602:EGC65610 EPY65602:EPY65610 EZU65602:EZU65610 FJQ65602:FJQ65610 FTM65602:FTM65610 GDI65602:GDI65610 GNE65602:GNE65610 GXA65602:GXA65610 HGW65602:HGW65610 HQS65602:HQS65610 IAO65602:IAO65610 IKK65602:IKK65610 IUG65602:IUG65610 JEC65602:JEC65610 JNY65602:JNY65610 JXU65602:JXU65610 KHQ65602:KHQ65610 KRM65602:KRM65610 LBI65602:LBI65610 LLE65602:LLE65610 LVA65602:LVA65610 MEW65602:MEW65610 MOS65602:MOS65610 MYO65602:MYO65610 NIK65602:NIK65610 NSG65602:NSG65610 OCC65602:OCC65610 OLY65602:OLY65610 OVU65602:OVU65610 PFQ65602:PFQ65610 PPM65602:PPM65610 PZI65602:PZI65610 QJE65602:QJE65610 QTA65602:QTA65610 RCW65602:RCW65610 RMS65602:RMS65610 RWO65602:RWO65610 SGK65602:SGK65610 SQG65602:SQG65610 TAC65602:TAC65610 TJY65602:TJY65610 TTU65602:TTU65610 UDQ65602:UDQ65610 UNM65602:UNM65610 UXI65602:UXI65610 VHE65602:VHE65610 VRA65602:VRA65610 WAW65602:WAW65610 WKS65602:WKS65610 WUO65602:WUO65610 C131138:C131146 IC131138:IC131146 RY131138:RY131146 ABU131138:ABU131146 ALQ131138:ALQ131146 AVM131138:AVM131146 BFI131138:BFI131146 BPE131138:BPE131146 BZA131138:BZA131146 CIW131138:CIW131146 CSS131138:CSS131146 DCO131138:DCO131146 DMK131138:DMK131146 DWG131138:DWG131146 EGC131138:EGC131146 EPY131138:EPY131146 EZU131138:EZU131146 FJQ131138:FJQ131146 FTM131138:FTM131146 GDI131138:GDI131146 GNE131138:GNE131146 GXA131138:GXA131146 HGW131138:HGW131146 HQS131138:HQS131146 IAO131138:IAO131146 IKK131138:IKK131146 IUG131138:IUG131146 JEC131138:JEC131146 JNY131138:JNY131146 JXU131138:JXU131146 KHQ131138:KHQ131146 KRM131138:KRM131146 LBI131138:LBI131146 LLE131138:LLE131146 LVA131138:LVA131146 MEW131138:MEW131146 MOS131138:MOS131146 MYO131138:MYO131146 NIK131138:NIK131146 NSG131138:NSG131146 OCC131138:OCC131146 OLY131138:OLY131146 OVU131138:OVU131146 PFQ131138:PFQ131146 PPM131138:PPM131146 PZI131138:PZI131146 QJE131138:QJE131146 QTA131138:QTA131146 RCW131138:RCW131146 RMS131138:RMS131146 RWO131138:RWO131146 SGK131138:SGK131146 SQG131138:SQG131146 TAC131138:TAC131146 TJY131138:TJY131146 TTU131138:TTU131146 UDQ131138:UDQ131146 UNM131138:UNM131146 UXI131138:UXI131146 VHE131138:VHE131146 VRA131138:VRA131146 WAW131138:WAW131146 WKS131138:WKS131146 WUO131138:WUO131146 C196674:C196682 IC196674:IC196682 RY196674:RY196682 ABU196674:ABU196682 ALQ196674:ALQ196682 AVM196674:AVM196682 BFI196674:BFI196682 BPE196674:BPE196682 BZA196674:BZA196682 CIW196674:CIW196682 CSS196674:CSS196682 DCO196674:DCO196682 DMK196674:DMK196682 DWG196674:DWG196682 EGC196674:EGC196682 EPY196674:EPY196682 EZU196674:EZU196682 FJQ196674:FJQ196682 FTM196674:FTM196682 GDI196674:GDI196682 GNE196674:GNE196682 GXA196674:GXA196682 HGW196674:HGW196682 HQS196674:HQS196682 IAO196674:IAO196682 IKK196674:IKK196682 IUG196674:IUG196682 JEC196674:JEC196682 JNY196674:JNY196682 JXU196674:JXU196682 KHQ196674:KHQ196682 KRM196674:KRM196682 LBI196674:LBI196682 LLE196674:LLE196682 LVA196674:LVA196682 MEW196674:MEW196682 MOS196674:MOS196682 MYO196674:MYO196682 NIK196674:NIK196682 NSG196674:NSG196682 OCC196674:OCC196682 OLY196674:OLY196682 OVU196674:OVU196682 PFQ196674:PFQ196682 PPM196674:PPM196682 PZI196674:PZI196682 QJE196674:QJE196682 QTA196674:QTA196682 RCW196674:RCW196682 RMS196674:RMS196682 RWO196674:RWO196682 SGK196674:SGK196682 SQG196674:SQG196682 TAC196674:TAC196682 TJY196674:TJY196682 TTU196674:TTU196682 UDQ196674:UDQ196682 UNM196674:UNM196682 UXI196674:UXI196682 VHE196674:VHE196682 VRA196674:VRA196682 WAW196674:WAW196682 WKS196674:WKS196682 WUO196674:WUO196682 C262210:C262218 IC262210:IC262218 RY262210:RY262218 ABU262210:ABU262218 ALQ262210:ALQ262218 AVM262210:AVM262218 BFI262210:BFI262218 BPE262210:BPE262218 BZA262210:BZA262218 CIW262210:CIW262218 CSS262210:CSS262218 DCO262210:DCO262218 DMK262210:DMK262218 DWG262210:DWG262218 EGC262210:EGC262218 EPY262210:EPY262218 EZU262210:EZU262218 FJQ262210:FJQ262218 FTM262210:FTM262218 GDI262210:GDI262218 GNE262210:GNE262218 GXA262210:GXA262218 HGW262210:HGW262218 HQS262210:HQS262218 IAO262210:IAO262218 IKK262210:IKK262218 IUG262210:IUG262218 JEC262210:JEC262218 JNY262210:JNY262218 JXU262210:JXU262218 KHQ262210:KHQ262218 KRM262210:KRM262218 LBI262210:LBI262218 LLE262210:LLE262218 LVA262210:LVA262218 MEW262210:MEW262218 MOS262210:MOS262218 MYO262210:MYO262218 NIK262210:NIK262218 NSG262210:NSG262218 OCC262210:OCC262218 OLY262210:OLY262218 OVU262210:OVU262218 PFQ262210:PFQ262218 PPM262210:PPM262218 PZI262210:PZI262218 QJE262210:QJE262218 QTA262210:QTA262218 RCW262210:RCW262218 RMS262210:RMS262218 RWO262210:RWO262218 SGK262210:SGK262218 SQG262210:SQG262218 TAC262210:TAC262218 TJY262210:TJY262218 TTU262210:TTU262218 UDQ262210:UDQ262218 UNM262210:UNM262218 UXI262210:UXI262218 VHE262210:VHE262218 VRA262210:VRA262218 WAW262210:WAW262218 WKS262210:WKS262218 WUO262210:WUO262218 C327746:C327754 IC327746:IC327754 RY327746:RY327754 ABU327746:ABU327754 ALQ327746:ALQ327754 AVM327746:AVM327754 BFI327746:BFI327754 BPE327746:BPE327754 BZA327746:BZA327754 CIW327746:CIW327754 CSS327746:CSS327754 DCO327746:DCO327754 DMK327746:DMK327754 DWG327746:DWG327754 EGC327746:EGC327754 EPY327746:EPY327754 EZU327746:EZU327754 FJQ327746:FJQ327754 FTM327746:FTM327754 GDI327746:GDI327754 GNE327746:GNE327754 GXA327746:GXA327754 HGW327746:HGW327754 HQS327746:HQS327754 IAO327746:IAO327754 IKK327746:IKK327754 IUG327746:IUG327754 JEC327746:JEC327754 JNY327746:JNY327754 JXU327746:JXU327754 KHQ327746:KHQ327754 KRM327746:KRM327754 LBI327746:LBI327754 LLE327746:LLE327754 LVA327746:LVA327754 MEW327746:MEW327754 MOS327746:MOS327754 MYO327746:MYO327754 NIK327746:NIK327754 NSG327746:NSG327754 OCC327746:OCC327754 OLY327746:OLY327754 OVU327746:OVU327754 PFQ327746:PFQ327754 PPM327746:PPM327754 PZI327746:PZI327754 QJE327746:QJE327754 QTA327746:QTA327754 RCW327746:RCW327754 RMS327746:RMS327754 RWO327746:RWO327754 SGK327746:SGK327754 SQG327746:SQG327754 TAC327746:TAC327754 TJY327746:TJY327754 TTU327746:TTU327754 UDQ327746:UDQ327754 UNM327746:UNM327754 UXI327746:UXI327754 VHE327746:VHE327754 VRA327746:VRA327754 WAW327746:WAW327754 WKS327746:WKS327754 WUO327746:WUO327754 C393282:C393290 IC393282:IC393290 RY393282:RY393290 ABU393282:ABU393290 ALQ393282:ALQ393290 AVM393282:AVM393290 BFI393282:BFI393290 BPE393282:BPE393290 BZA393282:BZA393290 CIW393282:CIW393290 CSS393282:CSS393290 DCO393282:DCO393290 DMK393282:DMK393290 DWG393282:DWG393290 EGC393282:EGC393290 EPY393282:EPY393290 EZU393282:EZU393290 FJQ393282:FJQ393290 FTM393282:FTM393290 GDI393282:GDI393290 GNE393282:GNE393290 GXA393282:GXA393290 HGW393282:HGW393290 HQS393282:HQS393290 IAO393282:IAO393290 IKK393282:IKK393290 IUG393282:IUG393290 JEC393282:JEC393290 JNY393282:JNY393290 JXU393282:JXU393290 KHQ393282:KHQ393290 KRM393282:KRM393290 LBI393282:LBI393290 LLE393282:LLE393290 LVA393282:LVA393290 MEW393282:MEW393290 MOS393282:MOS393290 MYO393282:MYO393290 NIK393282:NIK393290 NSG393282:NSG393290 OCC393282:OCC393290 OLY393282:OLY393290 OVU393282:OVU393290 PFQ393282:PFQ393290 PPM393282:PPM393290 PZI393282:PZI393290 QJE393282:QJE393290 QTA393282:QTA393290 RCW393282:RCW393290 RMS393282:RMS393290 RWO393282:RWO393290 SGK393282:SGK393290 SQG393282:SQG393290 TAC393282:TAC393290 TJY393282:TJY393290 TTU393282:TTU393290 UDQ393282:UDQ393290 UNM393282:UNM393290 UXI393282:UXI393290 VHE393282:VHE393290 VRA393282:VRA393290 WAW393282:WAW393290 WKS393282:WKS393290 WUO393282:WUO393290 C458818:C458826 IC458818:IC458826 RY458818:RY458826 ABU458818:ABU458826 ALQ458818:ALQ458826 AVM458818:AVM458826 BFI458818:BFI458826 BPE458818:BPE458826 BZA458818:BZA458826 CIW458818:CIW458826 CSS458818:CSS458826 DCO458818:DCO458826 DMK458818:DMK458826 DWG458818:DWG458826 EGC458818:EGC458826 EPY458818:EPY458826 EZU458818:EZU458826 FJQ458818:FJQ458826 FTM458818:FTM458826 GDI458818:GDI458826 GNE458818:GNE458826 GXA458818:GXA458826 HGW458818:HGW458826 HQS458818:HQS458826 IAO458818:IAO458826 IKK458818:IKK458826 IUG458818:IUG458826 JEC458818:JEC458826 JNY458818:JNY458826 JXU458818:JXU458826 KHQ458818:KHQ458826 KRM458818:KRM458826 LBI458818:LBI458826 LLE458818:LLE458826 LVA458818:LVA458826 MEW458818:MEW458826 MOS458818:MOS458826 MYO458818:MYO458826 NIK458818:NIK458826 NSG458818:NSG458826 OCC458818:OCC458826 OLY458818:OLY458826 OVU458818:OVU458826 PFQ458818:PFQ458826 PPM458818:PPM458826 PZI458818:PZI458826 QJE458818:QJE458826 QTA458818:QTA458826 RCW458818:RCW458826 RMS458818:RMS458826 RWO458818:RWO458826 SGK458818:SGK458826 SQG458818:SQG458826 TAC458818:TAC458826 TJY458818:TJY458826 TTU458818:TTU458826 UDQ458818:UDQ458826 UNM458818:UNM458826 UXI458818:UXI458826 VHE458818:VHE458826 VRA458818:VRA458826 WAW458818:WAW458826 WKS458818:WKS458826 WUO458818:WUO458826 C524354:C524362 IC524354:IC524362 RY524354:RY524362 ABU524354:ABU524362 ALQ524354:ALQ524362 AVM524354:AVM524362 BFI524354:BFI524362 BPE524354:BPE524362 BZA524354:BZA524362 CIW524354:CIW524362 CSS524354:CSS524362 DCO524354:DCO524362 DMK524354:DMK524362 DWG524354:DWG524362 EGC524354:EGC524362 EPY524354:EPY524362 EZU524354:EZU524362 FJQ524354:FJQ524362 FTM524354:FTM524362 GDI524354:GDI524362 GNE524354:GNE524362 GXA524354:GXA524362 HGW524354:HGW524362 HQS524354:HQS524362 IAO524354:IAO524362 IKK524354:IKK524362 IUG524354:IUG524362 JEC524354:JEC524362 JNY524354:JNY524362 JXU524354:JXU524362 KHQ524354:KHQ524362 KRM524354:KRM524362 LBI524354:LBI524362 LLE524354:LLE524362 LVA524354:LVA524362 MEW524354:MEW524362 MOS524354:MOS524362 MYO524354:MYO524362 NIK524354:NIK524362 NSG524354:NSG524362 OCC524354:OCC524362 OLY524354:OLY524362 OVU524354:OVU524362 PFQ524354:PFQ524362 PPM524354:PPM524362 PZI524354:PZI524362 QJE524354:QJE524362 QTA524354:QTA524362 RCW524354:RCW524362 RMS524354:RMS524362 RWO524354:RWO524362 SGK524354:SGK524362 SQG524354:SQG524362 TAC524354:TAC524362 TJY524354:TJY524362 TTU524354:TTU524362 UDQ524354:UDQ524362 UNM524354:UNM524362 UXI524354:UXI524362 VHE524354:VHE524362 VRA524354:VRA524362 WAW524354:WAW524362 WKS524354:WKS524362 WUO524354:WUO524362 C589890:C589898 IC589890:IC589898 RY589890:RY589898 ABU589890:ABU589898 ALQ589890:ALQ589898 AVM589890:AVM589898 BFI589890:BFI589898 BPE589890:BPE589898 BZA589890:BZA589898 CIW589890:CIW589898 CSS589890:CSS589898 DCO589890:DCO589898 DMK589890:DMK589898 DWG589890:DWG589898 EGC589890:EGC589898 EPY589890:EPY589898 EZU589890:EZU589898 FJQ589890:FJQ589898 FTM589890:FTM589898 GDI589890:GDI589898 GNE589890:GNE589898 GXA589890:GXA589898 HGW589890:HGW589898 HQS589890:HQS589898 IAO589890:IAO589898 IKK589890:IKK589898 IUG589890:IUG589898 JEC589890:JEC589898 JNY589890:JNY589898 JXU589890:JXU589898 KHQ589890:KHQ589898 KRM589890:KRM589898 LBI589890:LBI589898 LLE589890:LLE589898 LVA589890:LVA589898 MEW589890:MEW589898 MOS589890:MOS589898 MYO589890:MYO589898 NIK589890:NIK589898 NSG589890:NSG589898 OCC589890:OCC589898 OLY589890:OLY589898 OVU589890:OVU589898 PFQ589890:PFQ589898 PPM589890:PPM589898 PZI589890:PZI589898 QJE589890:QJE589898 QTA589890:QTA589898 RCW589890:RCW589898 RMS589890:RMS589898 RWO589890:RWO589898 SGK589890:SGK589898 SQG589890:SQG589898 TAC589890:TAC589898 TJY589890:TJY589898 TTU589890:TTU589898 UDQ589890:UDQ589898 UNM589890:UNM589898 UXI589890:UXI589898 VHE589890:VHE589898 VRA589890:VRA589898 WAW589890:WAW589898 WKS589890:WKS589898 WUO589890:WUO589898 C655426:C655434 IC655426:IC655434 RY655426:RY655434 ABU655426:ABU655434 ALQ655426:ALQ655434 AVM655426:AVM655434 BFI655426:BFI655434 BPE655426:BPE655434 BZA655426:BZA655434 CIW655426:CIW655434 CSS655426:CSS655434 DCO655426:DCO655434 DMK655426:DMK655434 DWG655426:DWG655434 EGC655426:EGC655434 EPY655426:EPY655434 EZU655426:EZU655434 FJQ655426:FJQ655434 FTM655426:FTM655434 GDI655426:GDI655434 GNE655426:GNE655434 GXA655426:GXA655434 HGW655426:HGW655434 HQS655426:HQS655434 IAO655426:IAO655434 IKK655426:IKK655434 IUG655426:IUG655434 JEC655426:JEC655434 JNY655426:JNY655434 JXU655426:JXU655434 KHQ655426:KHQ655434 KRM655426:KRM655434 LBI655426:LBI655434 LLE655426:LLE655434 LVA655426:LVA655434 MEW655426:MEW655434 MOS655426:MOS655434 MYO655426:MYO655434 NIK655426:NIK655434 NSG655426:NSG655434 OCC655426:OCC655434 OLY655426:OLY655434 OVU655426:OVU655434 PFQ655426:PFQ655434 PPM655426:PPM655434 PZI655426:PZI655434 QJE655426:QJE655434 QTA655426:QTA655434 RCW655426:RCW655434 RMS655426:RMS655434 RWO655426:RWO655434 SGK655426:SGK655434 SQG655426:SQG655434 TAC655426:TAC655434 TJY655426:TJY655434 TTU655426:TTU655434 UDQ655426:UDQ655434 UNM655426:UNM655434 UXI655426:UXI655434 VHE655426:VHE655434 VRA655426:VRA655434 WAW655426:WAW655434 WKS655426:WKS655434 WUO655426:WUO655434 C720962:C720970 IC720962:IC720970 RY720962:RY720970 ABU720962:ABU720970 ALQ720962:ALQ720970 AVM720962:AVM720970 BFI720962:BFI720970 BPE720962:BPE720970 BZA720962:BZA720970 CIW720962:CIW720970 CSS720962:CSS720970 DCO720962:DCO720970 DMK720962:DMK720970 DWG720962:DWG720970 EGC720962:EGC720970 EPY720962:EPY720970 EZU720962:EZU720970 FJQ720962:FJQ720970 FTM720962:FTM720970 GDI720962:GDI720970 GNE720962:GNE720970 GXA720962:GXA720970 HGW720962:HGW720970 HQS720962:HQS720970 IAO720962:IAO720970 IKK720962:IKK720970 IUG720962:IUG720970 JEC720962:JEC720970 JNY720962:JNY720970 JXU720962:JXU720970 KHQ720962:KHQ720970 KRM720962:KRM720970 LBI720962:LBI720970 LLE720962:LLE720970 LVA720962:LVA720970 MEW720962:MEW720970 MOS720962:MOS720970 MYO720962:MYO720970 NIK720962:NIK720970 NSG720962:NSG720970 OCC720962:OCC720970 OLY720962:OLY720970 OVU720962:OVU720970 PFQ720962:PFQ720970 PPM720962:PPM720970 PZI720962:PZI720970 QJE720962:QJE720970 QTA720962:QTA720970 RCW720962:RCW720970 RMS720962:RMS720970 RWO720962:RWO720970 SGK720962:SGK720970 SQG720962:SQG720970 TAC720962:TAC720970 TJY720962:TJY720970 TTU720962:TTU720970 UDQ720962:UDQ720970 UNM720962:UNM720970 UXI720962:UXI720970 VHE720962:VHE720970 VRA720962:VRA720970 WAW720962:WAW720970 WKS720962:WKS720970 WUO720962:WUO720970 C786498:C786506 IC786498:IC786506 RY786498:RY786506 ABU786498:ABU786506 ALQ786498:ALQ786506 AVM786498:AVM786506 BFI786498:BFI786506 BPE786498:BPE786506 BZA786498:BZA786506 CIW786498:CIW786506 CSS786498:CSS786506 DCO786498:DCO786506 DMK786498:DMK786506 DWG786498:DWG786506 EGC786498:EGC786506 EPY786498:EPY786506 EZU786498:EZU786506 FJQ786498:FJQ786506 FTM786498:FTM786506 GDI786498:GDI786506 GNE786498:GNE786506 GXA786498:GXA786506 HGW786498:HGW786506 HQS786498:HQS786506 IAO786498:IAO786506 IKK786498:IKK786506 IUG786498:IUG786506 JEC786498:JEC786506 JNY786498:JNY786506 JXU786498:JXU786506 KHQ786498:KHQ786506 KRM786498:KRM786506 LBI786498:LBI786506 LLE786498:LLE786506 LVA786498:LVA786506 MEW786498:MEW786506 MOS786498:MOS786506 MYO786498:MYO786506 NIK786498:NIK786506 NSG786498:NSG786506 OCC786498:OCC786506 OLY786498:OLY786506 OVU786498:OVU786506 PFQ786498:PFQ786506 PPM786498:PPM786506 PZI786498:PZI786506 QJE786498:QJE786506 QTA786498:QTA786506 RCW786498:RCW786506 RMS786498:RMS786506 RWO786498:RWO786506 SGK786498:SGK786506 SQG786498:SQG786506 TAC786498:TAC786506 TJY786498:TJY786506 TTU786498:TTU786506 UDQ786498:UDQ786506 UNM786498:UNM786506 UXI786498:UXI786506 VHE786498:VHE786506 VRA786498:VRA786506 WAW786498:WAW786506 WKS786498:WKS786506 WUO786498:WUO786506 C852034:C852042 IC852034:IC852042 RY852034:RY852042 ABU852034:ABU852042 ALQ852034:ALQ852042 AVM852034:AVM852042 BFI852034:BFI852042 BPE852034:BPE852042 BZA852034:BZA852042 CIW852034:CIW852042 CSS852034:CSS852042 DCO852034:DCO852042 DMK852034:DMK852042 DWG852034:DWG852042 EGC852034:EGC852042 EPY852034:EPY852042 EZU852034:EZU852042 FJQ852034:FJQ852042 FTM852034:FTM852042 GDI852034:GDI852042 GNE852034:GNE852042 GXA852034:GXA852042 HGW852034:HGW852042 HQS852034:HQS852042 IAO852034:IAO852042 IKK852034:IKK852042 IUG852034:IUG852042 JEC852034:JEC852042 JNY852034:JNY852042 JXU852034:JXU852042 KHQ852034:KHQ852042 KRM852034:KRM852042 LBI852034:LBI852042 LLE852034:LLE852042 LVA852034:LVA852042 MEW852034:MEW852042 MOS852034:MOS852042 MYO852034:MYO852042 NIK852034:NIK852042 NSG852034:NSG852042 OCC852034:OCC852042 OLY852034:OLY852042 OVU852034:OVU852042 PFQ852034:PFQ852042 PPM852034:PPM852042 PZI852034:PZI852042 QJE852034:QJE852042 QTA852034:QTA852042 RCW852034:RCW852042 RMS852034:RMS852042 RWO852034:RWO852042 SGK852034:SGK852042 SQG852034:SQG852042 TAC852034:TAC852042 TJY852034:TJY852042 TTU852034:TTU852042 UDQ852034:UDQ852042 UNM852034:UNM852042 UXI852034:UXI852042 VHE852034:VHE852042 VRA852034:VRA852042 WAW852034:WAW852042 WKS852034:WKS852042 WUO852034:WUO852042 C917570:C917578 IC917570:IC917578 RY917570:RY917578 ABU917570:ABU917578 ALQ917570:ALQ917578 AVM917570:AVM917578 BFI917570:BFI917578 BPE917570:BPE917578 BZA917570:BZA917578 CIW917570:CIW917578 CSS917570:CSS917578 DCO917570:DCO917578 DMK917570:DMK917578 DWG917570:DWG917578 EGC917570:EGC917578 EPY917570:EPY917578 EZU917570:EZU917578 FJQ917570:FJQ917578 FTM917570:FTM917578 GDI917570:GDI917578 GNE917570:GNE917578 GXA917570:GXA917578 HGW917570:HGW917578 HQS917570:HQS917578 IAO917570:IAO917578 IKK917570:IKK917578 IUG917570:IUG917578 JEC917570:JEC917578 JNY917570:JNY917578 JXU917570:JXU917578 KHQ917570:KHQ917578 KRM917570:KRM917578 LBI917570:LBI917578 LLE917570:LLE917578 LVA917570:LVA917578 MEW917570:MEW917578 MOS917570:MOS917578 MYO917570:MYO917578 NIK917570:NIK917578 NSG917570:NSG917578 OCC917570:OCC917578 OLY917570:OLY917578 OVU917570:OVU917578 PFQ917570:PFQ917578 PPM917570:PPM917578 PZI917570:PZI917578 QJE917570:QJE917578 QTA917570:QTA917578 RCW917570:RCW917578 RMS917570:RMS917578 RWO917570:RWO917578 SGK917570:SGK917578 SQG917570:SQG917578 TAC917570:TAC917578 TJY917570:TJY917578 TTU917570:TTU917578 UDQ917570:UDQ917578 UNM917570:UNM917578 UXI917570:UXI917578 VHE917570:VHE917578 VRA917570:VRA917578 WAW917570:WAW917578 WKS917570:WKS917578 WUO917570:WUO917578 C983106:C983114 IC983106:IC983114 RY983106:RY983114 ABU983106:ABU983114 ALQ983106:ALQ983114 AVM983106:AVM983114 BFI983106:BFI983114 BPE983106:BPE983114 BZA983106:BZA983114 CIW983106:CIW983114 CSS983106:CSS983114 DCO983106:DCO983114 DMK983106:DMK983114 DWG983106:DWG983114 EGC983106:EGC983114 EPY983106:EPY983114 EZU983106:EZU983114 FJQ983106:FJQ983114 FTM983106:FTM983114 GDI983106:GDI983114 GNE983106:GNE983114 GXA983106:GXA983114 HGW983106:HGW983114 HQS983106:HQS983114 IAO983106:IAO983114 IKK983106:IKK983114 IUG983106:IUG983114 JEC983106:JEC983114 JNY983106:JNY983114 JXU983106:JXU983114 KHQ983106:KHQ983114 KRM983106:KRM983114 LBI983106:LBI983114 LLE983106:LLE983114 LVA983106:LVA983114 MEW983106:MEW983114 MOS983106:MOS983114 MYO983106:MYO983114 NIK983106:NIK983114 NSG983106:NSG983114 OCC983106:OCC983114 OLY983106:OLY983114 OVU983106:OVU983114 PFQ983106:PFQ983114 PPM983106:PPM983114 PZI983106:PZI983114 QJE983106:QJE983114 QTA983106:QTA983114 RCW983106:RCW983114 RMS983106:RMS983114 RWO983106:RWO983114 SGK983106:SGK983114 SQG983106:SQG983114 TAC983106:TAC983114 TJY983106:TJY983114 TTU983106:TTU983114 UDQ983106:UDQ983114 UNM983106:UNM983114 UXI983106:UXI983114 VHE983106:VHE983114 VRA983106:VRA983114 WAW983106:WAW983114 WKS983106:WKS983114 C54:C78" xr:uid="{00000000-0002-0000-0300-000000000000}"/>
    <dataValidation allowBlank="1" showInputMessage="1" showErrorMessage="1" prompt="ingrese el valor del Factor Prestacional asignado para el personal." sqref="WUS983106:WUS983114 IG11:IG51 SC11:SC51 ABY11:ABY51 ALU11:ALU51 AVQ11:AVQ51 BFM11:BFM51 BPI11:BPI51 BZE11:BZE51 CJA11:CJA51 CSW11:CSW51 DCS11:DCS51 DMO11:DMO51 DWK11:DWK51 EGG11:EGG51 EQC11:EQC51 EZY11:EZY51 FJU11:FJU51 FTQ11:FTQ51 GDM11:GDM51 GNI11:GNI51 GXE11:GXE51 HHA11:HHA51 HQW11:HQW51 IAS11:IAS51 IKO11:IKO51 IUK11:IUK51 JEG11:JEG51 JOC11:JOC51 JXY11:JXY51 KHU11:KHU51 KRQ11:KRQ51 LBM11:LBM51 LLI11:LLI51 LVE11:LVE51 MFA11:MFA51 MOW11:MOW51 MYS11:MYS51 NIO11:NIO51 NSK11:NSK51 OCG11:OCG51 OMC11:OMC51 OVY11:OVY51 PFU11:PFU51 PPQ11:PPQ51 PZM11:PZM51 QJI11:QJI51 QTE11:QTE51 RDA11:RDA51 RMW11:RMW51 RWS11:RWS51 SGO11:SGO51 SQK11:SQK51 TAG11:TAG51 TKC11:TKC51 TTY11:TTY51 UDU11:UDU51 UNQ11:UNQ51 UXM11:UXM51 VHI11:VHI51 VRE11:VRE51 WBA11:WBA51 WKW11:WKW51 WUS11:WUS51 F65591:G65599 IG65591:IG65599 SC65591:SC65599 ABY65591:ABY65599 ALU65591:ALU65599 AVQ65591:AVQ65599 BFM65591:BFM65599 BPI65591:BPI65599 BZE65591:BZE65599 CJA65591:CJA65599 CSW65591:CSW65599 DCS65591:DCS65599 DMO65591:DMO65599 DWK65591:DWK65599 EGG65591:EGG65599 EQC65591:EQC65599 EZY65591:EZY65599 FJU65591:FJU65599 FTQ65591:FTQ65599 GDM65591:GDM65599 GNI65591:GNI65599 GXE65591:GXE65599 HHA65591:HHA65599 HQW65591:HQW65599 IAS65591:IAS65599 IKO65591:IKO65599 IUK65591:IUK65599 JEG65591:JEG65599 JOC65591:JOC65599 JXY65591:JXY65599 KHU65591:KHU65599 KRQ65591:KRQ65599 LBM65591:LBM65599 LLI65591:LLI65599 LVE65591:LVE65599 MFA65591:MFA65599 MOW65591:MOW65599 MYS65591:MYS65599 NIO65591:NIO65599 NSK65591:NSK65599 OCG65591:OCG65599 OMC65591:OMC65599 OVY65591:OVY65599 PFU65591:PFU65599 PPQ65591:PPQ65599 PZM65591:PZM65599 QJI65591:QJI65599 QTE65591:QTE65599 RDA65591:RDA65599 RMW65591:RMW65599 RWS65591:RWS65599 SGO65591:SGO65599 SQK65591:SQK65599 TAG65591:TAG65599 TKC65591:TKC65599 TTY65591:TTY65599 UDU65591:UDU65599 UNQ65591:UNQ65599 UXM65591:UXM65599 VHI65591:VHI65599 VRE65591:VRE65599 WBA65591:WBA65599 WKW65591:WKW65599 WUS65591:WUS65599 F131127:G131135 IG131127:IG131135 SC131127:SC131135 ABY131127:ABY131135 ALU131127:ALU131135 AVQ131127:AVQ131135 BFM131127:BFM131135 BPI131127:BPI131135 BZE131127:BZE131135 CJA131127:CJA131135 CSW131127:CSW131135 DCS131127:DCS131135 DMO131127:DMO131135 DWK131127:DWK131135 EGG131127:EGG131135 EQC131127:EQC131135 EZY131127:EZY131135 FJU131127:FJU131135 FTQ131127:FTQ131135 GDM131127:GDM131135 GNI131127:GNI131135 GXE131127:GXE131135 HHA131127:HHA131135 HQW131127:HQW131135 IAS131127:IAS131135 IKO131127:IKO131135 IUK131127:IUK131135 JEG131127:JEG131135 JOC131127:JOC131135 JXY131127:JXY131135 KHU131127:KHU131135 KRQ131127:KRQ131135 LBM131127:LBM131135 LLI131127:LLI131135 LVE131127:LVE131135 MFA131127:MFA131135 MOW131127:MOW131135 MYS131127:MYS131135 NIO131127:NIO131135 NSK131127:NSK131135 OCG131127:OCG131135 OMC131127:OMC131135 OVY131127:OVY131135 PFU131127:PFU131135 PPQ131127:PPQ131135 PZM131127:PZM131135 QJI131127:QJI131135 QTE131127:QTE131135 RDA131127:RDA131135 RMW131127:RMW131135 RWS131127:RWS131135 SGO131127:SGO131135 SQK131127:SQK131135 TAG131127:TAG131135 TKC131127:TKC131135 TTY131127:TTY131135 UDU131127:UDU131135 UNQ131127:UNQ131135 UXM131127:UXM131135 VHI131127:VHI131135 VRE131127:VRE131135 WBA131127:WBA131135 WKW131127:WKW131135 WUS131127:WUS131135 F196663:G196671 IG196663:IG196671 SC196663:SC196671 ABY196663:ABY196671 ALU196663:ALU196671 AVQ196663:AVQ196671 BFM196663:BFM196671 BPI196663:BPI196671 BZE196663:BZE196671 CJA196663:CJA196671 CSW196663:CSW196671 DCS196663:DCS196671 DMO196663:DMO196671 DWK196663:DWK196671 EGG196663:EGG196671 EQC196663:EQC196671 EZY196663:EZY196671 FJU196663:FJU196671 FTQ196663:FTQ196671 GDM196663:GDM196671 GNI196663:GNI196671 GXE196663:GXE196671 HHA196663:HHA196671 HQW196663:HQW196671 IAS196663:IAS196671 IKO196663:IKO196671 IUK196663:IUK196671 JEG196663:JEG196671 JOC196663:JOC196671 JXY196663:JXY196671 KHU196663:KHU196671 KRQ196663:KRQ196671 LBM196663:LBM196671 LLI196663:LLI196671 LVE196663:LVE196671 MFA196663:MFA196671 MOW196663:MOW196671 MYS196663:MYS196671 NIO196663:NIO196671 NSK196663:NSK196671 OCG196663:OCG196671 OMC196663:OMC196671 OVY196663:OVY196671 PFU196663:PFU196671 PPQ196663:PPQ196671 PZM196663:PZM196671 QJI196663:QJI196671 QTE196663:QTE196671 RDA196663:RDA196671 RMW196663:RMW196671 RWS196663:RWS196671 SGO196663:SGO196671 SQK196663:SQK196671 TAG196663:TAG196671 TKC196663:TKC196671 TTY196663:TTY196671 UDU196663:UDU196671 UNQ196663:UNQ196671 UXM196663:UXM196671 VHI196663:VHI196671 VRE196663:VRE196671 WBA196663:WBA196671 WKW196663:WKW196671 WUS196663:WUS196671 F262199:G262207 IG262199:IG262207 SC262199:SC262207 ABY262199:ABY262207 ALU262199:ALU262207 AVQ262199:AVQ262207 BFM262199:BFM262207 BPI262199:BPI262207 BZE262199:BZE262207 CJA262199:CJA262207 CSW262199:CSW262207 DCS262199:DCS262207 DMO262199:DMO262207 DWK262199:DWK262207 EGG262199:EGG262207 EQC262199:EQC262207 EZY262199:EZY262207 FJU262199:FJU262207 FTQ262199:FTQ262207 GDM262199:GDM262207 GNI262199:GNI262207 GXE262199:GXE262207 HHA262199:HHA262207 HQW262199:HQW262207 IAS262199:IAS262207 IKO262199:IKO262207 IUK262199:IUK262207 JEG262199:JEG262207 JOC262199:JOC262207 JXY262199:JXY262207 KHU262199:KHU262207 KRQ262199:KRQ262207 LBM262199:LBM262207 LLI262199:LLI262207 LVE262199:LVE262207 MFA262199:MFA262207 MOW262199:MOW262207 MYS262199:MYS262207 NIO262199:NIO262207 NSK262199:NSK262207 OCG262199:OCG262207 OMC262199:OMC262207 OVY262199:OVY262207 PFU262199:PFU262207 PPQ262199:PPQ262207 PZM262199:PZM262207 QJI262199:QJI262207 QTE262199:QTE262207 RDA262199:RDA262207 RMW262199:RMW262207 RWS262199:RWS262207 SGO262199:SGO262207 SQK262199:SQK262207 TAG262199:TAG262207 TKC262199:TKC262207 TTY262199:TTY262207 UDU262199:UDU262207 UNQ262199:UNQ262207 UXM262199:UXM262207 VHI262199:VHI262207 VRE262199:VRE262207 WBA262199:WBA262207 WKW262199:WKW262207 WUS262199:WUS262207 F327735:G327743 IG327735:IG327743 SC327735:SC327743 ABY327735:ABY327743 ALU327735:ALU327743 AVQ327735:AVQ327743 BFM327735:BFM327743 BPI327735:BPI327743 BZE327735:BZE327743 CJA327735:CJA327743 CSW327735:CSW327743 DCS327735:DCS327743 DMO327735:DMO327743 DWK327735:DWK327743 EGG327735:EGG327743 EQC327735:EQC327743 EZY327735:EZY327743 FJU327735:FJU327743 FTQ327735:FTQ327743 GDM327735:GDM327743 GNI327735:GNI327743 GXE327735:GXE327743 HHA327735:HHA327743 HQW327735:HQW327743 IAS327735:IAS327743 IKO327735:IKO327743 IUK327735:IUK327743 JEG327735:JEG327743 JOC327735:JOC327743 JXY327735:JXY327743 KHU327735:KHU327743 KRQ327735:KRQ327743 LBM327735:LBM327743 LLI327735:LLI327743 LVE327735:LVE327743 MFA327735:MFA327743 MOW327735:MOW327743 MYS327735:MYS327743 NIO327735:NIO327743 NSK327735:NSK327743 OCG327735:OCG327743 OMC327735:OMC327743 OVY327735:OVY327743 PFU327735:PFU327743 PPQ327735:PPQ327743 PZM327735:PZM327743 QJI327735:QJI327743 QTE327735:QTE327743 RDA327735:RDA327743 RMW327735:RMW327743 RWS327735:RWS327743 SGO327735:SGO327743 SQK327735:SQK327743 TAG327735:TAG327743 TKC327735:TKC327743 TTY327735:TTY327743 UDU327735:UDU327743 UNQ327735:UNQ327743 UXM327735:UXM327743 VHI327735:VHI327743 VRE327735:VRE327743 WBA327735:WBA327743 WKW327735:WKW327743 WUS327735:WUS327743 F393271:G393279 IG393271:IG393279 SC393271:SC393279 ABY393271:ABY393279 ALU393271:ALU393279 AVQ393271:AVQ393279 BFM393271:BFM393279 BPI393271:BPI393279 BZE393271:BZE393279 CJA393271:CJA393279 CSW393271:CSW393279 DCS393271:DCS393279 DMO393271:DMO393279 DWK393271:DWK393279 EGG393271:EGG393279 EQC393271:EQC393279 EZY393271:EZY393279 FJU393271:FJU393279 FTQ393271:FTQ393279 GDM393271:GDM393279 GNI393271:GNI393279 GXE393271:GXE393279 HHA393271:HHA393279 HQW393271:HQW393279 IAS393271:IAS393279 IKO393271:IKO393279 IUK393271:IUK393279 JEG393271:JEG393279 JOC393271:JOC393279 JXY393271:JXY393279 KHU393271:KHU393279 KRQ393271:KRQ393279 LBM393271:LBM393279 LLI393271:LLI393279 LVE393271:LVE393279 MFA393271:MFA393279 MOW393271:MOW393279 MYS393271:MYS393279 NIO393271:NIO393279 NSK393271:NSK393279 OCG393271:OCG393279 OMC393271:OMC393279 OVY393271:OVY393279 PFU393271:PFU393279 PPQ393271:PPQ393279 PZM393271:PZM393279 QJI393271:QJI393279 QTE393271:QTE393279 RDA393271:RDA393279 RMW393271:RMW393279 RWS393271:RWS393279 SGO393271:SGO393279 SQK393271:SQK393279 TAG393271:TAG393279 TKC393271:TKC393279 TTY393271:TTY393279 UDU393271:UDU393279 UNQ393271:UNQ393279 UXM393271:UXM393279 VHI393271:VHI393279 VRE393271:VRE393279 WBA393271:WBA393279 WKW393271:WKW393279 WUS393271:WUS393279 F458807:G458815 IG458807:IG458815 SC458807:SC458815 ABY458807:ABY458815 ALU458807:ALU458815 AVQ458807:AVQ458815 BFM458807:BFM458815 BPI458807:BPI458815 BZE458807:BZE458815 CJA458807:CJA458815 CSW458807:CSW458815 DCS458807:DCS458815 DMO458807:DMO458815 DWK458807:DWK458815 EGG458807:EGG458815 EQC458807:EQC458815 EZY458807:EZY458815 FJU458807:FJU458815 FTQ458807:FTQ458815 GDM458807:GDM458815 GNI458807:GNI458815 GXE458807:GXE458815 HHA458807:HHA458815 HQW458807:HQW458815 IAS458807:IAS458815 IKO458807:IKO458815 IUK458807:IUK458815 JEG458807:JEG458815 JOC458807:JOC458815 JXY458807:JXY458815 KHU458807:KHU458815 KRQ458807:KRQ458815 LBM458807:LBM458815 LLI458807:LLI458815 LVE458807:LVE458815 MFA458807:MFA458815 MOW458807:MOW458815 MYS458807:MYS458815 NIO458807:NIO458815 NSK458807:NSK458815 OCG458807:OCG458815 OMC458807:OMC458815 OVY458807:OVY458815 PFU458807:PFU458815 PPQ458807:PPQ458815 PZM458807:PZM458815 QJI458807:QJI458815 QTE458807:QTE458815 RDA458807:RDA458815 RMW458807:RMW458815 RWS458807:RWS458815 SGO458807:SGO458815 SQK458807:SQK458815 TAG458807:TAG458815 TKC458807:TKC458815 TTY458807:TTY458815 UDU458807:UDU458815 UNQ458807:UNQ458815 UXM458807:UXM458815 VHI458807:VHI458815 VRE458807:VRE458815 WBA458807:WBA458815 WKW458807:WKW458815 WUS458807:WUS458815 F524343:G524351 IG524343:IG524351 SC524343:SC524351 ABY524343:ABY524351 ALU524343:ALU524351 AVQ524343:AVQ524351 BFM524343:BFM524351 BPI524343:BPI524351 BZE524343:BZE524351 CJA524343:CJA524351 CSW524343:CSW524351 DCS524343:DCS524351 DMO524343:DMO524351 DWK524343:DWK524351 EGG524343:EGG524351 EQC524343:EQC524351 EZY524343:EZY524351 FJU524343:FJU524351 FTQ524343:FTQ524351 GDM524343:GDM524351 GNI524343:GNI524351 GXE524343:GXE524351 HHA524343:HHA524351 HQW524343:HQW524351 IAS524343:IAS524351 IKO524343:IKO524351 IUK524343:IUK524351 JEG524343:JEG524351 JOC524343:JOC524351 JXY524343:JXY524351 KHU524343:KHU524351 KRQ524343:KRQ524351 LBM524343:LBM524351 LLI524343:LLI524351 LVE524343:LVE524351 MFA524343:MFA524351 MOW524343:MOW524351 MYS524343:MYS524351 NIO524343:NIO524351 NSK524343:NSK524351 OCG524343:OCG524351 OMC524343:OMC524351 OVY524343:OVY524351 PFU524343:PFU524351 PPQ524343:PPQ524351 PZM524343:PZM524351 QJI524343:QJI524351 QTE524343:QTE524351 RDA524343:RDA524351 RMW524343:RMW524351 RWS524343:RWS524351 SGO524343:SGO524351 SQK524343:SQK524351 TAG524343:TAG524351 TKC524343:TKC524351 TTY524343:TTY524351 UDU524343:UDU524351 UNQ524343:UNQ524351 UXM524343:UXM524351 VHI524343:VHI524351 VRE524343:VRE524351 WBA524343:WBA524351 WKW524343:WKW524351 WUS524343:WUS524351 F589879:G589887 IG589879:IG589887 SC589879:SC589887 ABY589879:ABY589887 ALU589879:ALU589887 AVQ589879:AVQ589887 BFM589879:BFM589887 BPI589879:BPI589887 BZE589879:BZE589887 CJA589879:CJA589887 CSW589879:CSW589887 DCS589879:DCS589887 DMO589879:DMO589887 DWK589879:DWK589887 EGG589879:EGG589887 EQC589879:EQC589887 EZY589879:EZY589887 FJU589879:FJU589887 FTQ589879:FTQ589887 GDM589879:GDM589887 GNI589879:GNI589887 GXE589879:GXE589887 HHA589879:HHA589887 HQW589879:HQW589887 IAS589879:IAS589887 IKO589879:IKO589887 IUK589879:IUK589887 JEG589879:JEG589887 JOC589879:JOC589887 JXY589879:JXY589887 KHU589879:KHU589887 KRQ589879:KRQ589887 LBM589879:LBM589887 LLI589879:LLI589887 LVE589879:LVE589887 MFA589879:MFA589887 MOW589879:MOW589887 MYS589879:MYS589887 NIO589879:NIO589887 NSK589879:NSK589887 OCG589879:OCG589887 OMC589879:OMC589887 OVY589879:OVY589887 PFU589879:PFU589887 PPQ589879:PPQ589887 PZM589879:PZM589887 QJI589879:QJI589887 QTE589879:QTE589887 RDA589879:RDA589887 RMW589879:RMW589887 RWS589879:RWS589887 SGO589879:SGO589887 SQK589879:SQK589887 TAG589879:TAG589887 TKC589879:TKC589887 TTY589879:TTY589887 UDU589879:UDU589887 UNQ589879:UNQ589887 UXM589879:UXM589887 VHI589879:VHI589887 VRE589879:VRE589887 WBA589879:WBA589887 WKW589879:WKW589887 WUS589879:WUS589887 F655415:G655423 IG655415:IG655423 SC655415:SC655423 ABY655415:ABY655423 ALU655415:ALU655423 AVQ655415:AVQ655423 BFM655415:BFM655423 BPI655415:BPI655423 BZE655415:BZE655423 CJA655415:CJA655423 CSW655415:CSW655423 DCS655415:DCS655423 DMO655415:DMO655423 DWK655415:DWK655423 EGG655415:EGG655423 EQC655415:EQC655423 EZY655415:EZY655423 FJU655415:FJU655423 FTQ655415:FTQ655423 GDM655415:GDM655423 GNI655415:GNI655423 GXE655415:GXE655423 HHA655415:HHA655423 HQW655415:HQW655423 IAS655415:IAS655423 IKO655415:IKO655423 IUK655415:IUK655423 JEG655415:JEG655423 JOC655415:JOC655423 JXY655415:JXY655423 KHU655415:KHU655423 KRQ655415:KRQ655423 LBM655415:LBM655423 LLI655415:LLI655423 LVE655415:LVE655423 MFA655415:MFA655423 MOW655415:MOW655423 MYS655415:MYS655423 NIO655415:NIO655423 NSK655415:NSK655423 OCG655415:OCG655423 OMC655415:OMC655423 OVY655415:OVY655423 PFU655415:PFU655423 PPQ655415:PPQ655423 PZM655415:PZM655423 QJI655415:QJI655423 QTE655415:QTE655423 RDA655415:RDA655423 RMW655415:RMW655423 RWS655415:RWS655423 SGO655415:SGO655423 SQK655415:SQK655423 TAG655415:TAG655423 TKC655415:TKC655423 TTY655415:TTY655423 UDU655415:UDU655423 UNQ655415:UNQ655423 UXM655415:UXM655423 VHI655415:VHI655423 VRE655415:VRE655423 WBA655415:WBA655423 WKW655415:WKW655423 WUS655415:WUS655423 F720951:G720959 IG720951:IG720959 SC720951:SC720959 ABY720951:ABY720959 ALU720951:ALU720959 AVQ720951:AVQ720959 BFM720951:BFM720959 BPI720951:BPI720959 BZE720951:BZE720959 CJA720951:CJA720959 CSW720951:CSW720959 DCS720951:DCS720959 DMO720951:DMO720959 DWK720951:DWK720959 EGG720951:EGG720959 EQC720951:EQC720959 EZY720951:EZY720959 FJU720951:FJU720959 FTQ720951:FTQ720959 GDM720951:GDM720959 GNI720951:GNI720959 GXE720951:GXE720959 HHA720951:HHA720959 HQW720951:HQW720959 IAS720951:IAS720959 IKO720951:IKO720959 IUK720951:IUK720959 JEG720951:JEG720959 JOC720951:JOC720959 JXY720951:JXY720959 KHU720951:KHU720959 KRQ720951:KRQ720959 LBM720951:LBM720959 LLI720951:LLI720959 LVE720951:LVE720959 MFA720951:MFA720959 MOW720951:MOW720959 MYS720951:MYS720959 NIO720951:NIO720959 NSK720951:NSK720959 OCG720951:OCG720959 OMC720951:OMC720959 OVY720951:OVY720959 PFU720951:PFU720959 PPQ720951:PPQ720959 PZM720951:PZM720959 QJI720951:QJI720959 QTE720951:QTE720959 RDA720951:RDA720959 RMW720951:RMW720959 RWS720951:RWS720959 SGO720951:SGO720959 SQK720951:SQK720959 TAG720951:TAG720959 TKC720951:TKC720959 TTY720951:TTY720959 UDU720951:UDU720959 UNQ720951:UNQ720959 UXM720951:UXM720959 VHI720951:VHI720959 VRE720951:VRE720959 WBA720951:WBA720959 WKW720951:WKW720959 WUS720951:WUS720959 F786487:G786495 IG786487:IG786495 SC786487:SC786495 ABY786487:ABY786495 ALU786487:ALU786495 AVQ786487:AVQ786495 BFM786487:BFM786495 BPI786487:BPI786495 BZE786487:BZE786495 CJA786487:CJA786495 CSW786487:CSW786495 DCS786487:DCS786495 DMO786487:DMO786495 DWK786487:DWK786495 EGG786487:EGG786495 EQC786487:EQC786495 EZY786487:EZY786495 FJU786487:FJU786495 FTQ786487:FTQ786495 GDM786487:GDM786495 GNI786487:GNI786495 GXE786487:GXE786495 HHA786487:HHA786495 HQW786487:HQW786495 IAS786487:IAS786495 IKO786487:IKO786495 IUK786487:IUK786495 JEG786487:JEG786495 JOC786487:JOC786495 JXY786487:JXY786495 KHU786487:KHU786495 KRQ786487:KRQ786495 LBM786487:LBM786495 LLI786487:LLI786495 LVE786487:LVE786495 MFA786487:MFA786495 MOW786487:MOW786495 MYS786487:MYS786495 NIO786487:NIO786495 NSK786487:NSK786495 OCG786487:OCG786495 OMC786487:OMC786495 OVY786487:OVY786495 PFU786487:PFU786495 PPQ786487:PPQ786495 PZM786487:PZM786495 QJI786487:QJI786495 QTE786487:QTE786495 RDA786487:RDA786495 RMW786487:RMW786495 RWS786487:RWS786495 SGO786487:SGO786495 SQK786487:SQK786495 TAG786487:TAG786495 TKC786487:TKC786495 TTY786487:TTY786495 UDU786487:UDU786495 UNQ786487:UNQ786495 UXM786487:UXM786495 VHI786487:VHI786495 VRE786487:VRE786495 WBA786487:WBA786495 WKW786487:WKW786495 WUS786487:WUS786495 F852023:G852031 IG852023:IG852031 SC852023:SC852031 ABY852023:ABY852031 ALU852023:ALU852031 AVQ852023:AVQ852031 BFM852023:BFM852031 BPI852023:BPI852031 BZE852023:BZE852031 CJA852023:CJA852031 CSW852023:CSW852031 DCS852023:DCS852031 DMO852023:DMO852031 DWK852023:DWK852031 EGG852023:EGG852031 EQC852023:EQC852031 EZY852023:EZY852031 FJU852023:FJU852031 FTQ852023:FTQ852031 GDM852023:GDM852031 GNI852023:GNI852031 GXE852023:GXE852031 HHA852023:HHA852031 HQW852023:HQW852031 IAS852023:IAS852031 IKO852023:IKO852031 IUK852023:IUK852031 JEG852023:JEG852031 JOC852023:JOC852031 JXY852023:JXY852031 KHU852023:KHU852031 KRQ852023:KRQ852031 LBM852023:LBM852031 LLI852023:LLI852031 LVE852023:LVE852031 MFA852023:MFA852031 MOW852023:MOW852031 MYS852023:MYS852031 NIO852023:NIO852031 NSK852023:NSK852031 OCG852023:OCG852031 OMC852023:OMC852031 OVY852023:OVY852031 PFU852023:PFU852031 PPQ852023:PPQ852031 PZM852023:PZM852031 QJI852023:QJI852031 QTE852023:QTE852031 RDA852023:RDA852031 RMW852023:RMW852031 RWS852023:RWS852031 SGO852023:SGO852031 SQK852023:SQK852031 TAG852023:TAG852031 TKC852023:TKC852031 TTY852023:TTY852031 UDU852023:UDU852031 UNQ852023:UNQ852031 UXM852023:UXM852031 VHI852023:VHI852031 VRE852023:VRE852031 WBA852023:WBA852031 WKW852023:WKW852031 WUS852023:WUS852031 F917559:G917567 IG917559:IG917567 SC917559:SC917567 ABY917559:ABY917567 ALU917559:ALU917567 AVQ917559:AVQ917567 BFM917559:BFM917567 BPI917559:BPI917567 BZE917559:BZE917567 CJA917559:CJA917567 CSW917559:CSW917567 DCS917559:DCS917567 DMO917559:DMO917567 DWK917559:DWK917567 EGG917559:EGG917567 EQC917559:EQC917567 EZY917559:EZY917567 FJU917559:FJU917567 FTQ917559:FTQ917567 GDM917559:GDM917567 GNI917559:GNI917567 GXE917559:GXE917567 HHA917559:HHA917567 HQW917559:HQW917567 IAS917559:IAS917567 IKO917559:IKO917567 IUK917559:IUK917567 JEG917559:JEG917567 JOC917559:JOC917567 JXY917559:JXY917567 KHU917559:KHU917567 KRQ917559:KRQ917567 LBM917559:LBM917567 LLI917559:LLI917567 LVE917559:LVE917567 MFA917559:MFA917567 MOW917559:MOW917567 MYS917559:MYS917567 NIO917559:NIO917567 NSK917559:NSK917567 OCG917559:OCG917567 OMC917559:OMC917567 OVY917559:OVY917567 PFU917559:PFU917567 PPQ917559:PPQ917567 PZM917559:PZM917567 QJI917559:QJI917567 QTE917559:QTE917567 RDA917559:RDA917567 RMW917559:RMW917567 RWS917559:RWS917567 SGO917559:SGO917567 SQK917559:SQK917567 TAG917559:TAG917567 TKC917559:TKC917567 TTY917559:TTY917567 UDU917559:UDU917567 UNQ917559:UNQ917567 UXM917559:UXM917567 VHI917559:VHI917567 VRE917559:VRE917567 WBA917559:WBA917567 WKW917559:WKW917567 WUS917559:WUS917567 F983095:G983103 IG983095:IG983103 SC983095:SC983103 ABY983095:ABY983103 ALU983095:ALU983103 AVQ983095:AVQ983103 BFM983095:BFM983103 BPI983095:BPI983103 BZE983095:BZE983103 CJA983095:CJA983103 CSW983095:CSW983103 DCS983095:DCS983103 DMO983095:DMO983103 DWK983095:DWK983103 EGG983095:EGG983103 EQC983095:EQC983103 EZY983095:EZY983103 FJU983095:FJU983103 FTQ983095:FTQ983103 GDM983095:GDM983103 GNI983095:GNI983103 GXE983095:GXE983103 HHA983095:HHA983103 HQW983095:HQW983103 IAS983095:IAS983103 IKO983095:IKO983103 IUK983095:IUK983103 JEG983095:JEG983103 JOC983095:JOC983103 JXY983095:JXY983103 KHU983095:KHU983103 KRQ983095:KRQ983103 LBM983095:LBM983103 LLI983095:LLI983103 LVE983095:LVE983103 MFA983095:MFA983103 MOW983095:MOW983103 MYS983095:MYS983103 NIO983095:NIO983103 NSK983095:NSK983103 OCG983095:OCG983103 OMC983095:OMC983103 OVY983095:OVY983103 PFU983095:PFU983103 PPQ983095:PPQ983103 PZM983095:PZM983103 QJI983095:QJI983103 QTE983095:QTE983103 RDA983095:RDA983103 RMW983095:RMW983103 RWS983095:RWS983103 SGO983095:SGO983103 SQK983095:SQK983103 TAG983095:TAG983103 TKC983095:TKC983103 TTY983095:TTY983103 UDU983095:UDU983103 UNQ983095:UNQ983103 UXM983095:UXM983103 VHI983095:VHI983103 VRE983095:VRE983103 WBA983095:WBA983103 WKW983095:WKW983103 WUS983095:WUS983103 F11:G51 IG54:IG78 SC54:SC78 ABY54:ABY78 ALU54:ALU78 AVQ54:AVQ78 BFM54:BFM78 BPI54:BPI78 BZE54:BZE78 CJA54:CJA78 CSW54:CSW78 DCS54:DCS78 DMO54:DMO78 DWK54:DWK78 EGG54:EGG78 EQC54:EQC78 EZY54:EZY78 FJU54:FJU78 FTQ54:FTQ78 GDM54:GDM78 GNI54:GNI78 GXE54:GXE78 HHA54:HHA78 HQW54:HQW78 IAS54:IAS78 IKO54:IKO78 IUK54:IUK78 JEG54:JEG78 JOC54:JOC78 JXY54:JXY78 KHU54:KHU78 KRQ54:KRQ78 LBM54:LBM78 LLI54:LLI78 LVE54:LVE78 MFA54:MFA78 MOW54:MOW78 MYS54:MYS78 NIO54:NIO78 NSK54:NSK78 OCG54:OCG78 OMC54:OMC78 OVY54:OVY78 PFU54:PFU78 PPQ54:PPQ78 PZM54:PZM78 QJI54:QJI78 QTE54:QTE78 RDA54:RDA78 RMW54:RMW78 RWS54:RWS78 SGO54:SGO78 SQK54:SQK78 TAG54:TAG78 TKC54:TKC78 TTY54:TTY78 UDU54:UDU78 UNQ54:UNQ78 UXM54:UXM78 VHI54:VHI78 VRE54:VRE78 WBA54:WBA78 WKW54:WKW78 WUS54:WUS78 F65602:G65610 IG65602:IG65610 SC65602:SC65610 ABY65602:ABY65610 ALU65602:ALU65610 AVQ65602:AVQ65610 BFM65602:BFM65610 BPI65602:BPI65610 BZE65602:BZE65610 CJA65602:CJA65610 CSW65602:CSW65610 DCS65602:DCS65610 DMO65602:DMO65610 DWK65602:DWK65610 EGG65602:EGG65610 EQC65602:EQC65610 EZY65602:EZY65610 FJU65602:FJU65610 FTQ65602:FTQ65610 GDM65602:GDM65610 GNI65602:GNI65610 GXE65602:GXE65610 HHA65602:HHA65610 HQW65602:HQW65610 IAS65602:IAS65610 IKO65602:IKO65610 IUK65602:IUK65610 JEG65602:JEG65610 JOC65602:JOC65610 JXY65602:JXY65610 KHU65602:KHU65610 KRQ65602:KRQ65610 LBM65602:LBM65610 LLI65602:LLI65610 LVE65602:LVE65610 MFA65602:MFA65610 MOW65602:MOW65610 MYS65602:MYS65610 NIO65602:NIO65610 NSK65602:NSK65610 OCG65602:OCG65610 OMC65602:OMC65610 OVY65602:OVY65610 PFU65602:PFU65610 PPQ65602:PPQ65610 PZM65602:PZM65610 QJI65602:QJI65610 QTE65602:QTE65610 RDA65602:RDA65610 RMW65602:RMW65610 RWS65602:RWS65610 SGO65602:SGO65610 SQK65602:SQK65610 TAG65602:TAG65610 TKC65602:TKC65610 TTY65602:TTY65610 UDU65602:UDU65610 UNQ65602:UNQ65610 UXM65602:UXM65610 VHI65602:VHI65610 VRE65602:VRE65610 WBA65602:WBA65610 WKW65602:WKW65610 WUS65602:WUS65610 F131138:G131146 IG131138:IG131146 SC131138:SC131146 ABY131138:ABY131146 ALU131138:ALU131146 AVQ131138:AVQ131146 BFM131138:BFM131146 BPI131138:BPI131146 BZE131138:BZE131146 CJA131138:CJA131146 CSW131138:CSW131146 DCS131138:DCS131146 DMO131138:DMO131146 DWK131138:DWK131146 EGG131138:EGG131146 EQC131138:EQC131146 EZY131138:EZY131146 FJU131138:FJU131146 FTQ131138:FTQ131146 GDM131138:GDM131146 GNI131138:GNI131146 GXE131138:GXE131146 HHA131138:HHA131146 HQW131138:HQW131146 IAS131138:IAS131146 IKO131138:IKO131146 IUK131138:IUK131146 JEG131138:JEG131146 JOC131138:JOC131146 JXY131138:JXY131146 KHU131138:KHU131146 KRQ131138:KRQ131146 LBM131138:LBM131146 LLI131138:LLI131146 LVE131138:LVE131146 MFA131138:MFA131146 MOW131138:MOW131146 MYS131138:MYS131146 NIO131138:NIO131146 NSK131138:NSK131146 OCG131138:OCG131146 OMC131138:OMC131146 OVY131138:OVY131146 PFU131138:PFU131146 PPQ131138:PPQ131146 PZM131138:PZM131146 QJI131138:QJI131146 QTE131138:QTE131146 RDA131138:RDA131146 RMW131138:RMW131146 RWS131138:RWS131146 SGO131138:SGO131146 SQK131138:SQK131146 TAG131138:TAG131146 TKC131138:TKC131146 TTY131138:TTY131146 UDU131138:UDU131146 UNQ131138:UNQ131146 UXM131138:UXM131146 VHI131138:VHI131146 VRE131138:VRE131146 WBA131138:WBA131146 WKW131138:WKW131146 WUS131138:WUS131146 F196674:G196682 IG196674:IG196682 SC196674:SC196682 ABY196674:ABY196682 ALU196674:ALU196682 AVQ196674:AVQ196682 BFM196674:BFM196682 BPI196674:BPI196682 BZE196674:BZE196682 CJA196674:CJA196682 CSW196674:CSW196682 DCS196674:DCS196682 DMO196674:DMO196682 DWK196674:DWK196682 EGG196674:EGG196682 EQC196674:EQC196682 EZY196674:EZY196682 FJU196674:FJU196682 FTQ196674:FTQ196682 GDM196674:GDM196682 GNI196674:GNI196682 GXE196674:GXE196682 HHA196674:HHA196682 HQW196674:HQW196682 IAS196674:IAS196682 IKO196674:IKO196682 IUK196674:IUK196682 JEG196674:JEG196682 JOC196674:JOC196682 JXY196674:JXY196682 KHU196674:KHU196682 KRQ196674:KRQ196682 LBM196674:LBM196682 LLI196674:LLI196682 LVE196674:LVE196682 MFA196674:MFA196682 MOW196674:MOW196682 MYS196674:MYS196682 NIO196674:NIO196682 NSK196674:NSK196682 OCG196674:OCG196682 OMC196674:OMC196682 OVY196674:OVY196682 PFU196674:PFU196682 PPQ196674:PPQ196682 PZM196674:PZM196682 QJI196674:QJI196682 QTE196674:QTE196682 RDA196674:RDA196682 RMW196674:RMW196682 RWS196674:RWS196682 SGO196674:SGO196682 SQK196674:SQK196682 TAG196674:TAG196682 TKC196674:TKC196682 TTY196674:TTY196682 UDU196674:UDU196682 UNQ196674:UNQ196682 UXM196674:UXM196682 VHI196674:VHI196682 VRE196674:VRE196682 WBA196674:WBA196682 WKW196674:WKW196682 WUS196674:WUS196682 F262210:G262218 IG262210:IG262218 SC262210:SC262218 ABY262210:ABY262218 ALU262210:ALU262218 AVQ262210:AVQ262218 BFM262210:BFM262218 BPI262210:BPI262218 BZE262210:BZE262218 CJA262210:CJA262218 CSW262210:CSW262218 DCS262210:DCS262218 DMO262210:DMO262218 DWK262210:DWK262218 EGG262210:EGG262218 EQC262210:EQC262218 EZY262210:EZY262218 FJU262210:FJU262218 FTQ262210:FTQ262218 GDM262210:GDM262218 GNI262210:GNI262218 GXE262210:GXE262218 HHA262210:HHA262218 HQW262210:HQW262218 IAS262210:IAS262218 IKO262210:IKO262218 IUK262210:IUK262218 JEG262210:JEG262218 JOC262210:JOC262218 JXY262210:JXY262218 KHU262210:KHU262218 KRQ262210:KRQ262218 LBM262210:LBM262218 LLI262210:LLI262218 LVE262210:LVE262218 MFA262210:MFA262218 MOW262210:MOW262218 MYS262210:MYS262218 NIO262210:NIO262218 NSK262210:NSK262218 OCG262210:OCG262218 OMC262210:OMC262218 OVY262210:OVY262218 PFU262210:PFU262218 PPQ262210:PPQ262218 PZM262210:PZM262218 QJI262210:QJI262218 QTE262210:QTE262218 RDA262210:RDA262218 RMW262210:RMW262218 RWS262210:RWS262218 SGO262210:SGO262218 SQK262210:SQK262218 TAG262210:TAG262218 TKC262210:TKC262218 TTY262210:TTY262218 UDU262210:UDU262218 UNQ262210:UNQ262218 UXM262210:UXM262218 VHI262210:VHI262218 VRE262210:VRE262218 WBA262210:WBA262218 WKW262210:WKW262218 WUS262210:WUS262218 F327746:G327754 IG327746:IG327754 SC327746:SC327754 ABY327746:ABY327754 ALU327746:ALU327754 AVQ327746:AVQ327754 BFM327746:BFM327754 BPI327746:BPI327754 BZE327746:BZE327754 CJA327746:CJA327754 CSW327746:CSW327754 DCS327746:DCS327754 DMO327746:DMO327754 DWK327746:DWK327754 EGG327746:EGG327754 EQC327746:EQC327754 EZY327746:EZY327754 FJU327746:FJU327754 FTQ327746:FTQ327754 GDM327746:GDM327754 GNI327746:GNI327754 GXE327746:GXE327754 HHA327746:HHA327754 HQW327746:HQW327754 IAS327746:IAS327754 IKO327746:IKO327754 IUK327746:IUK327754 JEG327746:JEG327754 JOC327746:JOC327754 JXY327746:JXY327754 KHU327746:KHU327754 KRQ327746:KRQ327754 LBM327746:LBM327754 LLI327746:LLI327754 LVE327746:LVE327754 MFA327746:MFA327754 MOW327746:MOW327754 MYS327746:MYS327754 NIO327746:NIO327754 NSK327746:NSK327754 OCG327746:OCG327754 OMC327746:OMC327754 OVY327746:OVY327754 PFU327746:PFU327754 PPQ327746:PPQ327754 PZM327746:PZM327754 QJI327746:QJI327754 QTE327746:QTE327754 RDA327746:RDA327754 RMW327746:RMW327754 RWS327746:RWS327754 SGO327746:SGO327754 SQK327746:SQK327754 TAG327746:TAG327754 TKC327746:TKC327754 TTY327746:TTY327754 UDU327746:UDU327754 UNQ327746:UNQ327754 UXM327746:UXM327754 VHI327746:VHI327754 VRE327746:VRE327754 WBA327746:WBA327754 WKW327746:WKW327754 WUS327746:WUS327754 F393282:G393290 IG393282:IG393290 SC393282:SC393290 ABY393282:ABY393290 ALU393282:ALU393290 AVQ393282:AVQ393290 BFM393282:BFM393290 BPI393282:BPI393290 BZE393282:BZE393290 CJA393282:CJA393290 CSW393282:CSW393290 DCS393282:DCS393290 DMO393282:DMO393290 DWK393282:DWK393290 EGG393282:EGG393290 EQC393282:EQC393290 EZY393282:EZY393290 FJU393282:FJU393290 FTQ393282:FTQ393290 GDM393282:GDM393290 GNI393282:GNI393290 GXE393282:GXE393290 HHA393282:HHA393290 HQW393282:HQW393290 IAS393282:IAS393290 IKO393282:IKO393290 IUK393282:IUK393290 JEG393282:JEG393290 JOC393282:JOC393290 JXY393282:JXY393290 KHU393282:KHU393290 KRQ393282:KRQ393290 LBM393282:LBM393290 LLI393282:LLI393290 LVE393282:LVE393290 MFA393282:MFA393290 MOW393282:MOW393290 MYS393282:MYS393290 NIO393282:NIO393290 NSK393282:NSK393290 OCG393282:OCG393290 OMC393282:OMC393290 OVY393282:OVY393290 PFU393282:PFU393290 PPQ393282:PPQ393290 PZM393282:PZM393290 QJI393282:QJI393290 QTE393282:QTE393290 RDA393282:RDA393290 RMW393282:RMW393290 RWS393282:RWS393290 SGO393282:SGO393290 SQK393282:SQK393290 TAG393282:TAG393290 TKC393282:TKC393290 TTY393282:TTY393290 UDU393282:UDU393290 UNQ393282:UNQ393290 UXM393282:UXM393290 VHI393282:VHI393290 VRE393282:VRE393290 WBA393282:WBA393290 WKW393282:WKW393290 WUS393282:WUS393290 F458818:G458826 IG458818:IG458826 SC458818:SC458826 ABY458818:ABY458826 ALU458818:ALU458826 AVQ458818:AVQ458826 BFM458818:BFM458826 BPI458818:BPI458826 BZE458818:BZE458826 CJA458818:CJA458826 CSW458818:CSW458826 DCS458818:DCS458826 DMO458818:DMO458826 DWK458818:DWK458826 EGG458818:EGG458826 EQC458818:EQC458826 EZY458818:EZY458826 FJU458818:FJU458826 FTQ458818:FTQ458826 GDM458818:GDM458826 GNI458818:GNI458826 GXE458818:GXE458826 HHA458818:HHA458826 HQW458818:HQW458826 IAS458818:IAS458826 IKO458818:IKO458826 IUK458818:IUK458826 JEG458818:JEG458826 JOC458818:JOC458826 JXY458818:JXY458826 KHU458818:KHU458826 KRQ458818:KRQ458826 LBM458818:LBM458826 LLI458818:LLI458826 LVE458818:LVE458826 MFA458818:MFA458826 MOW458818:MOW458826 MYS458818:MYS458826 NIO458818:NIO458826 NSK458818:NSK458826 OCG458818:OCG458826 OMC458818:OMC458826 OVY458818:OVY458826 PFU458818:PFU458826 PPQ458818:PPQ458826 PZM458818:PZM458826 QJI458818:QJI458826 QTE458818:QTE458826 RDA458818:RDA458826 RMW458818:RMW458826 RWS458818:RWS458826 SGO458818:SGO458826 SQK458818:SQK458826 TAG458818:TAG458826 TKC458818:TKC458826 TTY458818:TTY458826 UDU458818:UDU458826 UNQ458818:UNQ458826 UXM458818:UXM458826 VHI458818:VHI458826 VRE458818:VRE458826 WBA458818:WBA458826 WKW458818:WKW458826 WUS458818:WUS458826 F524354:G524362 IG524354:IG524362 SC524354:SC524362 ABY524354:ABY524362 ALU524354:ALU524362 AVQ524354:AVQ524362 BFM524354:BFM524362 BPI524354:BPI524362 BZE524354:BZE524362 CJA524354:CJA524362 CSW524354:CSW524362 DCS524354:DCS524362 DMO524354:DMO524362 DWK524354:DWK524362 EGG524354:EGG524362 EQC524354:EQC524362 EZY524354:EZY524362 FJU524354:FJU524362 FTQ524354:FTQ524362 GDM524354:GDM524362 GNI524354:GNI524362 GXE524354:GXE524362 HHA524354:HHA524362 HQW524354:HQW524362 IAS524354:IAS524362 IKO524354:IKO524362 IUK524354:IUK524362 JEG524354:JEG524362 JOC524354:JOC524362 JXY524354:JXY524362 KHU524354:KHU524362 KRQ524354:KRQ524362 LBM524354:LBM524362 LLI524354:LLI524362 LVE524354:LVE524362 MFA524354:MFA524362 MOW524354:MOW524362 MYS524354:MYS524362 NIO524354:NIO524362 NSK524354:NSK524362 OCG524354:OCG524362 OMC524354:OMC524362 OVY524354:OVY524362 PFU524354:PFU524362 PPQ524354:PPQ524362 PZM524354:PZM524362 QJI524354:QJI524362 QTE524354:QTE524362 RDA524354:RDA524362 RMW524354:RMW524362 RWS524354:RWS524362 SGO524354:SGO524362 SQK524354:SQK524362 TAG524354:TAG524362 TKC524354:TKC524362 TTY524354:TTY524362 UDU524354:UDU524362 UNQ524354:UNQ524362 UXM524354:UXM524362 VHI524354:VHI524362 VRE524354:VRE524362 WBA524354:WBA524362 WKW524354:WKW524362 WUS524354:WUS524362 F589890:G589898 IG589890:IG589898 SC589890:SC589898 ABY589890:ABY589898 ALU589890:ALU589898 AVQ589890:AVQ589898 BFM589890:BFM589898 BPI589890:BPI589898 BZE589890:BZE589898 CJA589890:CJA589898 CSW589890:CSW589898 DCS589890:DCS589898 DMO589890:DMO589898 DWK589890:DWK589898 EGG589890:EGG589898 EQC589890:EQC589898 EZY589890:EZY589898 FJU589890:FJU589898 FTQ589890:FTQ589898 GDM589890:GDM589898 GNI589890:GNI589898 GXE589890:GXE589898 HHA589890:HHA589898 HQW589890:HQW589898 IAS589890:IAS589898 IKO589890:IKO589898 IUK589890:IUK589898 JEG589890:JEG589898 JOC589890:JOC589898 JXY589890:JXY589898 KHU589890:KHU589898 KRQ589890:KRQ589898 LBM589890:LBM589898 LLI589890:LLI589898 LVE589890:LVE589898 MFA589890:MFA589898 MOW589890:MOW589898 MYS589890:MYS589898 NIO589890:NIO589898 NSK589890:NSK589898 OCG589890:OCG589898 OMC589890:OMC589898 OVY589890:OVY589898 PFU589890:PFU589898 PPQ589890:PPQ589898 PZM589890:PZM589898 QJI589890:QJI589898 QTE589890:QTE589898 RDA589890:RDA589898 RMW589890:RMW589898 RWS589890:RWS589898 SGO589890:SGO589898 SQK589890:SQK589898 TAG589890:TAG589898 TKC589890:TKC589898 TTY589890:TTY589898 UDU589890:UDU589898 UNQ589890:UNQ589898 UXM589890:UXM589898 VHI589890:VHI589898 VRE589890:VRE589898 WBA589890:WBA589898 WKW589890:WKW589898 WUS589890:WUS589898 F655426:G655434 IG655426:IG655434 SC655426:SC655434 ABY655426:ABY655434 ALU655426:ALU655434 AVQ655426:AVQ655434 BFM655426:BFM655434 BPI655426:BPI655434 BZE655426:BZE655434 CJA655426:CJA655434 CSW655426:CSW655434 DCS655426:DCS655434 DMO655426:DMO655434 DWK655426:DWK655434 EGG655426:EGG655434 EQC655426:EQC655434 EZY655426:EZY655434 FJU655426:FJU655434 FTQ655426:FTQ655434 GDM655426:GDM655434 GNI655426:GNI655434 GXE655426:GXE655434 HHA655426:HHA655434 HQW655426:HQW655434 IAS655426:IAS655434 IKO655426:IKO655434 IUK655426:IUK655434 JEG655426:JEG655434 JOC655426:JOC655434 JXY655426:JXY655434 KHU655426:KHU655434 KRQ655426:KRQ655434 LBM655426:LBM655434 LLI655426:LLI655434 LVE655426:LVE655434 MFA655426:MFA655434 MOW655426:MOW655434 MYS655426:MYS655434 NIO655426:NIO655434 NSK655426:NSK655434 OCG655426:OCG655434 OMC655426:OMC655434 OVY655426:OVY655434 PFU655426:PFU655434 PPQ655426:PPQ655434 PZM655426:PZM655434 QJI655426:QJI655434 QTE655426:QTE655434 RDA655426:RDA655434 RMW655426:RMW655434 RWS655426:RWS655434 SGO655426:SGO655434 SQK655426:SQK655434 TAG655426:TAG655434 TKC655426:TKC655434 TTY655426:TTY655434 UDU655426:UDU655434 UNQ655426:UNQ655434 UXM655426:UXM655434 VHI655426:VHI655434 VRE655426:VRE655434 WBA655426:WBA655434 WKW655426:WKW655434 WUS655426:WUS655434 F720962:G720970 IG720962:IG720970 SC720962:SC720970 ABY720962:ABY720970 ALU720962:ALU720970 AVQ720962:AVQ720970 BFM720962:BFM720970 BPI720962:BPI720970 BZE720962:BZE720970 CJA720962:CJA720970 CSW720962:CSW720970 DCS720962:DCS720970 DMO720962:DMO720970 DWK720962:DWK720970 EGG720962:EGG720970 EQC720962:EQC720970 EZY720962:EZY720970 FJU720962:FJU720970 FTQ720962:FTQ720970 GDM720962:GDM720970 GNI720962:GNI720970 GXE720962:GXE720970 HHA720962:HHA720970 HQW720962:HQW720970 IAS720962:IAS720970 IKO720962:IKO720970 IUK720962:IUK720970 JEG720962:JEG720970 JOC720962:JOC720970 JXY720962:JXY720970 KHU720962:KHU720970 KRQ720962:KRQ720970 LBM720962:LBM720970 LLI720962:LLI720970 LVE720962:LVE720970 MFA720962:MFA720970 MOW720962:MOW720970 MYS720962:MYS720970 NIO720962:NIO720970 NSK720962:NSK720970 OCG720962:OCG720970 OMC720962:OMC720970 OVY720962:OVY720970 PFU720962:PFU720970 PPQ720962:PPQ720970 PZM720962:PZM720970 QJI720962:QJI720970 QTE720962:QTE720970 RDA720962:RDA720970 RMW720962:RMW720970 RWS720962:RWS720970 SGO720962:SGO720970 SQK720962:SQK720970 TAG720962:TAG720970 TKC720962:TKC720970 TTY720962:TTY720970 UDU720962:UDU720970 UNQ720962:UNQ720970 UXM720962:UXM720970 VHI720962:VHI720970 VRE720962:VRE720970 WBA720962:WBA720970 WKW720962:WKW720970 WUS720962:WUS720970 F786498:G786506 IG786498:IG786506 SC786498:SC786506 ABY786498:ABY786506 ALU786498:ALU786506 AVQ786498:AVQ786506 BFM786498:BFM786506 BPI786498:BPI786506 BZE786498:BZE786506 CJA786498:CJA786506 CSW786498:CSW786506 DCS786498:DCS786506 DMO786498:DMO786506 DWK786498:DWK786506 EGG786498:EGG786506 EQC786498:EQC786506 EZY786498:EZY786506 FJU786498:FJU786506 FTQ786498:FTQ786506 GDM786498:GDM786506 GNI786498:GNI786506 GXE786498:GXE786506 HHA786498:HHA786506 HQW786498:HQW786506 IAS786498:IAS786506 IKO786498:IKO786506 IUK786498:IUK786506 JEG786498:JEG786506 JOC786498:JOC786506 JXY786498:JXY786506 KHU786498:KHU786506 KRQ786498:KRQ786506 LBM786498:LBM786506 LLI786498:LLI786506 LVE786498:LVE786506 MFA786498:MFA786506 MOW786498:MOW786506 MYS786498:MYS786506 NIO786498:NIO786506 NSK786498:NSK786506 OCG786498:OCG786506 OMC786498:OMC786506 OVY786498:OVY786506 PFU786498:PFU786506 PPQ786498:PPQ786506 PZM786498:PZM786506 QJI786498:QJI786506 QTE786498:QTE786506 RDA786498:RDA786506 RMW786498:RMW786506 RWS786498:RWS786506 SGO786498:SGO786506 SQK786498:SQK786506 TAG786498:TAG786506 TKC786498:TKC786506 TTY786498:TTY786506 UDU786498:UDU786506 UNQ786498:UNQ786506 UXM786498:UXM786506 VHI786498:VHI786506 VRE786498:VRE786506 WBA786498:WBA786506 WKW786498:WKW786506 WUS786498:WUS786506 F852034:G852042 IG852034:IG852042 SC852034:SC852042 ABY852034:ABY852042 ALU852034:ALU852042 AVQ852034:AVQ852042 BFM852034:BFM852042 BPI852034:BPI852042 BZE852034:BZE852042 CJA852034:CJA852042 CSW852034:CSW852042 DCS852034:DCS852042 DMO852034:DMO852042 DWK852034:DWK852042 EGG852034:EGG852042 EQC852034:EQC852042 EZY852034:EZY852042 FJU852034:FJU852042 FTQ852034:FTQ852042 GDM852034:GDM852042 GNI852034:GNI852042 GXE852034:GXE852042 HHA852034:HHA852042 HQW852034:HQW852042 IAS852034:IAS852042 IKO852034:IKO852042 IUK852034:IUK852042 JEG852034:JEG852042 JOC852034:JOC852042 JXY852034:JXY852042 KHU852034:KHU852042 KRQ852034:KRQ852042 LBM852034:LBM852042 LLI852034:LLI852042 LVE852034:LVE852042 MFA852034:MFA852042 MOW852034:MOW852042 MYS852034:MYS852042 NIO852034:NIO852042 NSK852034:NSK852042 OCG852034:OCG852042 OMC852034:OMC852042 OVY852034:OVY852042 PFU852034:PFU852042 PPQ852034:PPQ852042 PZM852034:PZM852042 QJI852034:QJI852042 QTE852034:QTE852042 RDA852034:RDA852042 RMW852034:RMW852042 RWS852034:RWS852042 SGO852034:SGO852042 SQK852034:SQK852042 TAG852034:TAG852042 TKC852034:TKC852042 TTY852034:TTY852042 UDU852034:UDU852042 UNQ852034:UNQ852042 UXM852034:UXM852042 VHI852034:VHI852042 VRE852034:VRE852042 WBA852034:WBA852042 WKW852034:WKW852042 WUS852034:WUS852042 F917570:G917578 IG917570:IG917578 SC917570:SC917578 ABY917570:ABY917578 ALU917570:ALU917578 AVQ917570:AVQ917578 BFM917570:BFM917578 BPI917570:BPI917578 BZE917570:BZE917578 CJA917570:CJA917578 CSW917570:CSW917578 DCS917570:DCS917578 DMO917570:DMO917578 DWK917570:DWK917578 EGG917570:EGG917578 EQC917570:EQC917578 EZY917570:EZY917578 FJU917570:FJU917578 FTQ917570:FTQ917578 GDM917570:GDM917578 GNI917570:GNI917578 GXE917570:GXE917578 HHA917570:HHA917578 HQW917570:HQW917578 IAS917570:IAS917578 IKO917570:IKO917578 IUK917570:IUK917578 JEG917570:JEG917578 JOC917570:JOC917578 JXY917570:JXY917578 KHU917570:KHU917578 KRQ917570:KRQ917578 LBM917570:LBM917578 LLI917570:LLI917578 LVE917570:LVE917578 MFA917570:MFA917578 MOW917570:MOW917578 MYS917570:MYS917578 NIO917570:NIO917578 NSK917570:NSK917578 OCG917570:OCG917578 OMC917570:OMC917578 OVY917570:OVY917578 PFU917570:PFU917578 PPQ917570:PPQ917578 PZM917570:PZM917578 QJI917570:QJI917578 QTE917570:QTE917578 RDA917570:RDA917578 RMW917570:RMW917578 RWS917570:RWS917578 SGO917570:SGO917578 SQK917570:SQK917578 TAG917570:TAG917578 TKC917570:TKC917578 TTY917570:TTY917578 UDU917570:UDU917578 UNQ917570:UNQ917578 UXM917570:UXM917578 VHI917570:VHI917578 VRE917570:VRE917578 WBA917570:WBA917578 WKW917570:WKW917578 WUS917570:WUS917578 F983106:G983114 IG983106:IG983114 SC983106:SC983114 ABY983106:ABY983114 ALU983106:ALU983114 AVQ983106:AVQ983114 BFM983106:BFM983114 BPI983106:BPI983114 BZE983106:BZE983114 CJA983106:CJA983114 CSW983106:CSW983114 DCS983106:DCS983114 DMO983106:DMO983114 DWK983106:DWK983114 EGG983106:EGG983114 EQC983106:EQC983114 EZY983106:EZY983114 FJU983106:FJU983114 FTQ983106:FTQ983114 GDM983106:GDM983114 GNI983106:GNI983114 GXE983106:GXE983114 HHA983106:HHA983114 HQW983106:HQW983114 IAS983106:IAS983114 IKO983106:IKO983114 IUK983106:IUK983114 JEG983106:JEG983114 JOC983106:JOC983114 JXY983106:JXY983114 KHU983106:KHU983114 KRQ983106:KRQ983114 LBM983106:LBM983114 LLI983106:LLI983114 LVE983106:LVE983114 MFA983106:MFA983114 MOW983106:MOW983114 MYS983106:MYS983114 NIO983106:NIO983114 NSK983106:NSK983114 OCG983106:OCG983114 OMC983106:OMC983114 OVY983106:OVY983114 PFU983106:PFU983114 PPQ983106:PPQ983114 PZM983106:PZM983114 QJI983106:QJI983114 QTE983106:QTE983114 RDA983106:RDA983114 RMW983106:RMW983114 RWS983106:RWS983114 SGO983106:SGO983114 SQK983106:SQK983114 TAG983106:TAG983114 TKC983106:TKC983114 TTY983106:TTY983114 UDU983106:UDU983114 UNQ983106:UNQ983114 UXM983106:UXM983114 VHI983106:VHI983114 VRE983106:VRE983114 WBA983106:WBA983114 WKW983106:WKW983114 F54:G78" xr:uid="{00000000-0002-0000-0300-000001000000}"/>
    <dataValidation allowBlank="1" showInputMessage="1" showErrorMessage="1" prompt="traer el valor definido en la hoja &quot;honorarios Corporativos&quot;" sqref="WUR983106:WUR983114 IF11:IF51 SB11:SB51 ABX11:ABX51 ALT11:ALT51 AVP11:AVP51 BFL11:BFL51 BPH11:BPH51 BZD11:BZD51 CIZ11:CIZ51 CSV11:CSV51 DCR11:DCR51 DMN11:DMN51 DWJ11:DWJ51 EGF11:EGF51 EQB11:EQB51 EZX11:EZX51 FJT11:FJT51 FTP11:FTP51 GDL11:GDL51 GNH11:GNH51 GXD11:GXD51 HGZ11:HGZ51 HQV11:HQV51 IAR11:IAR51 IKN11:IKN51 IUJ11:IUJ51 JEF11:JEF51 JOB11:JOB51 JXX11:JXX51 KHT11:KHT51 KRP11:KRP51 LBL11:LBL51 LLH11:LLH51 LVD11:LVD51 MEZ11:MEZ51 MOV11:MOV51 MYR11:MYR51 NIN11:NIN51 NSJ11:NSJ51 OCF11:OCF51 OMB11:OMB51 OVX11:OVX51 PFT11:PFT51 PPP11:PPP51 PZL11:PZL51 QJH11:QJH51 QTD11:QTD51 RCZ11:RCZ51 RMV11:RMV51 RWR11:RWR51 SGN11:SGN51 SQJ11:SQJ51 TAF11:TAF51 TKB11:TKB51 TTX11:TTX51 UDT11:UDT51 UNP11:UNP51 UXL11:UXL51 VHH11:VHH51 VRD11:VRD51 WAZ11:WAZ51 WKV11:WKV51 WUR11:WUR51 E65591:E65599 IF65591:IF65599 SB65591:SB65599 ABX65591:ABX65599 ALT65591:ALT65599 AVP65591:AVP65599 BFL65591:BFL65599 BPH65591:BPH65599 BZD65591:BZD65599 CIZ65591:CIZ65599 CSV65591:CSV65599 DCR65591:DCR65599 DMN65591:DMN65599 DWJ65591:DWJ65599 EGF65591:EGF65599 EQB65591:EQB65599 EZX65591:EZX65599 FJT65591:FJT65599 FTP65591:FTP65599 GDL65591:GDL65599 GNH65591:GNH65599 GXD65591:GXD65599 HGZ65591:HGZ65599 HQV65591:HQV65599 IAR65591:IAR65599 IKN65591:IKN65599 IUJ65591:IUJ65599 JEF65591:JEF65599 JOB65591:JOB65599 JXX65591:JXX65599 KHT65591:KHT65599 KRP65591:KRP65599 LBL65591:LBL65599 LLH65591:LLH65599 LVD65591:LVD65599 MEZ65591:MEZ65599 MOV65591:MOV65599 MYR65591:MYR65599 NIN65591:NIN65599 NSJ65591:NSJ65599 OCF65591:OCF65599 OMB65591:OMB65599 OVX65591:OVX65599 PFT65591:PFT65599 PPP65591:PPP65599 PZL65591:PZL65599 QJH65591:QJH65599 QTD65591:QTD65599 RCZ65591:RCZ65599 RMV65591:RMV65599 RWR65591:RWR65599 SGN65591:SGN65599 SQJ65591:SQJ65599 TAF65591:TAF65599 TKB65591:TKB65599 TTX65591:TTX65599 UDT65591:UDT65599 UNP65591:UNP65599 UXL65591:UXL65599 VHH65591:VHH65599 VRD65591:VRD65599 WAZ65591:WAZ65599 WKV65591:WKV65599 WUR65591:WUR65599 E131127:E131135 IF131127:IF131135 SB131127:SB131135 ABX131127:ABX131135 ALT131127:ALT131135 AVP131127:AVP131135 BFL131127:BFL131135 BPH131127:BPH131135 BZD131127:BZD131135 CIZ131127:CIZ131135 CSV131127:CSV131135 DCR131127:DCR131135 DMN131127:DMN131135 DWJ131127:DWJ131135 EGF131127:EGF131135 EQB131127:EQB131135 EZX131127:EZX131135 FJT131127:FJT131135 FTP131127:FTP131135 GDL131127:GDL131135 GNH131127:GNH131135 GXD131127:GXD131135 HGZ131127:HGZ131135 HQV131127:HQV131135 IAR131127:IAR131135 IKN131127:IKN131135 IUJ131127:IUJ131135 JEF131127:JEF131135 JOB131127:JOB131135 JXX131127:JXX131135 KHT131127:KHT131135 KRP131127:KRP131135 LBL131127:LBL131135 LLH131127:LLH131135 LVD131127:LVD131135 MEZ131127:MEZ131135 MOV131127:MOV131135 MYR131127:MYR131135 NIN131127:NIN131135 NSJ131127:NSJ131135 OCF131127:OCF131135 OMB131127:OMB131135 OVX131127:OVX131135 PFT131127:PFT131135 PPP131127:PPP131135 PZL131127:PZL131135 QJH131127:QJH131135 QTD131127:QTD131135 RCZ131127:RCZ131135 RMV131127:RMV131135 RWR131127:RWR131135 SGN131127:SGN131135 SQJ131127:SQJ131135 TAF131127:TAF131135 TKB131127:TKB131135 TTX131127:TTX131135 UDT131127:UDT131135 UNP131127:UNP131135 UXL131127:UXL131135 VHH131127:VHH131135 VRD131127:VRD131135 WAZ131127:WAZ131135 WKV131127:WKV131135 WUR131127:WUR131135 E196663:E196671 IF196663:IF196671 SB196663:SB196671 ABX196663:ABX196671 ALT196663:ALT196671 AVP196663:AVP196671 BFL196663:BFL196671 BPH196663:BPH196671 BZD196663:BZD196671 CIZ196663:CIZ196671 CSV196663:CSV196671 DCR196663:DCR196671 DMN196663:DMN196671 DWJ196663:DWJ196671 EGF196663:EGF196671 EQB196663:EQB196671 EZX196663:EZX196671 FJT196663:FJT196671 FTP196663:FTP196671 GDL196663:GDL196671 GNH196663:GNH196671 GXD196663:GXD196671 HGZ196663:HGZ196671 HQV196663:HQV196671 IAR196663:IAR196671 IKN196663:IKN196671 IUJ196663:IUJ196671 JEF196663:JEF196671 JOB196663:JOB196671 JXX196663:JXX196671 KHT196663:KHT196671 KRP196663:KRP196671 LBL196663:LBL196671 LLH196663:LLH196671 LVD196663:LVD196671 MEZ196663:MEZ196671 MOV196663:MOV196671 MYR196663:MYR196671 NIN196663:NIN196671 NSJ196663:NSJ196671 OCF196663:OCF196671 OMB196663:OMB196671 OVX196663:OVX196671 PFT196663:PFT196671 PPP196663:PPP196671 PZL196663:PZL196671 QJH196663:QJH196671 QTD196663:QTD196671 RCZ196663:RCZ196671 RMV196663:RMV196671 RWR196663:RWR196671 SGN196663:SGN196671 SQJ196663:SQJ196671 TAF196663:TAF196671 TKB196663:TKB196671 TTX196663:TTX196671 UDT196663:UDT196671 UNP196663:UNP196671 UXL196663:UXL196671 VHH196663:VHH196671 VRD196663:VRD196671 WAZ196663:WAZ196671 WKV196663:WKV196671 WUR196663:WUR196671 E262199:E262207 IF262199:IF262207 SB262199:SB262207 ABX262199:ABX262207 ALT262199:ALT262207 AVP262199:AVP262207 BFL262199:BFL262207 BPH262199:BPH262207 BZD262199:BZD262207 CIZ262199:CIZ262207 CSV262199:CSV262207 DCR262199:DCR262207 DMN262199:DMN262207 DWJ262199:DWJ262207 EGF262199:EGF262207 EQB262199:EQB262207 EZX262199:EZX262207 FJT262199:FJT262207 FTP262199:FTP262207 GDL262199:GDL262207 GNH262199:GNH262207 GXD262199:GXD262207 HGZ262199:HGZ262207 HQV262199:HQV262207 IAR262199:IAR262207 IKN262199:IKN262207 IUJ262199:IUJ262207 JEF262199:JEF262207 JOB262199:JOB262207 JXX262199:JXX262207 KHT262199:KHT262207 KRP262199:KRP262207 LBL262199:LBL262207 LLH262199:LLH262207 LVD262199:LVD262207 MEZ262199:MEZ262207 MOV262199:MOV262207 MYR262199:MYR262207 NIN262199:NIN262207 NSJ262199:NSJ262207 OCF262199:OCF262207 OMB262199:OMB262207 OVX262199:OVX262207 PFT262199:PFT262207 PPP262199:PPP262207 PZL262199:PZL262207 QJH262199:QJH262207 QTD262199:QTD262207 RCZ262199:RCZ262207 RMV262199:RMV262207 RWR262199:RWR262207 SGN262199:SGN262207 SQJ262199:SQJ262207 TAF262199:TAF262207 TKB262199:TKB262207 TTX262199:TTX262207 UDT262199:UDT262207 UNP262199:UNP262207 UXL262199:UXL262207 VHH262199:VHH262207 VRD262199:VRD262207 WAZ262199:WAZ262207 WKV262199:WKV262207 WUR262199:WUR262207 E327735:E327743 IF327735:IF327743 SB327735:SB327743 ABX327735:ABX327743 ALT327735:ALT327743 AVP327735:AVP327743 BFL327735:BFL327743 BPH327735:BPH327743 BZD327735:BZD327743 CIZ327735:CIZ327743 CSV327735:CSV327743 DCR327735:DCR327743 DMN327735:DMN327743 DWJ327735:DWJ327743 EGF327735:EGF327743 EQB327735:EQB327743 EZX327735:EZX327743 FJT327735:FJT327743 FTP327735:FTP327743 GDL327735:GDL327743 GNH327735:GNH327743 GXD327735:GXD327743 HGZ327735:HGZ327743 HQV327735:HQV327743 IAR327735:IAR327743 IKN327735:IKN327743 IUJ327735:IUJ327743 JEF327735:JEF327743 JOB327735:JOB327743 JXX327735:JXX327743 KHT327735:KHT327743 KRP327735:KRP327743 LBL327735:LBL327743 LLH327735:LLH327743 LVD327735:LVD327743 MEZ327735:MEZ327743 MOV327735:MOV327743 MYR327735:MYR327743 NIN327735:NIN327743 NSJ327735:NSJ327743 OCF327735:OCF327743 OMB327735:OMB327743 OVX327735:OVX327743 PFT327735:PFT327743 PPP327735:PPP327743 PZL327735:PZL327743 QJH327735:QJH327743 QTD327735:QTD327743 RCZ327735:RCZ327743 RMV327735:RMV327743 RWR327735:RWR327743 SGN327735:SGN327743 SQJ327735:SQJ327743 TAF327735:TAF327743 TKB327735:TKB327743 TTX327735:TTX327743 UDT327735:UDT327743 UNP327735:UNP327743 UXL327735:UXL327743 VHH327735:VHH327743 VRD327735:VRD327743 WAZ327735:WAZ327743 WKV327735:WKV327743 WUR327735:WUR327743 E393271:E393279 IF393271:IF393279 SB393271:SB393279 ABX393271:ABX393279 ALT393271:ALT393279 AVP393271:AVP393279 BFL393271:BFL393279 BPH393271:BPH393279 BZD393271:BZD393279 CIZ393271:CIZ393279 CSV393271:CSV393279 DCR393271:DCR393279 DMN393271:DMN393279 DWJ393271:DWJ393279 EGF393271:EGF393279 EQB393271:EQB393279 EZX393271:EZX393279 FJT393271:FJT393279 FTP393271:FTP393279 GDL393271:GDL393279 GNH393271:GNH393279 GXD393271:GXD393279 HGZ393271:HGZ393279 HQV393271:HQV393279 IAR393271:IAR393279 IKN393271:IKN393279 IUJ393271:IUJ393279 JEF393271:JEF393279 JOB393271:JOB393279 JXX393271:JXX393279 KHT393271:KHT393279 KRP393271:KRP393279 LBL393271:LBL393279 LLH393271:LLH393279 LVD393271:LVD393279 MEZ393271:MEZ393279 MOV393271:MOV393279 MYR393271:MYR393279 NIN393271:NIN393279 NSJ393271:NSJ393279 OCF393271:OCF393279 OMB393271:OMB393279 OVX393271:OVX393279 PFT393271:PFT393279 PPP393271:PPP393279 PZL393271:PZL393279 QJH393271:QJH393279 QTD393271:QTD393279 RCZ393271:RCZ393279 RMV393271:RMV393279 RWR393271:RWR393279 SGN393271:SGN393279 SQJ393271:SQJ393279 TAF393271:TAF393279 TKB393271:TKB393279 TTX393271:TTX393279 UDT393271:UDT393279 UNP393271:UNP393279 UXL393271:UXL393279 VHH393271:VHH393279 VRD393271:VRD393279 WAZ393271:WAZ393279 WKV393271:WKV393279 WUR393271:WUR393279 E458807:E458815 IF458807:IF458815 SB458807:SB458815 ABX458807:ABX458815 ALT458807:ALT458815 AVP458807:AVP458815 BFL458807:BFL458815 BPH458807:BPH458815 BZD458807:BZD458815 CIZ458807:CIZ458815 CSV458807:CSV458815 DCR458807:DCR458815 DMN458807:DMN458815 DWJ458807:DWJ458815 EGF458807:EGF458815 EQB458807:EQB458815 EZX458807:EZX458815 FJT458807:FJT458815 FTP458807:FTP458815 GDL458807:GDL458815 GNH458807:GNH458815 GXD458807:GXD458815 HGZ458807:HGZ458815 HQV458807:HQV458815 IAR458807:IAR458815 IKN458807:IKN458815 IUJ458807:IUJ458815 JEF458807:JEF458815 JOB458807:JOB458815 JXX458807:JXX458815 KHT458807:KHT458815 KRP458807:KRP458815 LBL458807:LBL458815 LLH458807:LLH458815 LVD458807:LVD458815 MEZ458807:MEZ458815 MOV458807:MOV458815 MYR458807:MYR458815 NIN458807:NIN458815 NSJ458807:NSJ458815 OCF458807:OCF458815 OMB458807:OMB458815 OVX458807:OVX458815 PFT458807:PFT458815 PPP458807:PPP458815 PZL458807:PZL458815 QJH458807:QJH458815 QTD458807:QTD458815 RCZ458807:RCZ458815 RMV458807:RMV458815 RWR458807:RWR458815 SGN458807:SGN458815 SQJ458807:SQJ458815 TAF458807:TAF458815 TKB458807:TKB458815 TTX458807:TTX458815 UDT458807:UDT458815 UNP458807:UNP458815 UXL458807:UXL458815 VHH458807:VHH458815 VRD458807:VRD458815 WAZ458807:WAZ458815 WKV458807:WKV458815 WUR458807:WUR458815 E524343:E524351 IF524343:IF524351 SB524343:SB524351 ABX524343:ABX524351 ALT524343:ALT524351 AVP524343:AVP524351 BFL524343:BFL524351 BPH524343:BPH524351 BZD524343:BZD524351 CIZ524343:CIZ524351 CSV524343:CSV524351 DCR524343:DCR524351 DMN524343:DMN524351 DWJ524343:DWJ524351 EGF524343:EGF524351 EQB524343:EQB524351 EZX524343:EZX524351 FJT524343:FJT524351 FTP524343:FTP524351 GDL524343:GDL524351 GNH524343:GNH524351 GXD524343:GXD524351 HGZ524343:HGZ524351 HQV524343:HQV524351 IAR524343:IAR524351 IKN524343:IKN524351 IUJ524343:IUJ524351 JEF524343:JEF524351 JOB524343:JOB524351 JXX524343:JXX524351 KHT524343:KHT524351 KRP524343:KRP524351 LBL524343:LBL524351 LLH524343:LLH524351 LVD524343:LVD524351 MEZ524343:MEZ524351 MOV524343:MOV524351 MYR524343:MYR524351 NIN524343:NIN524351 NSJ524343:NSJ524351 OCF524343:OCF524351 OMB524343:OMB524351 OVX524343:OVX524351 PFT524343:PFT524351 PPP524343:PPP524351 PZL524343:PZL524351 QJH524343:QJH524351 QTD524343:QTD524351 RCZ524343:RCZ524351 RMV524343:RMV524351 RWR524343:RWR524351 SGN524343:SGN524351 SQJ524343:SQJ524351 TAF524343:TAF524351 TKB524343:TKB524351 TTX524343:TTX524351 UDT524343:UDT524351 UNP524343:UNP524351 UXL524343:UXL524351 VHH524343:VHH524351 VRD524343:VRD524351 WAZ524343:WAZ524351 WKV524343:WKV524351 WUR524343:WUR524351 E589879:E589887 IF589879:IF589887 SB589879:SB589887 ABX589879:ABX589887 ALT589879:ALT589887 AVP589879:AVP589887 BFL589879:BFL589887 BPH589879:BPH589887 BZD589879:BZD589887 CIZ589879:CIZ589887 CSV589879:CSV589887 DCR589879:DCR589887 DMN589879:DMN589887 DWJ589879:DWJ589887 EGF589879:EGF589887 EQB589879:EQB589887 EZX589879:EZX589887 FJT589879:FJT589887 FTP589879:FTP589887 GDL589879:GDL589887 GNH589879:GNH589887 GXD589879:GXD589887 HGZ589879:HGZ589887 HQV589879:HQV589887 IAR589879:IAR589887 IKN589879:IKN589887 IUJ589879:IUJ589887 JEF589879:JEF589887 JOB589879:JOB589887 JXX589879:JXX589887 KHT589879:KHT589887 KRP589879:KRP589887 LBL589879:LBL589887 LLH589879:LLH589887 LVD589879:LVD589887 MEZ589879:MEZ589887 MOV589879:MOV589887 MYR589879:MYR589887 NIN589879:NIN589887 NSJ589879:NSJ589887 OCF589879:OCF589887 OMB589879:OMB589887 OVX589879:OVX589887 PFT589879:PFT589887 PPP589879:PPP589887 PZL589879:PZL589887 QJH589879:QJH589887 QTD589879:QTD589887 RCZ589879:RCZ589887 RMV589879:RMV589887 RWR589879:RWR589887 SGN589879:SGN589887 SQJ589879:SQJ589887 TAF589879:TAF589887 TKB589879:TKB589887 TTX589879:TTX589887 UDT589879:UDT589887 UNP589879:UNP589887 UXL589879:UXL589887 VHH589879:VHH589887 VRD589879:VRD589887 WAZ589879:WAZ589887 WKV589879:WKV589887 WUR589879:WUR589887 E655415:E655423 IF655415:IF655423 SB655415:SB655423 ABX655415:ABX655423 ALT655415:ALT655423 AVP655415:AVP655423 BFL655415:BFL655423 BPH655415:BPH655423 BZD655415:BZD655423 CIZ655415:CIZ655423 CSV655415:CSV655423 DCR655415:DCR655423 DMN655415:DMN655423 DWJ655415:DWJ655423 EGF655415:EGF655423 EQB655415:EQB655423 EZX655415:EZX655423 FJT655415:FJT655423 FTP655415:FTP655423 GDL655415:GDL655423 GNH655415:GNH655423 GXD655415:GXD655423 HGZ655415:HGZ655423 HQV655415:HQV655423 IAR655415:IAR655423 IKN655415:IKN655423 IUJ655415:IUJ655423 JEF655415:JEF655423 JOB655415:JOB655423 JXX655415:JXX655423 KHT655415:KHT655423 KRP655415:KRP655423 LBL655415:LBL655423 LLH655415:LLH655423 LVD655415:LVD655423 MEZ655415:MEZ655423 MOV655415:MOV655423 MYR655415:MYR655423 NIN655415:NIN655423 NSJ655415:NSJ655423 OCF655415:OCF655423 OMB655415:OMB655423 OVX655415:OVX655423 PFT655415:PFT655423 PPP655415:PPP655423 PZL655415:PZL655423 QJH655415:QJH655423 QTD655415:QTD655423 RCZ655415:RCZ655423 RMV655415:RMV655423 RWR655415:RWR655423 SGN655415:SGN655423 SQJ655415:SQJ655423 TAF655415:TAF655423 TKB655415:TKB655423 TTX655415:TTX655423 UDT655415:UDT655423 UNP655415:UNP655423 UXL655415:UXL655423 VHH655415:VHH655423 VRD655415:VRD655423 WAZ655415:WAZ655423 WKV655415:WKV655423 WUR655415:WUR655423 E720951:E720959 IF720951:IF720959 SB720951:SB720959 ABX720951:ABX720959 ALT720951:ALT720959 AVP720951:AVP720959 BFL720951:BFL720959 BPH720951:BPH720959 BZD720951:BZD720959 CIZ720951:CIZ720959 CSV720951:CSV720959 DCR720951:DCR720959 DMN720951:DMN720959 DWJ720951:DWJ720959 EGF720951:EGF720959 EQB720951:EQB720959 EZX720951:EZX720959 FJT720951:FJT720959 FTP720951:FTP720959 GDL720951:GDL720959 GNH720951:GNH720959 GXD720951:GXD720959 HGZ720951:HGZ720959 HQV720951:HQV720959 IAR720951:IAR720959 IKN720951:IKN720959 IUJ720951:IUJ720959 JEF720951:JEF720959 JOB720951:JOB720959 JXX720951:JXX720959 KHT720951:KHT720959 KRP720951:KRP720959 LBL720951:LBL720959 LLH720951:LLH720959 LVD720951:LVD720959 MEZ720951:MEZ720959 MOV720951:MOV720959 MYR720951:MYR720959 NIN720951:NIN720959 NSJ720951:NSJ720959 OCF720951:OCF720959 OMB720951:OMB720959 OVX720951:OVX720959 PFT720951:PFT720959 PPP720951:PPP720959 PZL720951:PZL720959 QJH720951:QJH720959 QTD720951:QTD720959 RCZ720951:RCZ720959 RMV720951:RMV720959 RWR720951:RWR720959 SGN720951:SGN720959 SQJ720951:SQJ720959 TAF720951:TAF720959 TKB720951:TKB720959 TTX720951:TTX720959 UDT720951:UDT720959 UNP720951:UNP720959 UXL720951:UXL720959 VHH720951:VHH720959 VRD720951:VRD720959 WAZ720951:WAZ720959 WKV720951:WKV720959 WUR720951:WUR720959 E786487:E786495 IF786487:IF786495 SB786487:SB786495 ABX786487:ABX786495 ALT786487:ALT786495 AVP786487:AVP786495 BFL786487:BFL786495 BPH786487:BPH786495 BZD786487:BZD786495 CIZ786487:CIZ786495 CSV786487:CSV786495 DCR786487:DCR786495 DMN786487:DMN786495 DWJ786487:DWJ786495 EGF786487:EGF786495 EQB786487:EQB786495 EZX786487:EZX786495 FJT786487:FJT786495 FTP786487:FTP786495 GDL786487:GDL786495 GNH786487:GNH786495 GXD786487:GXD786495 HGZ786487:HGZ786495 HQV786487:HQV786495 IAR786487:IAR786495 IKN786487:IKN786495 IUJ786487:IUJ786495 JEF786487:JEF786495 JOB786487:JOB786495 JXX786487:JXX786495 KHT786487:KHT786495 KRP786487:KRP786495 LBL786487:LBL786495 LLH786487:LLH786495 LVD786487:LVD786495 MEZ786487:MEZ786495 MOV786487:MOV786495 MYR786487:MYR786495 NIN786487:NIN786495 NSJ786487:NSJ786495 OCF786487:OCF786495 OMB786487:OMB786495 OVX786487:OVX786495 PFT786487:PFT786495 PPP786487:PPP786495 PZL786487:PZL786495 QJH786487:QJH786495 QTD786487:QTD786495 RCZ786487:RCZ786495 RMV786487:RMV786495 RWR786487:RWR786495 SGN786487:SGN786495 SQJ786487:SQJ786495 TAF786487:TAF786495 TKB786487:TKB786495 TTX786487:TTX786495 UDT786487:UDT786495 UNP786487:UNP786495 UXL786487:UXL786495 VHH786487:VHH786495 VRD786487:VRD786495 WAZ786487:WAZ786495 WKV786487:WKV786495 WUR786487:WUR786495 E852023:E852031 IF852023:IF852031 SB852023:SB852031 ABX852023:ABX852031 ALT852023:ALT852031 AVP852023:AVP852031 BFL852023:BFL852031 BPH852023:BPH852031 BZD852023:BZD852031 CIZ852023:CIZ852031 CSV852023:CSV852031 DCR852023:DCR852031 DMN852023:DMN852031 DWJ852023:DWJ852031 EGF852023:EGF852031 EQB852023:EQB852031 EZX852023:EZX852031 FJT852023:FJT852031 FTP852023:FTP852031 GDL852023:GDL852031 GNH852023:GNH852031 GXD852023:GXD852031 HGZ852023:HGZ852031 HQV852023:HQV852031 IAR852023:IAR852031 IKN852023:IKN852031 IUJ852023:IUJ852031 JEF852023:JEF852031 JOB852023:JOB852031 JXX852023:JXX852031 KHT852023:KHT852031 KRP852023:KRP852031 LBL852023:LBL852031 LLH852023:LLH852031 LVD852023:LVD852031 MEZ852023:MEZ852031 MOV852023:MOV852031 MYR852023:MYR852031 NIN852023:NIN852031 NSJ852023:NSJ852031 OCF852023:OCF852031 OMB852023:OMB852031 OVX852023:OVX852031 PFT852023:PFT852031 PPP852023:PPP852031 PZL852023:PZL852031 QJH852023:QJH852031 QTD852023:QTD852031 RCZ852023:RCZ852031 RMV852023:RMV852031 RWR852023:RWR852031 SGN852023:SGN852031 SQJ852023:SQJ852031 TAF852023:TAF852031 TKB852023:TKB852031 TTX852023:TTX852031 UDT852023:UDT852031 UNP852023:UNP852031 UXL852023:UXL852031 VHH852023:VHH852031 VRD852023:VRD852031 WAZ852023:WAZ852031 WKV852023:WKV852031 WUR852023:WUR852031 E917559:E917567 IF917559:IF917567 SB917559:SB917567 ABX917559:ABX917567 ALT917559:ALT917567 AVP917559:AVP917567 BFL917559:BFL917567 BPH917559:BPH917567 BZD917559:BZD917567 CIZ917559:CIZ917567 CSV917559:CSV917567 DCR917559:DCR917567 DMN917559:DMN917567 DWJ917559:DWJ917567 EGF917559:EGF917567 EQB917559:EQB917567 EZX917559:EZX917567 FJT917559:FJT917567 FTP917559:FTP917567 GDL917559:GDL917567 GNH917559:GNH917567 GXD917559:GXD917567 HGZ917559:HGZ917567 HQV917559:HQV917567 IAR917559:IAR917567 IKN917559:IKN917567 IUJ917559:IUJ917567 JEF917559:JEF917567 JOB917559:JOB917567 JXX917559:JXX917567 KHT917559:KHT917567 KRP917559:KRP917567 LBL917559:LBL917567 LLH917559:LLH917567 LVD917559:LVD917567 MEZ917559:MEZ917567 MOV917559:MOV917567 MYR917559:MYR917567 NIN917559:NIN917567 NSJ917559:NSJ917567 OCF917559:OCF917567 OMB917559:OMB917567 OVX917559:OVX917567 PFT917559:PFT917567 PPP917559:PPP917567 PZL917559:PZL917567 QJH917559:QJH917567 QTD917559:QTD917567 RCZ917559:RCZ917567 RMV917559:RMV917567 RWR917559:RWR917567 SGN917559:SGN917567 SQJ917559:SQJ917567 TAF917559:TAF917567 TKB917559:TKB917567 TTX917559:TTX917567 UDT917559:UDT917567 UNP917559:UNP917567 UXL917559:UXL917567 VHH917559:VHH917567 VRD917559:VRD917567 WAZ917559:WAZ917567 WKV917559:WKV917567 WUR917559:WUR917567 E983095:E983103 IF983095:IF983103 SB983095:SB983103 ABX983095:ABX983103 ALT983095:ALT983103 AVP983095:AVP983103 BFL983095:BFL983103 BPH983095:BPH983103 BZD983095:BZD983103 CIZ983095:CIZ983103 CSV983095:CSV983103 DCR983095:DCR983103 DMN983095:DMN983103 DWJ983095:DWJ983103 EGF983095:EGF983103 EQB983095:EQB983103 EZX983095:EZX983103 FJT983095:FJT983103 FTP983095:FTP983103 GDL983095:GDL983103 GNH983095:GNH983103 GXD983095:GXD983103 HGZ983095:HGZ983103 HQV983095:HQV983103 IAR983095:IAR983103 IKN983095:IKN983103 IUJ983095:IUJ983103 JEF983095:JEF983103 JOB983095:JOB983103 JXX983095:JXX983103 KHT983095:KHT983103 KRP983095:KRP983103 LBL983095:LBL983103 LLH983095:LLH983103 LVD983095:LVD983103 MEZ983095:MEZ983103 MOV983095:MOV983103 MYR983095:MYR983103 NIN983095:NIN983103 NSJ983095:NSJ983103 OCF983095:OCF983103 OMB983095:OMB983103 OVX983095:OVX983103 PFT983095:PFT983103 PPP983095:PPP983103 PZL983095:PZL983103 QJH983095:QJH983103 QTD983095:QTD983103 RCZ983095:RCZ983103 RMV983095:RMV983103 RWR983095:RWR983103 SGN983095:SGN983103 SQJ983095:SQJ983103 TAF983095:TAF983103 TKB983095:TKB983103 TTX983095:TTX983103 UDT983095:UDT983103 UNP983095:UNP983103 UXL983095:UXL983103 VHH983095:VHH983103 VRD983095:VRD983103 WAZ983095:WAZ983103 WKV983095:WKV983103 WUR983095:WUR983103 E28:E51 IF54:IF78 SB54:SB78 ABX54:ABX78 ALT54:ALT78 AVP54:AVP78 BFL54:BFL78 BPH54:BPH78 BZD54:BZD78 CIZ54:CIZ78 CSV54:CSV78 DCR54:DCR78 DMN54:DMN78 DWJ54:DWJ78 EGF54:EGF78 EQB54:EQB78 EZX54:EZX78 FJT54:FJT78 FTP54:FTP78 GDL54:GDL78 GNH54:GNH78 GXD54:GXD78 HGZ54:HGZ78 HQV54:HQV78 IAR54:IAR78 IKN54:IKN78 IUJ54:IUJ78 JEF54:JEF78 JOB54:JOB78 JXX54:JXX78 KHT54:KHT78 KRP54:KRP78 LBL54:LBL78 LLH54:LLH78 LVD54:LVD78 MEZ54:MEZ78 MOV54:MOV78 MYR54:MYR78 NIN54:NIN78 NSJ54:NSJ78 OCF54:OCF78 OMB54:OMB78 OVX54:OVX78 PFT54:PFT78 PPP54:PPP78 PZL54:PZL78 QJH54:QJH78 QTD54:QTD78 RCZ54:RCZ78 RMV54:RMV78 RWR54:RWR78 SGN54:SGN78 SQJ54:SQJ78 TAF54:TAF78 TKB54:TKB78 TTX54:TTX78 UDT54:UDT78 UNP54:UNP78 UXL54:UXL78 VHH54:VHH78 VRD54:VRD78 WAZ54:WAZ78 WKV54:WKV78 WUR54:WUR78 E65602:E65610 IF65602:IF65610 SB65602:SB65610 ABX65602:ABX65610 ALT65602:ALT65610 AVP65602:AVP65610 BFL65602:BFL65610 BPH65602:BPH65610 BZD65602:BZD65610 CIZ65602:CIZ65610 CSV65602:CSV65610 DCR65602:DCR65610 DMN65602:DMN65610 DWJ65602:DWJ65610 EGF65602:EGF65610 EQB65602:EQB65610 EZX65602:EZX65610 FJT65602:FJT65610 FTP65602:FTP65610 GDL65602:GDL65610 GNH65602:GNH65610 GXD65602:GXD65610 HGZ65602:HGZ65610 HQV65602:HQV65610 IAR65602:IAR65610 IKN65602:IKN65610 IUJ65602:IUJ65610 JEF65602:JEF65610 JOB65602:JOB65610 JXX65602:JXX65610 KHT65602:KHT65610 KRP65602:KRP65610 LBL65602:LBL65610 LLH65602:LLH65610 LVD65602:LVD65610 MEZ65602:MEZ65610 MOV65602:MOV65610 MYR65602:MYR65610 NIN65602:NIN65610 NSJ65602:NSJ65610 OCF65602:OCF65610 OMB65602:OMB65610 OVX65602:OVX65610 PFT65602:PFT65610 PPP65602:PPP65610 PZL65602:PZL65610 QJH65602:QJH65610 QTD65602:QTD65610 RCZ65602:RCZ65610 RMV65602:RMV65610 RWR65602:RWR65610 SGN65602:SGN65610 SQJ65602:SQJ65610 TAF65602:TAF65610 TKB65602:TKB65610 TTX65602:TTX65610 UDT65602:UDT65610 UNP65602:UNP65610 UXL65602:UXL65610 VHH65602:VHH65610 VRD65602:VRD65610 WAZ65602:WAZ65610 WKV65602:WKV65610 WUR65602:WUR65610 E131138:E131146 IF131138:IF131146 SB131138:SB131146 ABX131138:ABX131146 ALT131138:ALT131146 AVP131138:AVP131146 BFL131138:BFL131146 BPH131138:BPH131146 BZD131138:BZD131146 CIZ131138:CIZ131146 CSV131138:CSV131146 DCR131138:DCR131146 DMN131138:DMN131146 DWJ131138:DWJ131146 EGF131138:EGF131146 EQB131138:EQB131146 EZX131138:EZX131146 FJT131138:FJT131146 FTP131138:FTP131146 GDL131138:GDL131146 GNH131138:GNH131146 GXD131138:GXD131146 HGZ131138:HGZ131146 HQV131138:HQV131146 IAR131138:IAR131146 IKN131138:IKN131146 IUJ131138:IUJ131146 JEF131138:JEF131146 JOB131138:JOB131146 JXX131138:JXX131146 KHT131138:KHT131146 KRP131138:KRP131146 LBL131138:LBL131146 LLH131138:LLH131146 LVD131138:LVD131146 MEZ131138:MEZ131146 MOV131138:MOV131146 MYR131138:MYR131146 NIN131138:NIN131146 NSJ131138:NSJ131146 OCF131138:OCF131146 OMB131138:OMB131146 OVX131138:OVX131146 PFT131138:PFT131146 PPP131138:PPP131146 PZL131138:PZL131146 QJH131138:QJH131146 QTD131138:QTD131146 RCZ131138:RCZ131146 RMV131138:RMV131146 RWR131138:RWR131146 SGN131138:SGN131146 SQJ131138:SQJ131146 TAF131138:TAF131146 TKB131138:TKB131146 TTX131138:TTX131146 UDT131138:UDT131146 UNP131138:UNP131146 UXL131138:UXL131146 VHH131138:VHH131146 VRD131138:VRD131146 WAZ131138:WAZ131146 WKV131138:WKV131146 WUR131138:WUR131146 E196674:E196682 IF196674:IF196682 SB196674:SB196682 ABX196674:ABX196682 ALT196674:ALT196682 AVP196674:AVP196682 BFL196674:BFL196682 BPH196674:BPH196682 BZD196674:BZD196682 CIZ196674:CIZ196682 CSV196674:CSV196682 DCR196674:DCR196682 DMN196674:DMN196682 DWJ196674:DWJ196682 EGF196674:EGF196682 EQB196674:EQB196682 EZX196674:EZX196682 FJT196674:FJT196682 FTP196674:FTP196682 GDL196674:GDL196682 GNH196674:GNH196682 GXD196674:GXD196682 HGZ196674:HGZ196682 HQV196674:HQV196682 IAR196674:IAR196682 IKN196674:IKN196682 IUJ196674:IUJ196682 JEF196674:JEF196682 JOB196674:JOB196682 JXX196674:JXX196682 KHT196674:KHT196682 KRP196674:KRP196682 LBL196674:LBL196682 LLH196674:LLH196682 LVD196674:LVD196682 MEZ196674:MEZ196682 MOV196674:MOV196682 MYR196674:MYR196682 NIN196674:NIN196682 NSJ196674:NSJ196682 OCF196674:OCF196682 OMB196674:OMB196682 OVX196674:OVX196682 PFT196674:PFT196682 PPP196674:PPP196682 PZL196674:PZL196682 QJH196674:QJH196682 QTD196674:QTD196682 RCZ196674:RCZ196682 RMV196674:RMV196682 RWR196674:RWR196682 SGN196674:SGN196682 SQJ196674:SQJ196682 TAF196674:TAF196682 TKB196674:TKB196682 TTX196674:TTX196682 UDT196674:UDT196682 UNP196674:UNP196682 UXL196674:UXL196682 VHH196674:VHH196682 VRD196674:VRD196682 WAZ196674:WAZ196682 WKV196674:WKV196682 WUR196674:WUR196682 E262210:E262218 IF262210:IF262218 SB262210:SB262218 ABX262210:ABX262218 ALT262210:ALT262218 AVP262210:AVP262218 BFL262210:BFL262218 BPH262210:BPH262218 BZD262210:BZD262218 CIZ262210:CIZ262218 CSV262210:CSV262218 DCR262210:DCR262218 DMN262210:DMN262218 DWJ262210:DWJ262218 EGF262210:EGF262218 EQB262210:EQB262218 EZX262210:EZX262218 FJT262210:FJT262218 FTP262210:FTP262218 GDL262210:GDL262218 GNH262210:GNH262218 GXD262210:GXD262218 HGZ262210:HGZ262218 HQV262210:HQV262218 IAR262210:IAR262218 IKN262210:IKN262218 IUJ262210:IUJ262218 JEF262210:JEF262218 JOB262210:JOB262218 JXX262210:JXX262218 KHT262210:KHT262218 KRP262210:KRP262218 LBL262210:LBL262218 LLH262210:LLH262218 LVD262210:LVD262218 MEZ262210:MEZ262218 MOV262210:MOV262218 MYR262210:MYR262218 NIN262210:NIN262218 NSJ262210:NSJ262218 OCF262210:OCF262218 OMB262210:OMB262218 OVX262210:OVX262218 PFT262210:PFT262218 PPP262210:PPP262218 PZL262210:PZL262218 QJH262210:QJH262218 QTD262210:QTD262218 RCZ262210:RCZ262218 RMV262210:RMV262218 RWR262210:RWR262218 SGN262210:SGN262218 SQJ262210:SQJ262218 TAF262210:TAF262218 TKB262210:TKB262218 TTX262210:TTX262218 UDT262210:UDT262218 UNP262210:UNP262218 UXL262210:UXL262218 VHH262210:VHH262218 VRD262210:VRD262218 WAZ262210:WAZ262218 WKV262210:WKV262218 WUR262210:WUR262218 E327746:E327754 IF327746:IF327754 SB327746:SB327754 ABX327746:ABX327754 ALT327746:ALT327754 AVP327746:AVP327754 BFL327746:BFL327754 BPH327746:BPH327754 BZD327746:BZD327754 CIZ327746:CIZ327754 CSV327746:CSV327754 DCR327746:DCR327754 DMN327746:DMN327754 DWJ327746:DWJ327754 EGF327746:EGF327754 EQB327746:EQB327754 EZX327746:EZX327754 FJT327746:FJT327754 FTP327746:FTP327754 GDL327746:GDL327754 GNH327746:GNH327754 GXD327746:GXD327754 HGZ327746:HGZ327754 HQV327746:HQV327754 IAR327746:IAR327754 IKN327746:IKN327754 IUJ327746:IUJ327754 JEF327746:JEF327754 JOB327746:JOB327754 JXX327746:JXX327754 KHT327746:KHT327754 KRP327746:KRP327754 LBL327746:LBL327754 LLH327746:LLH327754 LVD327746:LVD327754 MEZ327746:MEZ327754 MOV327746:MOV327754 MYR327746:MYR327754 NIN327746:NIN327754 NSJ327746:NSJ327754 OCF327746:OCF327754 OMB327746:OMB327754 OVX327746:OVX327754 PFT327746:PFT327754 PPP327746:PPP327754 PZL327746:PZL327754 QJH327746:QJH327754 QTD327746:QTD327754 RCZ327746:RCZ327754 RMV327746:RMV327754 RWR327746:RWR327754 SGN327746:SGN327754 SQJ327746:SQJ327754 TAF327746:TAF327754 TKB327746:TKB327754 TTX327746:TTX327754 UDT327746:UDT327754 UNP327746:UNP327754 UXL327746:UXL327754 VHH327746:VHH327754 VRD327746:VRD327754 WAZ327746:WAZ327754 WKV327746:WKV327754 WUR327746:WUR327754 E393282:E393290 IF393282:IF393290 SB393282:SB393290 ABX393282:ABX393290 ALT393282:ALT393290 AVP393282:AVP393290 BFL393282:BFL393290 BPH393282:BPH393290 BZD393282:BZD393290 CIZ393282:CIZ393290 CSV393282:CSV393290 DCR393282:DCR393290 DMN393282:DMN393290 DWJ393282:DWJ393290 EGF393282:EGF393290 EQB393282:EQB393290 EZX393282:EZX393290 FJT393282:FJT393290 FTP393282:FTP393290 GDL393282:GDL393290 GNH393282:GNH393290 GXD393282:GXD393290 HGZ393282:HGZ393290 HQV393282:HQV393290 IAR393282:IAR393290 IKN393282:IKN393290 IUJ393282:IUJ393290 JEF393282:JEF393290 JOB393282:JOB393290 JXX393282:JXX393290 KHT393282:KHT393290 KRP393282:KRP393290 LBL393282:LBL393290 LLH393282:LLH393290 LVD393282:LVD393290 MEZ393282:MEZ393290 MOV393282:MOV393290 MYR393282:MYR393290 NIN393282:NIN393290 NSJ393282:NSJ393290 OCF393282:OCF393290 OMB393282:OMB393290 OVX393282:OVX393290 PFT393282:PFT393290 PPP393282:PPP393290 PZL393282:PZL393290 QJH393282:QJH393290 QTD393282:QTD393290 RCZ393282:RCZ393290 RMV393282:RMV393290 RWR393282:RWR393290 SGN393282:SGN393290 SQJ393282:SQJ393290 TAF393282:TAF393290 TKB393282:TKB393290 TTX393282:TTX393290 UDT393282:UDT393290 UNP393282:UNP393290 UXL393282:UXL393290 VHH393282:VHH393290 VRD393282:VRD393290 WAZ393282:WAZ393290 WKV393282:WKV393290 WUR393282:WUR393290 E458818:E458826 IF458818:IF458826 SB458818:SB458826 ABX458818:ABX458826 ALT458818:ALT458826 AVP458818:AVP458826 BFL458818:BFL458826 BPH458818:BPH458826 BZD458818:BZD458826 CIZ458818:CIZ458826 CSV458818:CSV458826 DCR458818:DCR458826 DMN458818:DMN458826 DWJ458818:DWJ458826 EGF458818:EGF458826 EQB458818:EQB458826 EZX458818:EZX458826 FJT458818:FJT458826 FTP458818:FTP458826 GDL458818:GDL458826 GNH458818:GNH458826 GXD458818:GXD458826 HGZ458818:HGZ458826 HQV458818:HQV458826 IAR458818:IAR458826 IKN458818:IKN458826 IUJ458818:IUJ458826 JEF458818:JEF458826 JOB458818:JOB458826 JXX458818:JXX458826 KHT458818:KHT458826 KRP458818:KRP458826 LBL458818:LBL458826 LLH458818:LLH458826 LVD458818:LVD458826 MEZ458818:MEZ458826 MOV458818:MOV458826 MYR458818:MYR458826 NIN458818:NIN458826 NSJ458818:NSJ458826 OCF458818:OCF458826 OMB458818:OMB458826 OVX458818:OVX458826 PFT458818:PFT458826 PPP458818:PPP458826 PZL458818:PZL458826 QJH458818:QJH458826 QTD458818:QTD458826 RCZ458818:RCZ458826 RMV458818:RMV458826 RWR458818:RWR458826 SGN458818:SGN458826 SQJ458818:SQJ458826 TAF458818:TAF458826 TKB458818:TKB458826 TTX458818:TTX458826 UDT458818:UDT458826 UNP458818:UNP458826 UXL458818:UXL458826 VHH458818:VHH458826 VRD458818:VRD458826 WAZ458818:WAZ458826 WKV458818:WKV458826 WUR458818:WUR458826 E524354:E524362 IF524354:IF524362 SB524354:SB524362 ABX524354:ABX524362 ALT524354:ALT524362 AVP524354:AVP524362 BFL524354:BFL524362 BPH524354:BPH524362 BZD524354:BZD524362 CIZ524354:CIZ524362 CSV524354:CSV524362 DCR524354:DCR524362 DMN524354:DMN524362 DWJ524354:DWJ524362 EGF524354:EGF524362 EQB524354:EQB524362 EZX524354:EZX524362 FJT524354:FJT524362 FTP524354:FTP524362 GDL524354:GDL524362 GNH524354:GNH524362 GXD524354:GXD524362 HGZ524354:HGZ524362 HQV524354:HQV524362 IAR524354:IAR524362 IKN524354:IKN524362 IUJ524354:IUJ524362 JEF524354:JEF524362 JOB524354:JOB524362 JXX524354:JXX524362 KHT524354:KHT524362 KRP524354:KRP524362 LBL524354:LBL524362 LLH524354:LLH524362 LVD524354:LVD524362 MEZ524354:MEZ524362 MOV524354:MOV524362 MYR524354:MYR524362 NIN524354:NIN524362 NSJ524354:NSJ524362 OCF524354:OCF524362 OMB524354:OMB524362 OVX524354:OVX524362 PFT524354:PFT524362 PPP524354:PPP524362 PZL524354:PZL524362 QJH524354:QJH524362 QTD524354:QTD524362 RCZ524354:RCZ524362 RMV524354:RMV524362 RWR524354:RWR524362 SGN524354:SGN524362 SQJ524354:SQJ524362 TAF524354:TAF524362 TKB524354:TKB524362 TTX524354:TTX524362 UDT524354:UDT524362 UNP524354:UNP524362 UXL524354:UXL524362 VHH524354:VHH524362 VRD524354:VRD524362 WAZ524354:WAZ524362 WKV524354:WKV524362 WUR524354:WUR524362 E589890:E589898 IF589890:IF589898 SB589890:SB589898 ABX589890:ABX589898 ALT589890:ALT589898 AVP589890:AVP589898 BFL589890:BFL589898 BPH589890:BPH589898 BZD589890:BZD589898 CIZ589890:CIZ589898 CSV589890:CSV589898 DCR589890:DCR589898 DMN589890:DMN589898 DWJ589890:DWJ589898 EGF589890:EGF589898 EQB589890:EQB589898 EZX589890:EZX589898 FJT589890:FJT589898 FTP589890:FTP589898 GDL589890:GDL589898 GNH589890:GNH589898 GXD589890:GXD589898 HGZ589890:HGZ589898 HQV589890:HQV589898 IAR589890:IAR589898 IKN589890:IKN589898 IUJ589890:IUJ589898 JEF589890:JEF589898 JOB589890:JOB589898 JXX589890:JXX589898 KHT589890:KHT589898 KRP589890:KRP589898 LBL589890:LBL589898 LLH589890:LLH589898 LVD589890:LVD589898 MEZ589890:MEZ589898 MOV589890:MOV589898 MYR589890:MYR589898 NIN589890:NIN589898 NSJ589890:NSJ589898 OCF589890:OCF589898 OMB589890:OMB589898 OVX589890:OVX589898 PFT589890:PFT589898 PPP589890:PPP589898 PZL589890:PZL589898 QJH589890:QJH589898 QTD589890:QTD589898 RCZ589890:RCZ589898 RMV589890:RMV589898 RWR589890:RWR589898 SGN589890:SGN589898 SQJ589890:SQJ589898 TAF589890:TAF589898 TKB589890:TKB589898 TTX589890:TTX589898 UDT589890:UDT589898 UNP589890:UNP589898 UXL589890:UXL589898 VHH589890:VHH589898 VRD589890:VRD589898 WAZ589890:WAZ589898 WKV589890:WKV589898 WUR589890:WUR589898 E655426:E655434 IF655426:IF655434 SB655426:SB655434 ABX655426:ABX655434 ALT655426:ALT655434 AVP655426:AVP655434 BFL655426:BFL655434 BPH655426:BPH655434 BZD655426:BZD655434 CIZ655426:CIZ655434 CSV655426:CSV655434 DCR655426:DCR655434 DMN655426:DMN655434 DWJ655426:DWJ655434 EGF655426:EGF655434 EQB655426:EQB655434 EZX655426:EZX655434 FJT655426:FJT655434 FTP655426:FTP655434 GDL655426:GDL655434 GNH655426:GNH655434 GXD655426:GXD655434 HGZ655426:HGZ655434 HQV655426:HQV655434 IAR655426:IAR655434 IKN655426:IKN655434 IUJ655426:IUJ655434 JEF655426:JEF655434 JOB655426:JOB655434 JXX655426:JXX655434 KHT655426:KHT655434 KRP655426:KRP655434 LBL655426:LBL655434 LLH655426:LLH655434 LVD655426:LVD655434 MEZ655426:MEZ655434 MOV655426:MOV655434 MYR655426:MYR655434 NIN655426:NIN655434 NSJ655426:NSJ655434 OCF655426:OCF655434 OMB655426:OMB655434 OVX655426:OVX655434 PFT655426:PFT655434 PPP655426:PPP655434 PZL655426:PZL655434 QJH655426:QJH655434 QTD655426:QTD655434 RCZ655426:RCZ655434 RMV655426:RMV655434 RWR655426:RWR655434 SGN655426:SGN655434 SQJ655426:SQJ655434 TAF655426:TAF655434 TKB655426:TKB655434 TTX655426:TTX655434 UDT655426:UDT655434 UNP655426:UNP655434 UXL655426:UXL655434 VHH655426:VHH655434 VRD655426:VRD655434 WAZ655426:WAZ655434 WKV655426:WKV655434 WUR655426:WUR655434 E720962:E720970 IF720962:IF720970 SB720962:SB720970 ABX720962:ABX720970 ALT720962:ALT720970 AVP720962:AVP720970 BFL720962:BFL720970 BPH720962:BPH720970 BZD720962:BZD720970 CIZ720962:CIZ720970 CSV720962:CSV720970 DCR720962:DCR720970 DMN720962:DMN720970 DWJ720962:DWJ720970 EGF720962:EGF720970 EQB720962:EQB720970 EZX720962:EZX720970 FJT720962:FJT720970 FTP720962:FTP720970 GDL720962:GDL720970 GNH720962:GNH720970 GXD720962:GXD720970 HGZ720962:HGZ720970 HQV720962:HQV720970 IAR720962:IAR720970 IKN720962:IKN720970 IUJ720962:IUJ720970 JEF720962:JEF720970 JOB720962:JOB720970 JXX720962:JXX720970 KHT720962:KHT720970 KRP720962:KRP720970 LBL720962:LBL720970 LLH720962:LLH720970 LVD720962:LVD720970 MEZ720962:MEZ720970 MOV720962:MOV720970 MYR720962:MYR720970 NIN720962:NIN720970 NSJ720962:NSJ720970 OCF720962:OCF720970 OMB720962:OMB720970 OVX720962:OVX720970 PFT720962:PFT720970 PPP720962:PPP720970 PZL720962:PZL720970 QJH720962:QJH720970 QTD720962:QTD720970 RCZ720962:RCZ720970 RMV720962:RMV720970 RWR720962:RWR720970 SGN720962:SGN720970 SQJ720962:SQJ720970 TAF720962:TAF720970 TKB720962:TKB720970 TTX720962:TTX720970 UDT720962:UDT720970 UNP720962:UNP720970 UXL720962:UXL720970 VHH720962:VHH720970 VRD720962:VRD720970 WAZ720962:WAZ720970 WKV720962:WKV720970 WUR720962:WUR720970 E786498:E786506 IF786498:IF786506 SB786498:SB786506 ABX786498:ABX786506 ALT786498:ALT786506 AVP786498:AVP786506 BFL786498:BFL786506 BPH786498:BPH786506 BZD786498:BZD786506 CIZ786498:CIZ786506 CSV786498:CSV786506 DCR786498:DCR786506 DMN786498:DMN786506 DWJ786498:DWJ786506 EGF786498:EGF786506 EQB786498:EQB786506 EZX786498:EZX786506 FJT786498:FJT786506 FTP786498:FTP786506 GDL786498:GDL786506 GNH786498:GNH786506 GXD786498:GXD786506 HGZ786498:HGZ786506 HQV786498:HQV786506 IAR786498:IAR786506 IKN786498:IKN786506 IUJ786498:IUJ786506 JEF786498:JEF786506 JOB786498:JOB786506 JXX786498:JXX786506 KHT786498:KHT786506 KRP786498:KRP786506 LBL786498:LBL786506 LLH786498:LLH786506 LVD786498:LVD786506 MEZ786498:MEZ786506 MOV786498:MOV786506 MYR786498:MYR786506 NIN786498:NIN786506 NSJ786498:NSJ786506 OCF786498:OCF786506 OMB786498:OMB786506 OVX786498:OVX786506 PFT786498:PFT786506 PPP786498:PPP786506 PZL786498:PZL786506 QJH786498:QJH786506 QTD786498:QTD786506 RCZ786498:RCZ786506 RMV786498:RMV786506 RWR786498:RWR786506 SGN786498:SGN786506 SQJ786498:SQJ786506 TAF786498:TAF786506 TKB786498:TKB786506 TTX786498:TTX786506 UDT786498:UDT786506 UNP786498:UNP786506 UXL786498:UXL786506 VHH786498:VHH786506 VRD786498:VRD786506 WAZ786498:WAZ786506 WKV786498:WKV786506 WUR786498:WUR786506 E852034:E852042 IF852034:IF852042 SB852034:SB852042 ABX852034:ABX852042 ALT852034:ALT852042 AVP852034:AVP852042 BFL852034:BFL852042 BPH852034:BPH852042 BZD852034:BZD852042 CIZ852034:CIZ852042 CSV852034:CSV852042 DCR852034:DCR852042 DMN852034:DMN852042 DWJ852034:DWJ852042 EGF852034:EGF852042 EQB852034:EQB852042 EZX852034:EZX852042 FJT852034:FJT852042 FTP852034:FTP852042 GDL852034:GDL852042 GNH852034:GNH852042 GXD852034:GXD852042 HGZ852034:HGZ852042 HQV852034:HQV852042 IAR852034:IAR852042 IKN852034:IKN852042 IUJ852034:IUJ852042 JEF852034:JEF852042 JOB852034:JOB852042 JXX852034:JXX852042 KHT852034:KHT852042 KRP852034:KRP852042 LBL852034:LBL852042 LLH852034:LLH852042 LVD852034:LVD852042 MEZ852034:MEZ852042 MOV852034:MOV852042 MYR852034:MYR852042 NIN852034:NIN852042 NSJ852034:NSJ852042 OCF852034:OCF852042 OMB852034:OMB852042 OVX852034:OVX852042 PFT852034:PFT852042 PPP852034:PPP852042 PZL852034:PZL852042 QJH852034:QJH852042 QTD852034:QTD852042 RCZ852034:RCZ852042 RMV852034:RMV852042 RWR852034:RWR852042 SGN852034:SGN852042 SQJ852034:SQJ852042 TAF852034:TAF852042 TKB852034:TKB852042 TTX852034:TTX852042 UDT852034:UDT852042 UNP852034:UNP852042 UXL852034:UXL852042 VHH852034:VHH852042 VRD852034:VRD852042 WAZ852034:WAZ852042 WKV852034:WKV852042 WUR852034:WUR852042 E917570:E917578 IF917570:IF917578 SB917570:SB917578 ABX917570:ABX917578 ALT917570:ALT917578 AVP917570:AVP917578 BFL917570:BFL917578 BPH917570:BPH917578 BZD917570:BZD917578 CIZ917570:CIZ917578 CSV917570:CSV917578 DCR917570:DCR917578 DMN917570:DMN917578 DWJ917570:DWJ917578 EGF917570:EGF917578 EQB917570:EQB917578 EZX917570:EZX917578 FJT917570:FJT917578 FTP917570:FTP917578 GDL917570:GDL917578 GNH917570:GNH917578 GXD917570:GXD917578 HGZ917570:HGZ917578 HQV917570:HQV917578 IAR917570:IAR917578 IKN917570:IKN917578 IUJ917570:IUJ917578 JEF917570:JEF917578 JOB917570:JOB917578 JXX917570:JXX917578 KHT917570:KHT917578 KRP917570:KRP917578 LBL917570:LBL917578 LLH917570:LLH917578 LVD917570:LVD917578 MEZ917570:MEZ917578 MOV917570:MOV917578 MYR917570:MYR917578 NIN917570:NIN917578 NSJ917570:NSJ917578 OCF917570:OCF917578 OMB917570:OMB917578 OVX917570:OVX917578 PFT917570:PFT917578 PPP917570:PPP917578 PZL917570:PZL917578 QJH917570:QJH917578 QTD917570:QTD917578 RCZ917570:RCZ917578 RMV917570:RMV917578 RWR917570:RWR917578 SGN917570:SGN917578 SQJ917570:SQJ917578 TAF917570:TAF917578 TKB917570:TKB917578 TTX917570:TTX917578 UDT917570:UDT917578 UNP917570:UNP917578 UXL917570:UXL917578 VHH917570:VHH917578 VRD917570:VRD917578 WAZ917570:WAZ917578 WKV917570:WKV917578 WUR917570:WUR917578 E983106:E983114 IF983106:IF983114 SB983106:SB983114 ABX983106:ABX983114 ALT983106:ALT983114 AVP983106:AVP983114 BFL983106:BFL983114 BPH983106:BPH983114 BZD983106:BZD983114 CIZ983106:CIZ983114 CSV983106:CSV983114 DCR983106:DCR983114 DMN983106:DMN983114 DWJ983106:DWJ983114 EGF983106:EGF983114 EQB983106:EQB983114 EZX983106:EZX983114 FJT983106:FJT983114 FTP983106:FTP983114 GDL983106:GDL983114 GNH983106:GNH983114 GXD983106:GXD983114 HGZ983106:HGZ983114 HQV983106:HQV983114 IAR983106:IAR983114 IKN983106:IKN983114 IUJ983106:IUJ983114 JEF983106:JEF983114 JOB983106:JOB983114 JXX983106:JXX983114 KHT983106:KHT983114 KRP983106:KRP983114 LBL983106:LBL983114 LLH983106:LLH983114 LVD983106:LVD983114 MEZ983106:MEZ983114 MOV983106:MOV983114 MYR983106:MYR983114 NIN983106:NIN983114 NSJ983106:NSJ983114 OCF983106:OCF983114 OMB983106:OMB983114 OVX983106:OVX983114 PFT983106:PFT983114 PPP983106:PPP983114 PZL983106:PZL983114 QJH983106:QJH983114 QTD983106:QTD983114 RCZ983106:RCZ983114 RMV983106:RMV983114 RWR983106:RWR983114 SGN983106:SGN983114 SQJ983106:SQJ983114 TAF983106:TAF983114 TKB983106:TKB983114 TTX983106:TTX983114 UDT983106:UDT983114 UNP983106:UNP983114 UXL983106:UXL983114 VHH983106:VHH983114 VRD983106:VRD983114 WAZ983106:WAZ983114 WKV983106:WKV983114 E54:E78" xr:uid="{00000000-0002-0000-0300-000002000000}"/>
    <dataValidation allowBlank="1" showInputMessage="1" showErrorMessage="1" prompt="diligencie la cantidad de unidad de medida del valor unitario" sqref="IE11:IE51 SA11:SA51 ABW11:ABW51 ALS11:ALS51 AVO11:AVO51 BFK11:BFK51 BPG11:BPG51 BZC11:BZC51 CIY11:CIY51 CSU11:CSU51 DCQ11:DCQ51 DMM11:DMM51 DWI11:DWI51 EGE11:EGE51 EQA11:EQA51 EZW11:EZW51 FJS11:FJS51 FTO11:FTO51 GDK11:GDK51 GNG11:GNG51 GXC11:GXC51 HGY11:HGY51 HQU11:HQU51 IAQ11:IAQ51 IKM11:IKM51 IUI11:IUI51 JEE11:JEE51 JOA11:JOA51 JXW11:JXW51 KHS11:KHS51 KRO11:KRO51 LBK11:LBK51 LLG11:LLG51 LVC11:LVC51 MEY11:MEY51 MOU11:MOU51 MYQ11:MYQ51 NIM11:NIM51 NSI11:NSI51 OCE11:OCE51 OMA11:OMA51 OVW11:OVW51 PFS11:PFS51 PPO11:PPO51 PZK11:PZK51 QJG11:QJG51 QTC11:QTC51 RCY11:RCY51 RMU11:RMU51 RWQ11:RWQ51 SGM11:SGM51 SQI11:SQI51 TAE11:TAE51 TKA11:TKA51 TTW11:TTW51 UDS11:UDS51 UNO11:UNO51 UXK11:UXK51 VHG11:VHG51 VRC11:VRC51 WAY11:WAY51 WKU11:WKU51 WUQ11:WUQ51 IE65591:IE65599 SA65591:SA65599 ABW65591:ABW65599 ALS65591:ALS65599 AVO65591:AVO65599 BFK65591:BFK65599 BPG65591:BPG65599 BZC65591:BZC65599 CIY65591:CIY65599 CSU65591:CSU65599 DCQ65591:DCQ65599 DMM65591:DMM65599 DWI65591:DWI65599 EGE65591:EGE65599 EQA65591:EQA65599 EZW65591:EZW65599 FJS65591:FJS65599 FTO65591:FTO65599 GDK65591:GDK65599 GNG65591:GNG65599 GXC65591:GXC65599 HGY65591:HGY65599 HQU65591:HQU65599 IAQ65591:IAQ65599 IKM65591:IKM65599 IUI65591:IUI65599 JEE65591:JEE65599 JOA65591:JOA65599 JXW65591:JXW65599 KHS65591:KHS65599 KRO65591:KRO65599 LBK65591:LBK65599 LLG65591:LLG65599 LVC65591:LVC65599 MEY65591:MEY65599 MOU65591:MOU65599 MYQ65591:MYQ65599 NIM65591:NIM65599 NSI65591:NSI65599 OCE65591:OCE65599 OMA65591:OMA65599 OVW65591:OVW65599 PFS65591:PFS65599 PPO65591:PPO65599 PZK65591:PZK65599 QJG65591:QJG65599 QTC65591:QTC65599 RCY65591:RCY65599 RMU65591:RMU65599 RWQ65591:RWQ65599 SGM65591:SGM65599 SQI65591:SQI65599 TAE65591:TAE65599 TKA65591:TKA65599 TTW65591:TTW65599 UDS65591:UDS65599 UNO65591:UNO65599 UXK65591:UXK65599 VHG65591:VHG65599 VRC65591:VRC65599 WAY65591:WAY65599 WKU65591:WKU65599 WUQ65591:WUQ65599 IE131127:IE131135 SA131127:SA131135 ABW131127:ABW131135 ALS131127:ALS131135 AVO131127:AVO131135 BFK131127:BFK131135 BPG131127:BPG131135 BZC131127:BZC131135 CIY131127:CIY131135 CSU131127:CSU131135 DCQ131127:DCQ131135 DMM131127:DMM131135 DWI131127:DWI131135 EGE131127:EGE131135 EQA131127:EQA131135 EZW131127:EZW131135 FJS131127:FJS131135 FTO131127:FTO131135 GDK131127:GDK131135 GNG131127:GNG131135 GXC131127:GXC131135 HGY131127:HGY131135 HQU131127:HQU131135 IAQ131127:IAQ131135 IKM131127:IKM131135 IUI131127:IUI131135 JEE131127:JEE131135 JOA131127:JOA131135 JXW131127:JXW131135 KHS131127:KHS131135 KRO131127:KRO131135 LBK131127:LBK131135 LLG131127:LLG131135 LVC131127:LVC131135 MEY131127:MEY131135 MOU131127:MOU131135 MYQ131127:MYQ131135 NIM131127:NIM131135 NSI131127:NSI131135 OCE131127:OCE131135 OMA131127:OMA131135 OVW131127:OVW131135 PFS131127:PFS131135 PPO131127:PPO131135 PZK131127:PZK131135 QJG131127:QJG131135 QTC131127:QTC131135 RCY131127:RCY131135 RMU131127:RMU131135 RWQ131127:RWQ131135 SGM131127:SGM131135 SQI131127:SQI131135 TAE131127:TAE131135 TKA131127:TKA131135 TTW131127:TTW131135 UDS131127:UDS131135 UNO131127:UNO131135 UXK131127:UXK131135 VHG131127:VHG131135 VRC131127:VRC131135 WAY131127:WAY131135 WKU131127:WKU131135 WUQ131127:WUQ131135 IE196663:IE196671 SA196663:SA196671 ABW196663:ABW196671 ALS196663:ALS196671 AVO196663:AVO196671 BFK196663:BFK196671 BPG196663:BPG196671 BZC196663:BZC196671 CIY196663:CIY196671 CSU196663:CSU196671 DCQ196663:DCQ196671 DMM196663:DMM196671 DWI196663:DWI196671 EGE196663:EGE196671 EQA196663:EQA196671 EZW196663:EZW196671 FJS196663:FJS196671 FTO196663:FTO196671 GDK196663:GDK196671 GNG196663:GNG196671 GXC196663:GXC196671 HGY196663:HGY196671 HQU196663:HQU196671 IAQ196663:IAQ196671 IKM196663:IKM196671 IUI196663:IUI196671 JEE196663:JEE196671 JOA196663:JOA196671 JXW196663:JXW196671 KHS196663:KHS196671 KRO196663:KRO196671 LBK196663:LBK196671 LLG196663:LLG196671 LVC196663:LVC196671 MEY196663:MEY196671 MOU196663:MOU196671 MYQ196663:MYQ196671 NIM196663:NIM196671 NSI196663:NSI196671 OCE196663:OCE196671 OMA196663:OMA196671 OVW196663:OVW196671 PFS196663:PFS196671 PPO196663:PPO196671 PZK196663:PZK196671 QJG196663:QJG196671 QTC196663:QTC196671 RCY196663:RCY196671 RMU196663:RMU196671 RWQ196663:RWQ196671 SGM196663:SGM196671 SQI196663:SQI196671 TAE196663:TAE196671 TKA196663:TKA196671 TTW196663:TTW196671 UDS196663:UDS196671 UNO196663:UNO196671 UXK196663:UXK196671 VHG196663:VHG196671 VRC196663:VRC196671 WAY196663:WAY196671 WKU196663:WKU196671 WUQ196663:WUQ196671 IE262199:IE262207 SA262199:SA262207 ABW262199:ABW262207 ALS262199:ALS262207 AVO262199:AVO262207 BFK262199:BFK262207 BPG262199:BPG262207 BZC262199:BZC262207 CIY262199:CIY262207 CSU262199:CSU262207 DCQ262199:DCQ262207 DMM262199:DMM262207 DWI262199:DWI262207 EGE262199:EGE262207 EQA262199:EQA262207 EZW262199:EZW262207 FJS262199:FJS262207 FTO262199:FTO262207 GDK262199:GDK262207 GNG262199:GNG262207 GXC262199:GXC262207 HGY262199:HGY262207 HQU262199:HQU262207 IAQ262199:IAQ262207 IKM262199:IKM262207 IUI262199:IUI262207 JEE262199:JEE262207 JOA262199:JOA262207 JXW262199:JXW262207 KHS262199:KHS262207 KRO262199:KRO262207 LBK262199:LBK262207 LLG262199:LLG262207 LVC262199:LVC262207 MEY262199:MEY262207 MOU262199:MOU262207 MYQ262199:MYQ262207 NIM262199:NIM262207 NSI262199:NSI262207 OCE262199:OCE262207 OMA262199:OMA262207 OVW262199:OVW262207 PFS262199:PFS262207 PPO262199:PPO262207 PZK262199:PZK262207 QJG262199:QJG262207 QTC262199:QTC262207 RCY262199:RCY262207 RMU262199:RMU262207 RWQ262199:RWQ262207 SGM262199:SGM262207 SQI262199:SQI262207 TAE262199:TAE262207 TKA262199:TKA262207 TTW262199:TTW262207 UDS262199:UDS262207 UNO262199:UNO262207 UXK262199:UXK262207 VHG262199:VHG262207 VRC262199:VRC262207 WAY262199:WAY262207 WKU262199:WKU262207 WUQ262199:WUQ262207 IE327735:IE327743 SA327735:SA327743 ABW327735:ABW327743 ALS327735:ALS327743 AVO327735:AVO327743 BFK327735:BFK327743 BPG327735:BPG327743 BZC327735:BZC327743 CIY327735:CIY327743 CSU327735:CSU327743 DCQ327735:DCQ327743 DMM327735:DMM327743 DWI327735:DWI327743 EGE327735:EGE327743 EQA327735:EQA327743 EZW327735:EZW327743 FJS327735:FJS327743 FTO327735:FTO327743 GDK327735:GDK327743 GNG327735:GNG327743 GXC327735:GXC327743 HGY327735:HGY327743 HQU327735:HQU327743 IAQ327735:IAQ327743 IKM327735:IKM327743 IUI327735:IUI327743 JEE327735:JEE327743 JOA327735:JOA327743 JXW327735:JXW327743 KHS327735:KHS327743 KRO327735:KRO327743 LBK327735:LBK327743 LLG327735:LLG327743 LVC327735:LVC327743 MEY327735:MEY327743 MOU327735:MOU327743 MYQ327735:MYQ327743 NIM327735:NIM327743 NSI327735:NSI327743 OCE327735:OCE327743 OMA327735:OMA327743 OVW327735:OVW327743 PFS327735:PFS327743 PPO327735:PPO327743 PZK327735:PZK327743 QJG327735:QJG327743 QTC327735:QTC327743 RCY327735:RCY327743 RMU327735:RMU327743 RWQ327735:RWQ327743 SGM327735:SGM327743 SQI327735:SQI327743 TAE327735:TAE327743 TKA327735:TKA327743 TTW327735:TTW327743 UDS327735:UDS327743 UNO327735:UNO327743 UXK327735:UXK327743 VHG327735:VHG327743 VRC327735:VRC327743 WAY327735:WAY327743 WKU327735:WKU327743 WUQ327735:WUQ327743 IE393271:IE393279 SA393271:SA393279 ABW393271:ABW393279 ALS393271:ALS393279 AVO393271:AVO393279 BFK393271:BFK393279 BPG393271:BPG393279 BZC393271:BZC393279 CIY393271:CIY393279 CSU393271:CSU393279 DCQ393271:DCQ393279 DMM393271:DMM393279 DWI393271:DWI393279 EGE393271:EGE393279 EQA393271:EQA393279 EZW393271:EZW393279 FJS393271:FJS393279 FTO393271:FTO393279 GDK393271:GDK393279 GNG393271:GNG393279 GXC393271:GXC393279 HGY393271:HGY393279 HQU393271:HQU393279 IAQ393271:IAQ393279 IKM393271:IKM393279 IUI393271:IUI393279 JEE393271:JEE393279 JOA393271:JOA393279 JXW393271:JXW393279 KHS393271:KHS393279 KRO393271:KRO393279 LBK393271:LBK393279 LLG393271:LLG393279 LVC393271:LVC393279 MEY393271:MEY393279 MOU393271:MOU393279 MYQ393271:MYQ393279 NIM393271:NIM393279 NSI393271:NSI393279 OCE393271:OCE393279 OMA393271:OMA393279 OVW393271:OVW393279 PFS393271:PFS393279 PPO393271:PPO393279 PZK393271:PZK393279 QJG393271:QJG393279 QTC393271:QTC393279 RCY393271:RCY393279 RMU393271:RMU393279 RWQ393271:RWQ393279 SGM393271:SGM393279 SQI393271:SQI393279 TAE393271:TAE393279 TKA393271:TKA393279 TTW393271:TTW393279 UDS393271:UDS393279 UNO393271:UNO393279 UXK393271:UXK393279 VHG393271:VHG393279 VRC393271:VRC393279 WAY393271:WAY393279 WKU393271:WKU393279 WUQ393271:WUQ393279 IE458807:IE458815 SA458807:SA458815 ABW458807:ABW458815 ALS458807:ALS458815 AVO458807:AVO458815 BFK458807:BFK458815 BPG458807:BPG458815 BZC458807:BZC458815 CIY458807:CIY458815 CSU458807:CSU458815 DCQ458807:DCQ458815 DMM458807:DMM458815 DWI458807:DWI458815 EGE458807:EGE458815 EQA458807:EQA458815 EZW458807:EZW458815 FJS458807:FJS458815 FTO458807:FTO458815 GDK458807:GDK458815 GNG458807:GNG458815 GXC458807:GXC458815 HGY458807:HGY458815 HQU458807:HQU458815 IAQ458807:IAQ458815 IKM458807:IKM458815 IUI458807:IUI458815 JEE458807:JEE458815 JOA458807:JOA458815 JXW458807:JXW458815 KHS458807:KHS458815 KRO458807:KRO458815 LBK458807:LBK458815 LLG458807:LLG458815 LVC458807:LVC458815 MEY458807:MEY458815 MOU458807:MOU458815 MYQ458807:MYQ458815 NIM458807:NIM458815 NSI458807:NSI458815 OCE458807:OCE458815 OMA458807:OMA458815 OVW458807:OVW458815 PFS458807:PFS458815 PPO458807:PPO458815 PZK458807:PZK458815 QJG458807:QJG458815 QTC458807:QTC458815 RCY458807:RCY458815 RMU458807:RMU458815 RWQ458807:RWQ458815 SGM458807:SGM458815 SQI458807:SQI458815 TAE458807:TAE458815 TKA458807:TKA458815 TTW458807:TTW458815 UDS458807:UDS458815 UNO458807:UNO458815 UXK458807:UXK458815 VHG458807:VHG458815 VRC458807:VRC458815 WAY458807:WAY458815 WKU458807:WKU458815 WUQ458807:WUQ458815 IE524343:IE524351 SA524343:SA524351 ABW524343:ABW524351 ALS524343:ALS524351 AVO524343:AVO524351 BFK524343:BFK524351 BPG524343:BPG524351 BZC524343:BZC524351 CIY524343:CIY524351 CSU524343:CSU524351 DCQ524343:DCQ524351 DMM524343:DMM524351 DWI524343:DWI524351 EGE524343:EGE524351 EQA524343:EQA524351 EZW524343:EZW524351 FJS524343:FJS524351 FTO524343:FTO524351 GDK524343:GDK524351 GNG524343:GNG524351 GXC524343:GXC524351 HGY524343:HGY524351 HQU524343:HQU524351 IAQ524343:IAQ524351 IKM524343:IKM524351 IUI524343:IUI524351 JEE524343:JEE524351 JOA524343:JOA524351 JXW524343:JXW524351 KHS524343:KHS524351 KRO524343:KRO524351 LBK524343:LBK524351 LLG524343:LLG524351 LVC524343:LVC524351 MEY524343:MEY524351 MOU524343:MOU524351 MYQ524343:MYQ524351 NIM524343:NIM524351 NSI524343:NSI524351 OCE524343:OCE524351 OMA524343:OMA524351 OVW524343:OVW524351 PFS524343:PFS524351 PPO524343:PPO524351 PZK524343:PZK524351 QJG524343:QJG524351 QTC524343:QTC524351 RCY524343:RCY524351 RMU524343:RMU524351 RWQ524343:RWQ524351 SGM524343:SGM524351 SQI524343:SQI524351 TAE524343:TAE524351 TKA524343:TKA524351 TTW524343:TTW524351 UDS524343:UDS524351 UNO524343:UNO524351 UXK524343:UXK524351 VHG524343:VHG524351 VRC524343:VRC524351 WAY524343:WAY524351 WKU524343:WKU524351 WUQ524343:WUQ524351 IE589879:IE589887 SA589879:SA589887 ABW589879:ABW589887 ALS589879:ALS589887 AVO589879:AVO589887 BFK589879:BFK589887 BPG589879:BPG589887 BZC589879:BZC589887 CIY589879:CIY589887 CSU589879:CSU589887 DCQ589879:DCQ589887 DMM589879:DMM589887 DWI589879:DWI589887 EGE589879:EGE589887 EQA589879:EQA589887 EZW589879:EZW589887 FJS589879:FJS589887 FTO589879:FTO589887 GDK589879:GDK589887 GNG589879:GNG589887 GXC589879:GXC589887 HGY589879:HGY589887 HQU589879:HQU589887 IAQ589879:IAQ589887 IKM589879:IKM589887 IUI589879:IUI589887 JEE589879:JEE589887 JOA589879:JOA589887 JXW589879:JXW589887 KHS589879:KHS589887 KRO589879:KRO589887 LBK589879:LBK589887 LLG589879:LLG589887 LVC589879:LVC589887 MEY589879:MEY589887 MOU589879:MOU589887 MYQ589879:MYQ589887 NIM589879:NIM589887 NSI589879:NSI589887 OCE589879:OCE589887 OMA589879:OMA589887 OVW589879:OVW589887 PFS589879:PFS589887 PPO589879:PPO589887 PZK589879:PZK589887 QJG589879:QJG589887 QTC589879:QTC589887 RCY589879:RCY589887 RMU589879:RMU589887 RWQ589879:RWQ589887 SGM589879:SGM589887 SQI589879:SQI589887 TAE589879:TAE589887 TKA589879:TKA589887 TTW589879:TTW589887 UDS589879:UDS589887 UNO589879:UNO589887 UXK589879:UXK589887 VHG589879:VHG589887 VRC589879:VRC589887 WAY589879:WAY589887 WKU589879:WKU589887 WUQ589879:WUQ589887 IE655415:IE655423 SA655415:SA655423 ABW655415:ABW655423 ALS655415:ALS655423 AVO655415:AVO655423 BFK655415:BFK655423 BPG655415:BPG655423 BZC655415:BZC655423 CIY655415:CIY655423 CSU655415:CSU655423 DCQ655415:DCQ655423 DMM655415:DMM655423 DWI655415:DWI655423 EGE655415:EGE655423 EQA655415:EQA655423 EZW655415:EZW655423 FJS655415:FJS655423 FTO655415:FTO655423 GDK655415:GDK655423 GNG655415:GNG655423 GXC655415:GXC655423 HGY655415:HGY655423 HQU655415:HQU655423 IAQ655415:IAQ655423 IKM655415:IKM655423 IUI655415:IUI655423 JEE655415:JEE655423 JOA655415:JOA655423 JXW655415:JXW655423 KHS655415:KHS655423 KRO655415:KRO655423 LBK655415:LBK655423 LLG655415:LLG655423 LVC655415:LVC655423 MEY655415:MEY655423 MOU655415:MOU655423 MYQ655415:MYQ655423 NIM655415:NIM655423 NSI655415:NSI655423 OCE655415:OCE655423 OMA655415:OMA655423 OVW655415:OVW655423 PFS655415:PFS655423 PPO655415:PPO655423 PZK655415:PZK655423 QJG655415:QJG655423 QTC655415:QTC655423 RCY655415:RCY655423 RMU655415:RMU655423 RWQ655415:RWQ655423 SGM655415:SGM655423 SQI655415:SQI655423 TAE655415:TAE655423 TKA655415:TKA655423 TTW655415:TTW655423 UDS655415:UDS655423 UNO655415:UNO655423 UXK655415:UXK655423 VHG655415:VHG655423 VRC655415:VRC655423 WAY655415:WAY655423 WKU655415:WKU655423 WUQ655415:WUQ655423 IE720951:IE720959 SA720951:SA720959 ABW720951:ABW720959 ALS720951:ALS720959 AVO720951:AVO720959 BFK720951:BFK720959 BPG720951:BPG720959 BZC720951:BZC720959 CIY720951:CIY720959 CSU720951:CSU720959 DCQ720951:DCQ720959 DMM720951:DMM720959 DWI720951:DWI720959 EGE720951:EGE720959 EQA720951:EQA720959 EZW720951:EZW720959 FJS720951:FJS720959 FTO720951:FTO720959 GDK720951:GDK720959 GNG720951:GNG720959 GXC720951:GXC720959 HGY720951:HGY720959 HQU720951:HQU720959 IAQ720951:IAQ720959 IKM720951:IKM720959 IUI720951:IUI720959 JEE720951:JEE720959 JOA720951:JOA720959 JXW720951:JXW720959 KHS720951:KHS720959 KRO720951:KRO720959 LBK720951:LBK720959 LLG720951:LLG720959 LVC720951:LVC720959 MEY720951:MEY720959 MOU720951:MOU720959 MYQ720951:MYQ720959 NIM720951:NIM720959 NSI720951:NSI720959 OCE720951:OCE720959 OMA720951:OMA720959 OVW720951:OVW720959 PFS720951:PFS720959 PPO720951:PPO720959 PZK720951:PZK720959 QJG720951:QJG720959 QTC720951:QTC720959 RCY720951:RCY720959 RMU720951:RMU720959 RWQ720951:RWQ720959 SGM720951:SGM720959 SQI720951:SQI720959 TAE720951:TAE720959 TKA720951:TKA720959 TTW720951:TTW720959 UDS720951:UDS720959 UNO720951:UNO720959 UXK720951:UXK720959 VHG720951:VHG720959 VRC720951:VRC720959 WAY720951:WAY720959 WKU720951:WKU720959 WUQ720951:WUQ720959 IE786487:IE786495 SA786487:SA786495 ABW786487:ABW786495 ALS786487:ALS786495 AVO786487:AVO786495 BFK786487:BFK786495 BPG786487:BPG786495 BZC786487:BZC786495 CIY786487:CIY786495 CSU786487:CSU786495 DCQ786487:DCQ786495 DMM786487:DMM786495 DWI786487:DWI786495 EGE786487:EGE786495 EQA786487:EQA786495 EZW786487:EZW786495 FJS786487:FJS786495 FTO786487:FTO786495 GDK786487:GDK786495 GNG786487:GNG786495 GXC786487:GXC786495 HGY786487:HGY786495 HQU786487:HQU786495 IAQ786487:IAQ786495 IKM786487:IKM786495 IUI786487:IUI786495 JEE786487:JEE786495 JOA786487:JOA786495 JXW786487:JXW786495 KHS786487:KHS786495 KRO786487:KRO786495 LBK786487:LBK786495 LLG786487:LLG786495 LVC786487:LVC786495 MEY786487:MEY786495 MOU786487:MOU786495 MYQ786487:MYQ786495 NIM786487:NIM786495 NSI786487:NSI786495 OCE786487:OCE786495 OMA786487:OMA786495 OVW786487:OVW786495 PFS786487:PFS786495 PPO786487:PPO786495 PZK786487:PZK786495 QJG786487:QJG786495 QTC786487:QTC786495 RCY786487:RCY786495 RMU786487:RMU786495 RWQ786487:RWQ786495 SGM786487:SGM786495 SQI786487:SQI786495 TAE786487:TAE786495 TKA786487:TKA786495 TTW786487:TTW786495 UDS786487:UDS786495 UNO786487:UNO786495 UXK786487:UXK786495 VHG786487:VHG786495 VRC786487:VRC786495 WAY786487:WAY786495 WKU786487:WKU786495 WUQ786487:WUQ786495 IE852023:IE852031 SA852023:SA852031 ABW852023:ABW852031 ALS852023:ALS852031 AVO852023:AVO852031 BFK852023:BFK852031 BPG852023:BPG852031 BZC852023:BZC852031 CIY852023:CIY852031 CSU852023:CSU852031 DCQ852023:DCQ852031 DMM852023:DMM852031 DWI852023:DWI852031 EGE852023:EGE852031 EQA852023:EQA852031 EZW852023:EZW852031 FJS852023:FJS852031 FTO852023:FTO852031 GDK852023:GDK852031 GNG852023:GNG852031 GXC852023:GXC852031 HGY852023:HGY852031 HQU852023:HQU852031 IAQ852023:IAQ852031 IKM852023:IKM852031 IUI852023:IUI852031 JEE852023:JEE852031 JOA852023:JOA852031 JXW852023:JXW852031 KHS852023:KHS852031 KRO852023:KRO852031 LBK852023:LBK852031 LLG852023:LLG852031 LVC852023:LVC852031 MEY852023:MEY852031 MOU852023:MOU852031 MYQ852023:MYQ852031 NIM852023:NIM852031 NSI852023:NSI852031 OCE852023:OCE852031 OMA852023:OMA852031 OVW852023:OVW852031 PFS852023:PFS852031 PPO852023:PPO852031 PZK852023:PZK852031 QJG852023:QJG852031 QTC852023:QTC852031 RCY852023:RCY852031 RMU852023:RMU852031 RWQ852023:RWQ852031 SGM852023:SGM852031 SQI852023:SQI852031 TAE852023:TAE852031 TKA852023:TKA852031 TTW852023:TTW852031 UDS852023:UDS852031 UNO852023:UNO852031 UXK852023:UXK852031 VHG852023:VHG852031 VRC852023:VRC852031 WAY852023:WAY852031 WKU852023:WKU852031 WUQ852023:WUQ852031 IE917559:IE917567 SA917559:SA917567 ABW917559:ABW917567 ALS917559:ALS917567 AVO917559:AVO917567 BFK917559:BFK917567 BPG917559:BPG917567 BZC917559:BZC917567 CIY917559:CIY917567 CSU917559:CSU917567 DCQ917559:DCQ917567 DMM917559:DMM917567 DWI917559:DWI917567 EGE917559:EGE917567 EQA917559:EQA917567 EZW917559:EZW917567 FJS917559:FJS917567 FTO917559:FTO917567 GDK917559:GDK917567 GNG917559:GNG917567 GXC917559:GXC917567 HGY917559:HGY917567 HQU917559:HQU917567 IAQ917559:IAQ917567 IKM917559:IKM917567 IUI917559:IUI917567 JEE917559:JEE917567 JOA917559:JOA917567 JXW917559:JXW917567 KHS917559:KHS917567 KRO917559:KRO917567 LBK917559:LBK917567 LLG917559:LLG917567 LVC917559:LVC917567 MEY917559:MEY917567 MOU917559:MOU917567 MYQ917559:MYQ917567 NIM917559:NIM917567 NSI917559:NSI917567 OCE917559:OCE917567 OMA917559:OMA917567 OVW917559:OVW917567 PFS917559:PFS917567 PPO917559:PPO917567 PZK917559:PZK917567 QJG917559:QJG917567 QTC917559:QTC917567 RCY917559:RCY917567 RMU917559:RMU917567 RWQ917559:RWQ917567 SGM917559:SGM917567 SQI917559:SQI917567 TAE917559:TAE917567 TKA917559:TKA917567 TTW917559:TTW917567 UDS917559:UDS917567 UNO917559:UNO917567 UXK917559:UXK917567 VHG917559:VHG917567 VRC917559:VRC917567 WAY917559:WAY917567 WKU917559:WKU917567 WUQ917559:WUQ917567 IE983095:IE983103 SA983095:SA983103 ABW983095:ABW983103 ALS983095:ALS983103 AVO983095:AVO983103 BFK983095:BFK983103 BPG983095:BPG983103 BZC983095:BZC983103 CIY983095:CIY983103 CSU983095:CSU983103 DCQ983095:DCQ983103 DMM983095:DMM983103 DWI983095:DWI983103 EGE983095:EGE983103 EQA983095:EQA983103 EZW983095:EZW983103 FJS983095:FJS983103 FTO983095:FTO983103 GDK983095:GDK983103 GNG983095:GNG983103 GXC983095:GXC983103 HGY983095:HGY983103 HQU983095:HQU983103 IAQ983095:IAQ983103 IKM983095:IKM983103 IUI983095:IUI983103 JEE983095:JEE983103 JOA983095:JOA983103 JXW983095:JXW983103 KHS983095:KHS983103 KRO983095:KRO983103 LBK983095:LBK983103 LLG983095:LLG983103 LVC983095:LVC983103 MEY983095:MEY983103 MOU983095:MOU983103 MYQ983095:MYQ983103 NIM983095:NIM983103 NSI983095:NSI983103 OCE983095:OCE983103 OMA983095:OMA983103 OVW983095:OVW983103 PFS983095:PFS983103 PPO983095:PPO983103 PZK983095:PZK983103 QJG983095:QJG983103 QTC983095:QTC983103 RCY983095:RCY983103 RMU983095:RMU983103 RWQ983095:RWQ983103 SGM983095:SGM983103 SQI983095:SQI983103 TAE983095:TAE983103 TKA983095:TKA983103 TTW983095:TTW983103 UDS983095:UDS983103 UNO983095:UNO983103 UXK983095:UXK983103 VHG983095:VHG983103 VRC983095:VRC983103 WAY983095:WAY983103 WKU983095:WKU983103 WUQ983095:WUQ983103 IE54:IE78 SA54:SA78 ABW54:ABW78 ALS54:ALS78 AVO54:AVO78 BFK54:BFK78 BPG54:BPG78 BZC54:BZC78 CIY54:CIY78 CSU54:CSU78 DCQ54:DCQ78 DMM54:DMM78 DWI54:DWI78 EGE54:EGE78 EQA54:EQA78 EZW54:EZW78 FJS54:FJS78 FTO54:FTO78 GDK54:GDK78 GNG54:GNG78 GXC54:GXC78 HGY54:HGY78 HQU54:HQU78 IAQ54:IAQ78 IKM54:IKM78 IUI54:IUI78 JEE54:JEE78 JOA54:JOA78 JXW54:JXW78 KHS54:KHS78 KRO54:KRO78 LBK54:LBK78 LLG54:LLG78 LVC54:LVC78 MEY54:MEY78 MOU54:MOU78 MYQ54:MYQ78 NIM54:NIM78 NSI54:NSI78 OCE54:OCE78 OMA54:OMA78 OVW54:OVW78 PFS54:PFS78 PPO54:PPO78 PZK54:PZK78 QJG54:QJG78 QTC54:QTC78 RCY54:RCY78 RMU54:RMU78 RWQ54:RWQ78 SGM54:SGM78 SQI54:SQI78 TAE54:TAE78 TKA54:TKA78 TTW54:TTW78 UDS54:UDS78 UNO54:UNO78 UXK54:UXK78 VHG54:VHG78 VRC54:VRC78 WAY54:WAY78 WKU54:WKU78 WUQ54:WUQ78 IE65602:IE65610 SA65602:SA65610 ABW65602:ABW65610 ALS65602:ALS65610 AVO65602:AVO65610 BFK65602:BFK65610 BPG65602:BPG65610 BZC65602:BZC65610 CIY65602:CIY65610 CSU65602:CSU65610 DCQ65602:DCQ65610 DMM65602:DMM65610 DWI65602:DWI65610 EGE65602:EGE65610 EQA65602:EQA65610 EZW65602:EZW65610 FJS65602:FJS65610 FTO65602:FTO65610 GDK65602:GDK65610 GNG65602:GNG65610 GXC65602:GXC65610 HGY65602:HGY65610 HQU65602:HQU65610 IAQ65602:IAQ65610 IKM65602:IKM65610 IUI65602:IUI65610 JEE65602:JEE65610 JOA65602:JOA65610 JXW65602:JXW65610 KHS65602:KHS65610 KRO65602:KRO65610 LBK65602:LBK65610 LLG65602:LLG65610 LVC65602:LVC65610 MEY65602:MEY65610 MOU65602:MOU65610 MYQ65602:MYQ65610 NIM65602:NIM65610 NSI65602:NSI65610 OCE65602:OCE65610 OMA65602:OMA65610 OVW65602:OVW65610 PFS65602:PFS65610 PPO65602:PPO65610 PZK65602:PZK65610 QJG65602:QJG65610 QTC65602:QTC65610 RCY65602:RCY65610 RMU65602:RMU65610 RWQ65602:RWQ65610 SGM65602:SGM65610 SQI65602:SQI65610 TAE65602:TAE65610 TKA65602:TKA65610 TTW65602:TTW65610 UDS65602:UDS65610 UNO65602:UNO65610 UXK65602:UXK65610 VHG65602:VHG65610 VRC65602:VRC65610 WAY65602:WAY65610 WKU65602:WKU65610 WUQ65602:WUQ65610 IE131138:IE131146 SA131138:SA131146 ABW131138:ABW131146 ALS131138:ALS131146 AVO131138:AVO131146 BFK131138:BFK131146 BPG131138:BPG131146 BZC131138:BZC131146 CIY131138:CIY131146 CSU131138:CSU131146 DCQ131138:DCQ131146 DMM131138:DMM131146 DWI131138:DWI131146 EGE131138:EGE131146 EQA131138:EQA131146 EZW131138:EZW131146 FJS131138:FJS131146 FTO131138:FTO131146 GDK131138:GDK131146 GNG131138:GNG131146 GXC131138:GXC131146 HGY131138:HGY131146 HQU131138:HQU131146 IAQ131138:IAQ131146 IKM131138:IKM131146 IUI131138:IUI131146 JEE131138:JEE131146 JOA131138:JOA131146 JXW131138:JXW131146 KHS131138:KHS131146 KRO131138:KRO131146 LBK131138:LBK131146 LLG131138:LLG131146 LVC131138:LVC131146 MEY131138:MEY131146 MOU131138:MOU131146 MYQ131138:MYQ131146 NIM131138:NIM131146 NSI131138:NSI131146 OCE131138:OCE131146 OMA131138:OMA131146 OVW131138:OVW131146 PFS131138:PFS131146 PPO131138:PPO131146 PZK131138:PZK131146 QJG131138:QJG131146 QTC131138:QTC131146 RCY131138:RCY131146 RMU131138:RMU131146 RWQ131138:RWQ131146 SGM131138:SGM131146 SQI131138:SQI131146 TAE131138:TAE131146 TKA131138:TKA131146 TTW131138:TTW131146 UDS131138:UDS131146 UNO131138:UNO131146 UXK131138:UXK131146 VHG131138:VHG131146 VRC131138:VRC131146 WAY131138:WAY131146 WKU131138:WKU131146 WUQ131138:WUQ131146 IE196674:IE196682 SA196674:SA196682 ABW196674:ABW196682 ALS196674:ALS196682 AVO196674:AVO196682 BFK196674:BFK196682 BPG196674:BPG196682 BZC196674:BZC196682 CIY196674:CIY196682 CSU196674:CSU196682 DCQ196674:DCQ196682 DMM196674:DMM196682 DWI196674:DWI196682 EGE196674:EGE196682 EQA196674:EQA196682 EZW196674:EZW196682 FJS196674:FJS196682 FTO196674:FTO196682 GDK196674:GDK196682 GNG196674:GNG196682 GXC196674:GXC196682 HGY196674:HGY196682 HQU196674:HQU196682 IAQ196674:IAQ196682 IKM196674:IKM196682 IUI196674:IUI196682 JEE196674:JEE196682 JOA196674:JOA196682 JXW196674:JXW196682 KHS196674:KHS196682 KRO196674:KRO196682 LBK196674:LBK196682 LLG196674:LLG196682 LVC196674:LVC196682 MEY196674:MEY196682 MOU196674:MOU196682 MYQ196674:MYQ196682 NIM196674:NIM196682 NSI196674:NSI196682 OCE196674:OCE196682 OMA196674:OMA196682 OVW196674:OVW196682 PFS196674:PFS196682 PPO196674:PPO196682 PZK196674:PZK196682 QJG196674:QJG196682 QTC196674:QTC196682 RCY196674:RCY196682 RMU196674:RMU196682 RWQ196674:RWQ196682 SGM196674:SGM196682 SQI196674:SQI196682 TAE196674:TAE196682 TKA196674:TKA196682 TTW196674:TTW196682 UDS196674:UDS196682 UNO196674:UNO196682 UXK196674:UXK196682 VHG196674:VHG196682 VRC196674:VRC196682 WAY196674:WAY196682 WKU196674:WKU196682 WUQ196674:WUQ196682 IE262210:IE262218 SA262210:SA262218 ABW262210:ABW262218 ALS262210:ALS262218 AVO262210:AVO262218 BFK262210:BFK262218 BPG262210:BPG262218 BZC262210:BZC262218 CIY262210:CIY262218 CSU262210:CSU262218 DCQ262210:DCQ262218 DMM262210:DMM262218 DWI262210:DWI262218 EGE262210:EGE262218 EQA262210:EQA262218 EZW262210:EZW262218 FJS262210:FJS262218 FTO262210:FTO262218 GDK262210:GDK262218 GNG262210:GNG262218 GXC262210:GXC262218 HGY262210:HGY262218 HQU262210:HQU262218 IAQ262210:IAQ262218 IKM262210:IKM262218 IUI262210:IUI262218 JEE262210:JEE262218 JOA262210:JOA262218 JXW262210:JXW262218 KHS262210:KHS262218 KRO262210:KRO262218 LBK262210:LBK262218 LLG262210:LLG262218 LVC262210:LVC262218 MEY262210:MEY262218 MOU262210:MOU262218 MYQ262210:MYQ262218 NIM262210:NIM262218 NSI262210:NSI262218 OCE262210:OCE262218 OMA262210:OMA262218 OVW262210:OVW262218 PFS262210:PFS262218 PPO262210:PPO262218 PZK262210:PZK262218 QJG262210:QJG262218 QTC262210:QTC262218 RCY262210:RCY262218 RMU262210:RMU262218 RWQ262210:RWQ262218 SGM262210:SGM262218 SQI262210:SQI262218 TAE262210:TAE262218 TKA262210:TKA262218 TTW262210:TTW262218 UDS262210:UDS262218 UNO262210:UNO262218 UXK262210:UXK262218 VHG262210:VHG262218 VRC262210:VRC262218 WAY262210:WAY262218 WKU262210:WKU262218 WUQ262210:WUQ262218 IE327746:IE327754 SA327746:SA327754 ABW327746:ABW327754 ALS327746:ALS327754 AVO327746:AVO327754 BFK327746:BFK327754 BPG327746:BPG327754 BZC327746:BZC327754 CIY327746:CIY327754 CSU327746:CSU327754 DCQ327746:DCQ327754 DMM327746:DMM327754 DWI327746:DWI327754 EGE327746:EGE327754 EQA327746:EQA327754 EZW327746:EZW327754 FJS327746:FJS327754 FTO327746:FTO327754 GDK327746:GDK327754 GNG327746:GNG327754 GXC327746:GXC327754 HGY327746:HGY327754 HQU327746:HQU327754 IAQ327746:IAQ327754 IKM327746:IKM327754 IUI327746:IUI327754 JEE327746:JEE327754 JOA327746:JOA327754 JXW327746:JXW327754 KHS327746:KHS327754 KRO327746:KRO327754 LBK327746:LBK327754 LLG327746:LLG327754 LVC327746:LVC327754 MEY327746:MEY327754 MOU327746:MOU327754 MYQ327746:MYQ327754 NIM327746:NIM327754 NSI327746:NSI327754 OCE327746:OCE327754 OMA327746:OMA327754 OVW327746:OVW327754 PFS327746:PFS327754 PPO327746:PPO327754 PZK327746:PZK327754 QJG327746:QJG327754 QTC327746:QTC327754 RCY327746:RCY327754 RMU327746:RMU327754 RWQ327746:RWQ327754 SGM327746:SGM327754 SQI327746:SQI327754 TAE327746:TAE327754 TKA327746:TKA327754 TTW327746:TTW327754 UDS327746:UDS327754 UNO327746:UNO327754 UXK327746:UXK327754 VHG327746:VHG327754 VRC327746:VRC327754 WAY327746:WAY327754 WKU327746:WKU327754 WUQ327746:WUQ327754 IE393282:IE393290 SA393282:SA393290 ABW393282:ABW393290 ALS393282:ALS393290 AVO393282:AVO393290 BFK393282:BFK393290 BPG393282:BPG393290 BZC393282:BZC393290 CIY393282:CIY393290 CSU393282:CSU393290 DCQ393282:DCQ393290 DMM393282:DMM393290 DWI393282:DWI393290 EGE393282:EGE393290 EQA393282:EQA393290 EZW393282:EZW393290 FJS393282:FJS393290 FTO393282:FTO393290 GDK393282:GDK393290 GNG393282:GNG393290 GXC393282:GXC393290 HGY393282:HGY393290 HQU393282:HQU393290 IAQ393282:IAQ393290 IKM393282:IKM393290 IUI393282:IUI393290 JEE393282:JEE393290 JOA393282:JOA393290 JXW393282:JXW393290 KHS393282:KHS393290 KRO393282:KRO393290 LBK393282:LBK393290 LLG393282:LLG393290 LVC393282:LVC393290 MEY393282:MEY393290 MOU393282:MOU393290 MYQ393282:MYQ393290 NIM393282:NIM393290 NSI393282:NSI393290 OCE393282:OCE393290 OMA393282:OMA393290 OVW393282:OVW393290 PFS393282:PFS393290 PPO393282:PPO393290 PZK393282:PZK393290 QJG393282:QJG393290 QTC393282:QTC393290 RCY393282:RCY393290 RMU393282:RMU393290 RWQ393282:RWQ393290 SGM393282:SGM393290 SQI393282:SQI393290 TAE393282:TAE393290 TKA393282:TKA393290 TTW393282:TTW393290 UDS393282:UDS393290 UNO393282:UNO393290 UXK393282:UXK393290 VHG393282:VHG393290 VRC393282:VRC393290 WAY393282:WAY393290 WKU393282:WKU393290 WUQ393282:WUQ393290 IE458818:IE458826 SA458818:SA458826 ABW458818:ABW458826 ALS458818:ALS458826 AVO458818:AVO458826 BFK458818:BFK458826 BPG458818:BPG458826 BZC458818:BZC458826 CIY458818:CIY458826 CSU458818:CSU458826 DCQ458818:DCQ458826 DMM458818:DMM458826 DWI458818:DWI458826 EGE458818:EGE458826 EQA458818:EQA458826 EZW458818:EZW458826 FJS458818:FJS458826 FTO458818:FTO458826 GDK458818:GDK458826 GNG458818:GNG458826 GXC458818:GXC458826 HGY458818:HGY458826 HQU458818:HQU458826 IAQ458818:IAQ458826 IKM458818:IKM458826 IUI458818:IUI458826 JEE458818:JEE458826 JOA458818:JOA458826 JXW458818:JXW458826 KHS458818:KHS458826 KRO458818:KRO458826 LBK458818:LBK458826 LLG458818:LLG458826 LVC458818:LVC458826 MEY458818:MEY458826 MOU458818:MOU458826 MYQ458818:MYQ458826 NIM458818:NIM458826 NSI458818:NSI458826 OCE458818:OCE458826 OMA458818:OMA458826 OVW458818:OVW458826 PFS458818:PFS458826 PPO458818:PPO458826 PZK458818:PZK458826 QJG458818:QJG458826 QTC458818:QTC458826 RCY458818:RCY458826 RMU458818:RMU458826 RWQ458818:RWQ458826 SGM458818:SGM458826 SQI458818:SQI458826 TAE458818:TAE458826 TKA458818:TKA458826 TTW458818:TTW458826 UDS458818:UDS458826 UNO458818:UNO458826 UXK458818:UXK458826 VHG458818:VHG458826 VRC458818:VRC458826 WAY458818:WAY458826 WKU458818:WKU458826 WUQ458818:WUQ458826 IE524354:IE524362 SA524354:SA524362 ABW524354:ABW524362 ALS524354:ALS524362 AVO524354:AVO524362 BFK524354:BFK524362 BPG524354:BPG524362 BZC524354:BZC524362 CIY524354:CIY524362 CSU524354:CSU524362 DCQ524354:DCQ524362 DMM524354:DMM524362 DWI524354:DWI524362 EGE524354:EGE524362 EQA524354:EQA524362 EZW524354:EZW524362 FJS524354:FJS524362 FTO524354:FTO524362 GDK524354:GDK524362 GNG524354:GNG524362 GXC524354:GXC524362 HGY524354:HGY524362 HQU524354:HQU524362 IAQ524354:IAQ524362 IKM524354:IKM524362 IUI524354:IUI524362 JEE524354:JEE524362 JOA524354:JOA524362 JXW524354:JXW524362 KHS524354:KHS524362 KRO524354:KRO524362 LBK524354:LBK524362 LLG524354:LLG524362 LVC524354:LVC524362 MEY524354:MEY524362 MOU524354:MOU524362 MYQ524354:MYQ524362 NIM524354:NIM524362 NSI524354:NSI524362 OCE524354:OCE524362 OMA524354:OMA524362 OVW524354:OVW524362 PFS524354:PFS524362 PPO524354:PPO524362 PZK524354:PZK524362 QJG524354:QJG524362 QTC524354:QTC524362 RCY524354:RCY524362 RMU524354:RMU524362 RWQ524354:RWQ524362 SGM524354:SGM524362 SQI524354:SQI524362 TAE524354:TAE524362 TKA524354:TKA524362 TTW524354:TTW524362 UDS524354:UDS524362 UNO524354:UNO524362 UXK524354:UXK524362 VHG524354:VHG524362 VRC524354:VRC524362 WAY524354:WAY524362 WKU524354:WKU524362 WUQ524354:WUQ524362 IE589890:IE589898 SA589890:SA589898 ABW589890:ABW589898 ALS589890:ALS589898 AVO589890:AVO589898 BFK589890:BFK589898 BPG589890:BPG589898 BZC589890:BZC589898 CIY589890:CIY589898 CSU589890:CSU589898 DCQ589890:DCQ589898 DMM589890:DMM589898 DWI589890:DWI589898 EGE589890:EGE589898 EQA589890:EQA589898 EZW589890:EZW589898 FJS589890:FJS589898 FTO589890:FTO589898 GDK589890:GDK589898 GNG589890:GNG589898 GXC589890:GXC589898 HGY589890:HGY589898 HQU589890:HQU589898 IAQ589890:IAQ589898 IKM589890:IKM589898 IUI589890:IUI589898 JEE589890:JEE589898 JOA589890:JOA589898 JXW589890:JXW589898 KHS589890:KHS589898 KRO589890:KRO589898 LBK589890:LBK589898 LLG589890:LLG589898 LVC589890:LVC589898 MEY589890:MEY589898 MOU589890:MOU589898 MYQ589890:MYQ589898 NIM589890:NIM589898 NSI589890:NSI589898 OCE589890:OCE589898 OMA589890:OMA589898 OVW589890:OVW589898 PFS589890:PFS589898 PPO589890:PPO589898 PZK589890:PZK589898 QJG589890:QJG589898 QTC589890:QTC589898 RCY589890:RCY589898 RMU589890:RMU589898 RWQ589890:RWQ589898 SGM589890:SGM589898 SQI589890:SQI589898 TAE589890:TAE589898 TKA589890:TKA589898 TTW589890:TTW589898 UDS589890:UDS589898 UNO589890:UNO589898 UXK589890:UXK589898 VHG589890:VHG589898 VRC589890:VRC589898 WAY589890:WAY589898 WKU589890:WKU589898 WUQ589890:WUQ589898 IE655426:IE655434 SA655426:SA655434 ABW655426:ABW655434 ALS655426:ALS655434 AVO655426:AVO655434 BFK655426:BFK655434 BPG655426:BPG655434 BZC655426:BZC655434 CIY655426:CIY655434 CSU655426:CSU655434 DCQ655426:DCQ655434 DMM655426:DMM655434 DWI655426:DWI655434 EGE655426:EGE655434 EQA655426:EQA655434 EZW655426:EZW655434 FJS655426:FJS655434 FTO655426:FTO655434 GDK655426:GDK655434 GNG655426:GNG655434 GXC655426:GXC655434 HGY655426:HGY655434 HQU655426:HQU655434 IAQ655426:IAQ655434 IKM655426:IKM655434 IUI655426:IUI655434 JEE655426:JEE655434 JOA655426:JOA655434 JXW655426:JXW655434 KHS655426:KHS655434 KRO655426:KRO655434 LBK655426:LBK655434 LLG655426:LLG655434 LVC655426:LVC655434 MEY655426:MEY655434 MOU655426:MOU655434 MYQ655426:MYQ655434 NIM655426:NIM655434 NSI655426:NSI655434 OCE655426:OCE655434 OMA655426:OMA655434 OVW655426:OVW655434 PFS655426:PFS655434 PPO655426:PPO655434 PZK655426:PZK655434 QJG655426:QJG655434 QTC655426:QTC655434 RCY655426:RCY655434 RMU655426:RMU655434 RWQ655426:RWQ655434 SGM655426:SGM655434 SQI655426:SQI655434 TAE655426:TAE655434 TKA655426:TKA655434 TTW655426:TTW655434 UDS655426:UDS655434 UNO655426:UNO655434 UXK655426:UXK655434 VHG655426:VHG655434 VRC655426:VRC655434 WAY655426:WAY655434 WKU655426:WKU655434 WUQ655426:WUQ655434 IE720962:IE720970 SA720962:SA720970 ABW720962:ABW720970 ALS720962:ALS720970 AVO720962:AVO720970 BFK720962:BFK720970 BPG720962:BPG720970 BZC720962:BZC720970 CIY720962:CIY720970 CSU720962:CSU720970 DCQ720962:DCQ720970 DMM720962:DMM720970 DWI720962:DWI720970 EGE720962:EGE720970 EQA720962:EQA720970 EZW720962:EZW720970 FJS720962:FJS720970 FTO720962:FTO720970 GDK720962:GDK720970 GNG720962:GNG720970 GXC720962:GXC720970 HGY720962:HGY720970 HQU720962:HQU720970 IAQ720962:IAQ720970 IKM720962:IKM720970 IUI720962:IUI720970 JEE720962:JEE720970 JOA720962:JOA720970 JXW720962:JXW720970 KHS720962:KHS720970 KRO720962:KRO720970 LBK720962:LBK720970 LLG720962:LLG720970 LVC720962:LVC720970 MEY720962:MEY720970 MOU720962:MOU720970 MYQ720962:MYQ720970 NIM720962:NIM720970 NSI720962:NSI720970 OCE720962:OCE720970 OMA720962:OMA720970 OVW720962:OVW720970 PFS720962:PFS720970 PPO720962:PPO720970 PZK720962:PZK720970 QJG720962:QJG720970 QTC720962:QTC720970 RCY720962:RCY720970 RMU720962:RMU720970 RWQ720962:RWQ720970 SGM720962:SGM720970 SQI720962:SQI720970 TAE720962:TAE720970 TKA720962:TKA720970 TTW720962:TTW720970 UDS720962:UDS720970 UNO720962:UNO720970 UXK720962:UXK720970 VHG720962:VHG720970 VRC720962:VRC720970 WAY720962:WAY720970 WKU720962:WKU720970 WUQ720962:WUQ720970 IE786498:IE786506 SA786498:SA786506 ABW786498:ABW786506 ALS786498:ALS786506 AVO786498:AVO786506 BFK786498:BFK786506 BPG786498:BPG786506 BZC786498:BZC786506 CIY786498:CIY786506 CSU786498:CSU786506 DCQ786498:DCQ786506 DMM786498:DMM786506 DWI786498:DWI786506 EGE786498:EGE786506 EQA786498:EQA786506 EZW786498:EZW786506 FJS786498:FJS786506 FTO786498:FTO786506 GDK786498:GDK786506 GNG786498:GNG786506 GXC786498:GXC786506 HGY786498:HGY786506 HQU786498:HQU786506 IAQ786498:IAQ786506 IKM786498:IKM786506 IUI786498:IUI786506 JEE786498:JEE786506 JOA786498:JOA786506 JXW786498:JXW786506 KHS786498:KHS786506 KRO786498:KRO786506 LBK786498:LBK786506 LLG786498:LLG786506 LVC786498:LVC786506 MEY786498:MEY786506 MOU786498:MOU786506 MYQ786498:MYQ786506 NIM786498:NIM786506 NSI786498:NSI786506 OCE786498:OCE786506 OMA786498:OMA786506 OVW786498:OVW786506 PFS786498:PFS786506 PPO786498:PPO786506 PZK786498:PZK786506 QJG786498:QJG786506 QTC786498:QTC786506 RCY786498:RCY786506 RMU786498:RMU786506 RWQ786498:RWQ786506 SGM786498:SGM786506 SQI786498:SQI786506 TAE786498:TAE786506 TKA786498:TKA786506 TTW786498:TTW786506 UDS786498:UDS786506 UNO786498:UNO786506 UXK786498:UXK786506 VHG786498:VHG786506 VRC786498:VRC786506 WAY786498:WAY786506 WKU786498:WKU786506 WUQ786498:WUQ786506 IE852034:IE852042 SA852034:SA852042 ABW852034:ABW852042 ALS852034:ALS852042 AVO852034:AVO852042 BFK852034:BFK852042 BPG852034:BPG852042 BZC852034:BZC852042 CIY852034:CIY852042 CSU852034:CSU852042 DCQ852034:DCQ852042 DMM852034:DMM852042 DWI852034:DWI852042 EGE852034:EGE852042 EQA852034:EQA852042 EZW852034:EZW852042 FJS852034:FJS852042 FTO852034:FTO852042 GDK852034:GDK852042 GNG852034:GNG852042 GXC852034:GXC852042 HGY852034:HGY852042 HQU852034:HQU852042 IAQ852034:IAQ852042 IKM852034:IKM852042 IUI852034:IUI852042 JEE852034:JEE852042 JOA852034:JOA852042 JXW852034:JXW852042 KHS852034:KHS852042 KRO852034:KRO852042 LBK852034:LBK852042 LLG852034:LLG852042 LVC852034:LVC852042 MEY852034:MEY852042 MOU852034:MOU852042 MYQ852034:MYQ852042 NIM852034:NIM852042 NSI852034:NSI852042 OCE852034:OCE852042 OMA852034:OMA852042 OVW852034:OVW852042 PFS852034:PFS852042 PPO852034:PPO852042 PZK852034:PZK852042 QJG852034:QJG852042 QTC852034:QTC852042 RCY852034:RCY852042 RMU852034:RMU852042 RWQ852034:RWQ852042 SGM852034:SGM852042 SQI852034:SQI852042 TAE852034:TAE852042 TKA852034:TKA852042 TTW852034:TTW852042 UDS852034:UDS852042 UNO852034:UNO852042 UXK852034:UXK852042 VHG852034:VHG852042 VRC852034:VRC852042 WAY852034:WAY852042 WKU852034:WKU852042 WUQ852034:WUQ852042 IE917570:IE917578 SA917570:SA917578 ABW917570:ABW917578 ALS917570:ALS917578 AVO917570:AVO917578 BFK917570:BFK917578 BPG917570:BPG917578 BZC917570:BZC917578 CIY917570:CIY917578 CSU917570:CSU917578 DCQ917570:DCQ917578 DMM917570:DMM917578 DWI917570:DWI917578 EGE917570:EGE917578 EQA917570:EQA917578 EZW917570:EZW917578 FJS917570:FJS917578 FTO917570:FTO917578 GDK917570:GDK917578 GNG917570:GNG917578 GXC917570:GXC917578 HGY917570:HGY917578 HQU917570:HQU917578 IAQ917570:IAQ917578 IKM917570:IKM917578 IUI917570:IUI917578 JEE917570:JEE917578 JOA917570:JOA917578 JXW917570:JXW917578 KHS917570:KHS917578 KRO917570:KRO917578 LBK917570:LBK917578 LLG917570:LLG917578 LVC917570:LVC917578 MEY917570:MEY917578 MOU917570:MOU917578 MYQ917570:MYQ917578 NIM917570:NIM917578 NSI917570:NSI917578 OCE917570:OCE917578 OMA917570:OMA917578 OVW917570:OVW917578 PFS917570:PFS917578 PPO917570:PPO917578 PZK917570:PZK917578 QJG917570:QJG917578 QTC917570:QTC917578 RCY917570:RCY917578 RMU917570:RMU917578 RWQ917570:RWQ917578 SGM917570:SGM917578 SQI917570:SQI917578 TAE917570:TAE917578 TKA917570:TKA917578 TTW917570:TTW917578 UDS917570:UDS917578 UNO917570:UNO917578 UXK917570:UXK917578 VHG917570:VHG917578 VRC917570:VRC917578 WAY917570:WAY917578 WKU917570:WKU917578 WUQ917570:WUQ917578 IE983106:IE983114 SA983106:SA983114 ABW983106:ABW983114 ALS983106:ALS983114 AVO983106:AVO983114 BFK983106:BFK983114 BPG983106:BPG983114 BZC983106:BZC983114 CIY983106:CIY983114 CSU983106:CSU983114 DCQ983106:DCQ983114 DMM983106:DMM983114 DWI983106:DWI983114 EGE983106:EGE983114 EQA983106:EQA983114 EZW983106:EZW983114 FJS983106:FJS983114 FTO983106:FTO983114 GDK983106:GDK983114 GNG983106:GNG983114 GXC983106:GXC983114 HGY983106:HGY983114 HQU983106:HQU983114 IAQ983106:IAQ983114 IKM983106:IKM983114 IUI983106:IUI983114 JEE983106:JEE983114 JOA983106:JOA983114 JXW983106:JXW983114 KHS983106:KHS983114 KRO983106:KRO983114 LBK983106:LBK983114 LLG983106:LLG983114 LVC983106:LVC983114 MEY983106:MEY983114 MOU983106:MOU983114 MYQ983106:MYQ983114 NIM983106:NIM983114 NSI983106:NSI983114 OCE983106:OCE983114 OMA983106:OMA983114 OVW983106:OVW983114 PFS983106:PFS983114 PPO983106:PPO983114 PZK983106:PZK983114 QJG983106:QJG983114 QTC983106:QTC983114 RCY983106:RCY983114 RMU983106:RMU983114 RWQ983106:RWQ983114 SGM983106:SGM983114 SQI983106:SQI983114 TAE983106:TAE983114 TKA983106:TKA983114 TTW983106:TTW983114 UDS983106:UDS983114 UNO983106:UNO983114 UXK983106:UXK983114 VHG983106:VHG983114 VRC983106:VRC983114 WAY983106:WAY983114 WKU983106:WKU983114 WUQ983106:WUQ983114 E11:E27" xr:uid="{00000000-0002-0000-0300-000003000000}"/>
    <dataValidation allowBlank="1" showInputMessage="1" showErrorMessage="1" prompt="definir la unidad de medida con la cual se asigna el valor unitario." sqref="WUP983106:WUP983114 ID11:ID51 RZ11:RZ51 ABV11:ABV51 ALR11:ALR51 AVN11:AVN51 BFJ11:BFJ51 BPF11:BPF51 BZB11:BZB51 CIX11:CIX51 CST11:CST51 DCP11:DCP51 DML11:DML51 DWH11:DWH51 EGD11:EGD51 EPZ11:EPZ51 EZV11:EZV51 FJR11:FJR51 FTN11:FTN51 GDJ11:GDJ51 GNF11:GNF51 GXB11:GXB51 HGX11:HGX51 HQT11:HQT51 IAP11:IAP51 IKL11:IKL51 IUH11:IUH51 JED11:JED51 JNZ11:JNZ51 JXV11:JXV51 KHR11:KHR51 KRN11:KRN51 LBJ11:LBJ51 LLF11:LLF51 LVB11:LVB51 MEX11:MEX51 MOT11:MOT51 MYP11:MYP51 NIL11:NIL51 NSH11:NSH51 OCD11:OCD51 OLZ11:OLZ51 OVV11:OVV51 PFR11:PFR51 PPN11:PPN51 PZJ11:PZJ51 QJF11:QJF51 QTB11:QTB51 RCX11:RCX51 RMT11:RMT51 RWP11:RWP51 SGL11:SGL51 SQH11:SQH51 TAD11:TAD51 TJZ11:TJZ51 TTV11:TTV51 UDR11:UDR51 UNN11:UNN51 UXJ11:UXJ51 VHF11:VHF51 VRB11:VRB51 WAX11:WAX51 WKT11:WKT51 WUP11:WUP51 D65591:D65599 ID65591:ID65599 RZ65591:RZ65599 ABV65591:ABV65599 ALR65591:ALR65599 AVN65591:AVN65599 BFJ65591:BFJ65599 BPF65591:BPF65599 BZB65591:BZB65599 CIX65591:CIX65599 CST65591:CST65599 DCP65591:DCP65599 DML65591:DML65599 DWH65591:DWH65599 EGD65591:EGD65599 EPZ65591:EPZ65599 EZV65591:EZV65599 FJR65591:FJR65599 FTN65591:FTN65599 GDJ65591:GDJ65599 GNF65591:GNF65599 GXB65591:GXB65599 HGX65591:HGX65599 HQT65591:HQT65599 IAP65591:IAP65599 IKL65591:IKL65599 IUH65591:IUH65599 JED65591:JED65599 JNZ65591:JNZ65599 JXV65591:JXV65599 KHR65591:KHR65599 KRN65591:KRN65599 LBJ65591:LBJ65599 LLF65591:LLF65599 LVB65591:LVB65599 MEX65591:MEX65599 MOT65591:MOT65599 MYP65591:MYP65599 NIL65591:NIL65599 NSH65591:NSH65599 OCD65591:OCD65599 OLZ65591:OLZ65599 OVV65591:OVV65599 PFR65591:PFR65599 PPN65591:PPN65599 PZJ65591:PZJ65599 QJF65591:QJF65599 QTB65591:QTB65599 RCX65591:RCX65599 RMT65591:RMT65599 RWP65591:RWP65599 SGL65591:SGL65599 SQH65591:SQH65599 TAD65591:TAD65599 TJZ65591:TJZ65599 TTV65591:TTV65599 UDR65591:UDR65599 UNN65591:UNN65599 UXJ65591:UXJ65599 VHF65591:VHF65599 VRB65591:VRB65599 WAX65591:WAX65599 WKT65591:WKT65599 WUP65591:WUP65599 D131127:D131135 ID131127:ID131135 RZ131127:RZ131135 ABV131127:ABV131135 ALR131127:ALR131135 AVN131127:AVN131135 BFJ131127:BFJ131135 BPF131127:BPF131135 BZB131127:BZB131135 CIX131127:CIX131135 CST131127:CST131135 DCP131127:DCP131135 DML131127:DML131135 DWH131127:DWH131135 EGD131127:EGD131135 EPZ131127:EPZ131135 EZV131127:EZV131135 FJR131127:FJR131135 FTN131127:FTN131135 GDJ131127:GDJ131135 GNF131127:GNF131135 GXB131127:GXB131135 HGX131127:HGX131135 HQT131127:HQT131135 IAP131127:IAP131135 IKL131127:IKL131135 IUH131127:IUH131135 JED131127:JED131135 JNZ131127:JNZ131135 JXV131127:JXV131135 KHR131127:KHR131135 KRN131127:KRN131135 LBJ131127:LBJ131135 LLF131127:LLF131135 LVB131127:LVB131135 MEX131127:MEX131135 MOT131127:MOT131135 MYP131127:MYP131135 NIL131127:NIL131135 NSH131127:NSH131135 OCD131127:OCD131135 OLZ131127:OLZ131135 OVV131127:OVV131135 PFR131127:PFR131135 PPN131127:PPN131135 PZJ131127:PZJ131135 QJF131127:QJF131135 QTB131127:QTB131135 RCX131127:RCX131135 RMT131127:RMT131135 RWP131127:RWP131135 SGL131127:SGL131135 SQH131127:SQH131135 TAD131127:TAD131135 TJZ131127:TJZ131135 TTV131127:TTV131135 UDR131127:UDR131135 UNN131127:UNN131135 UXJ131127:UXJ131135 VHF131127:VHF131135 VRB131127:VRB131135 WAX131127:WAX131135 WKT131127:WKT131135 WUP131127:WUP131135 D196663:D196671 ID196663:ID196671 RZ196663:RZ196671 ABV196663:ABV196671 ALR196663:ALR196671 AVN196663:AVN196671 BFJ196663:BFJ196671 BPF196663:BPF196671 BZB196663:BZB196671 CIX196663:CIX196671 CST196663:CST196671 DCP196663:DCP196671 DML196663:DML196671 DWH196663:DWH196671 EGD196663:EGD196671 EPZ196663:EPZ196671 EZV196663:EZV196671 FJR196663:FJR196671 FTN196663:FTN196671 GDJ196663:GDJ196671 GNF196663:GNF196671 GXB196663:GXB196671 HGX196663:HGX196671 HQT196663:HQT196671 IAP196663:IAP196671 IKL196663:IKL196671 IUH196663:IUH196671 JED196663:JED196671 JNZ196663:JNZ196671 JXV196663:JXV196671 KHR196663:KHR196671 KRN196663:KRN196671 LBJ196663:LBJ196671 LLF196663:LLF196671 LVB196663:LVB196671 MEX196663:MEX196671 MOT196663:MOT196671 MYP196663:MYP196671 NIL196663:NIL196671 NSH196663:NSH196671 OCD196663:OCD196671 OLZ196663:OLZ196671 OVV196663:OVV196671 PFR196663:PFR196671 PPN196663:PPN196671 PZJ196663:PZJ196671 QJF196663:QJF196671 QTB196663:QTB196671 RCX196663:RCX196671 RMT196663:RMT196671 RWP196663:RWP196671 SGL196663:SGL196671 SQH196663:SQH196671 TAD196663:TAD196671 TJZ196663:TJZ196671 TTV196663:TTV196671 UDR196663:UDR196671 UNN196663:UNN196671 UXJ196663:UXJ196671 VHF196663:VHF196671 VRB196663:VRB196671 WAX196663:WAX196671 WKT196663:WKT196671 WUP196663:WUP196671 D262199:D262207 ID262199:ID262207 RZ262199:RZ262207 ABV262199:ABV262207 ALR262199:ALR262207 AVN262199:AVN262207 BFJ262199:BFJ262207 BPF262199:BPF262207 BZB262199:BZB262207 CIX262199:CIX262207 CST262199:CST262207 DCP262199:DCP262207 DML262199:DML262207 DWH262199:DWH262207 EGD262199:EGD262207 EPZ262199:EPZ262207 EZV262199:EZV262207 FJR262199:FJR262207 FTN262199:FTN262207 GDJ262199:GDJ262207 GNF262199:GNF262207 GXB262199:GXB262207 HGX262199:HGX262207 HQT262199:HQT262207 IAP262199:IAP262207 IKL262199:IKL262207 IUH262199:IUH262207 JED262199:JED262207 JNZ262199:JNZ262207 JXV262199:JXV262207 KHR262199:KHR262207 KRN262199:KRN262207 LBJ262199:LBJ262207 LLF262199:LLF262207 LVB262199:LVB262207 MEX262199:MEX262207 MOT262199:MOT262207 MYP262199:MYP262207 NIL262199:NIL262207 NSH262199:NSH262207 OCD262199:OCD262207 OLZ262199:OLZ262207 OVV262199:OVV262207 PFR262199:PFR262207 PPN262199:PPN262207 PZJ262199:PZJ262207 QJF262199:QJF262207 QTB262199:QTB262207 RCX262199:RCX262207 RMT262199:RMT262207 RWP262199:RWP262207 SGL262199:SGL262207 SQH262199:SQH262207 TAD262199:TAD262207 TJZ262199:TJZ262207 TTV262199:TTV262207 UDR262199:UDR262207 UNN262199:UNN262207 UXJ262199:UXJ262207 VHF262199:VHF262207 VRB262199:VRB262207 WAX262199:WAX262207 WKT262199:WKT262207 WUP262199:WUP262207 D327735:D327743 ID327735:ID327743 RZ327735:RZ327743 ABV327735:ABV327743 ALR327735:ALR327743 AVN327735:AVN327743 BFJ327735:BFJ327743 BPF327735:BPF327743 BZB327735:BZB327743 CIX327735:CIX327743 CST327735:CST327743 DCP327735:DCP327743 DML327735:DML327743 DWH327735:DWH327743 EGD327735:EGD327743 EPZ327735:EPZ327743 EZV327735:EZV327743 FJR327735:FJR327743 FTN327735:FTN327743 GDJ327735:GDJ327743 GNF327735:GNF327743 GXB327735:GXB327743 HGX327735:HGX327743 HQT327735:HQT327743 IAP327735:IAP327743 IKL327735:IKL327743 IUH327735:IUH327743 JED327735:JED327743 JNZ327735:JNZ327743 JXV327735:JXV327743 KHR327735:KHR327743 KRN327735:KRN327743 LBJ327735:LBJ327743 LLF327735:LLF327743 LVB327735:LVB327743 MEX327735:MEX327743 MOT327735:MOT327743 MYP327735:MYP327743 NIL327735:NIL327743 NSH327735:NSH327743 OCD327735:OCD327743 OLZ327735:OLZ327743 OVV327735:OVV327743 PFR327735:PFR327743 PPN327735:PPN327743 PZJ327735:PZJ327743 QJF327735:QJF327743 QTB327735:QTB327743 RCX327735:RCX327743 RMT327735:RMT327743 RWP327735:RWP327743 SGL327735:SGL327743 SQH327735:SQH327743 TAD327735:TAD327743 TJZ327735:TJZ327743 TTV327735:TTV327743 UDR327735:UDR327743 UNN327735:UNN327743 UXJ327735:UXJ327743 VHF327735:VHF327743 VRB327735:VRB327743 WAX327735:WAX327743 WKT327735:WKT327743 WUP327735:WUP327743 D393271:D393279 ID393271:ID393279 RZ393271:RZ393279 ABV393271:ABV393279 ALR393271:ALR393279 AVN393271:AVN393279 BFJ393271:BFJ393279 BPF393271:BPF393279 BZB393271:BZB393279 CIX393271:CIX393279 CST393271:CST393279 DCP393271:DCP393279 DML393271:DML393279 DWH393271:DWH393279 EGD393271:EGD393279 EPZ393271:EPZ393279 EZV393271:EZV393279 FJR393271:FJR393279 FTN393271:FTN393279 GDJ393271:GDJ393279 GNF393271:GNF393279 GXB393271:GXB393279 HGX393271:HGX393279 HQT393271:HQT393279 IAP393271:IAP393279 IKL393271:IKL393279 IUH393271:IUH393279 JED393271:JED393279 JNZ393271:JNZ393279 JXV393271:JXV393279 KHR393271:KHR393279 KRN393271:KRN393279 LBJ393271:LBJ393279 LLF393271:LLF393279 LVB393271:LVB393279 MEX393271:MEX393279 MOT393271:MOT393279 MYP393271:MYP393279 NIL393271:NIL393279 NSH393271:NSH393279 OCD393271:OCD393279 OLZ393271:OLZ393279 OVV393271:OVV393279 PFR393271:PFR393279 PPN393271:PPN393279 PZJ393271:PZJ393279 QJF393271:QJF393279 QTB393271:QTB393279 RCX393271:RCX393279 RMT393271:RMT393279 RWP393271:RWP393279 SGL393271:SGL393279 SQH393271:SQH393279 TAD393271:TAD393279 TJZ393271:TJZ393279 TTV393271:TTV393279 UDR393271:UDR393279 UNN393271:UNN393279 UXJ393271:UXJ393279 VHF393271:VHF393279 VRB393271:VRB393279 WAX393271:WAX393279 WKT393271:WKT393279 WUP393271:WUP393279 D458807:D458815 ID458807:ID458815 RZ458807:RZ458815 ABV458807:ABV458815 ALR458807:ALR458815 AVN458807:AVN458815 BFJ458807:BFJ458815 BPF458807:BPF458815 BZB458807:BZB458815 CIX458807:CIX458815 CST458807:CST458815 DCP458807:DCP458815 DML458807:DML458815 DWH458807:DWH458815 EGD458807:EGD458815 EPZ458807:EPZ458815 EZV458807:EZV458815 FJR458807:FJR458815 FTN458807:FTN458815 GDJ458807:GDJ458815 GNF458807:GNF458815 GXB458807:GXB458815 HGX458807:HGX458815 HQT458807:HQT458815 IAP458807:IAP458815 IKL458807:IKL458815 IUH458807:IUH458815 JED458807:JED458815 JNZ458807:JNZ458815 JXV458807:JXV458815 KHR458807:KHR458815 KRN458807:KRN458815 LBJ458807:LBJ458815 LLF458807:LLF458815 LVB458807:LVB458815 MEX458807:MEX458815 MOT458807:MOT458815 MYP458807:MYP458815 NIL458807:NIL458815 NSH458807:NSH458815 OCD458807:OCD458815 OLZ458807:OLZ458815 OVV458807:OVV458815 PFR458807:PFR458815 PPN458807:PPN458815 PZJ458807:PZJ458815 QJF458807:QJF458815 QTB458807:QTB458815 RCX458807:RCX458815 RMT458807:RMT458815 RWP458807:RWP458815 SGL458807:SGL458815 SQH458807:SQH458815 TAD458807:TAD458815 TJZ458807:TJZ458815 TTV458807:TTV458815 UDR458807:UDR458815 UNN458807:UNN458815 UXJ458807:UXJ458815 VHF458807:VHF458815 VRB458807:VRB458815 WAX458807:WAX458815 WKT458807:WKT458815 WUP458807:WUP458815 D524343:D524351 ID524343:ID524351 RZ524343:RZ524351 ABV524343:ABV524351 ALR524343:ALR524351 AVN524343:AVN524351 BFJ524343:BFJ524351 BPF524343:BPF524351 BZB524343:BZB524351 CIX524343:CIX524351 CST524343:CST524351 DCP524343:DCP524351 DML524343:DML524351 DWH524343:DWH524351 EGD524343:EGD524351 EPZ524343:EPZ524351 EZV524343:EZV524351 FJR524343:FJR524351 FTN524343:FTN524351 GDJ524343:GDJ524351 GNF524343:GNF524351 GXB524343:GXB524351 HGX524343:HGX524351 HQT524343:HQT524351 IAP524343:IAP524351 IKL524343:IKL524351 IUH524343:IUH524351 JED524343:JED524351 JNZ524343:JNZ524351 JXV524343:JXV524351 KHR524343:KHR524351 KRN524343:KRN524351 LBJ524343:LBJ524351 LLF524343:LLF524351 LVB524343:LVB524351 MEX524343:MEX524351 MOT524343:MOT524351 MYP524343:MYP524351 NIL524343:NIL524351 NSH524343:NSH524351 OCD524343:OCD524351 OLZ524343:OLZ524351 OVV524343:OVV524351 PFR524343:PFR524351 PPN524343:PPN524351 PZJ524343:PZJ524351 QJF524343:QJF524351 QTB524343:QTB524351 RCX524343:RCX524351 RMT524343:RMT524351 RWP524343:RWP524351 SGL524343:SGL524351 SQH524343:SQH524351 TAD524343:TAD524351 TJZ524343:TJZ524351 TTV524343:TTV524351 UDR524343:UDR524351 UNN524343:UNN524351 UXJ524343:UXJ524351 VHF524343:VHF524351 VRB524343:VRB524351 WAX524343:WAX524351 WKT524343:WKT524351 WUP524343:WUP524351 D589879:D589887 ID589879:ID589887 RZ589879:RZ589887 ABV589879:ABV589887 ALR589879:ALR589887 AVN589879:AVN589887 BFJ589879:BFJ589887 BPF589879:BPF589887 BZB589879:BZB589887 CIX589879:CIX589887 CST589879:CST589887 DCP589879:DCP589887 DML589879:DML589887 DWH589879:DWH589887 EGD589879:EGD589887 EPZ589879:EPZ589887 EZV589879:EZV589887 FJR589879:FJR589887 FTN589879:FTN589887 GDJ589879:GDJ589887 GNF589879:GNF589887 GXB589879:GXB589887 HGX589879:HGX589887 HQT589879:HQT589887 IAP589879:IAP589887 IKL589879:IKL589887 IUH589879:IUH589887 JED589879:JED589887 JNZ589879:JNZ589887 JXV589879:JXV589887 KHR589879:KHR589887 KRN589879:KRN589887 LBJ589879:LBJ589887 LLF589879:LLF589887 LVB589879:LVB589887 MEX589879:MEX589887 MOT589879:MOT589887 MYP589879:MYP589887 NIL589879:NIL589887 NSH589879:NSH589887 OCD589879:OCD589887 OLZ589879:OLZ589887 OVV589879:OVV589887 PFR589879:PFR589887 PPN589879:PPN589887 PZJ589879:PZJ589887 QJF589879:QJF589887 QTB589879:QTB589887 RCX589879:RCX589887 RMT589879:RMT589887 RWP589879:RWP589887 SGL589879:SGL589887 SQH589879:SQH589887 TAD589879:TAD589887 TJZ589879:TJZ589887 TTV589879:TTV589887 UDR589879:UDR589887 UNN589879:UNN589887 UXJ589879:UXJ589887 VHF589879:VHF589887 VRB589879:VRB589887 WAX589879:WAX589887 WKT589879:WKT589887 WUP589879:WUP589887 D655415:D655423 ID655415:ID655423 RZ655415:RZ655423 ABV655415:ABV655423 ALR655415:ALR655423 AVN655415:AVN655423 BFJ655415:BFJ655423 BPF655415:BPF655423 BZB655415:BZB655423 CIX655415:CIX655423 CST655415:CST655423 DCP655415:DCP655423 DML655415:DML655423 DWH655415:DWH655423 EGD655415:EGD655423 EPZ655415:EPZ655423 EZV655415:EZV655423 FJR655415:FJR655423 FTN655415:FTN655423 GDJ655415:GDJ655423 GNF655415:GNF655423 GXB655415:GXB655423 HGX655415:HGX655423 HQT655415:HQT655423 IAP655415:IAP655423 IKL655415:IKL655423 IUH655415:IUH655423 JED655415:JED655423 JNZ655415:JNZ655423 JXV655415:JXV655423 KHR655415:KHR655423 KRN655415:KRN655423 LBJ655415:LBJ655423 LLF655415:LLF655423 LVB655415:LVB655423 MEX655415:MEX655423 MOT655415:MOT655423 MYP655415:MYP655423 NIL655415:NIL655423 NSH655415:NSH655423 OCD655415:OCD655423 OLZ655415:OLZ655423 OVV655415:OVV655423 PFR655415:PFR655423 PPN655415:PPN655423 PZJ655415:PZJ655423 QJF655415:QJF655423 QTB655415:QTB655423 RCX655415:RCX655423 RMT655415:RMT655423 RWP655415:RWP655423 SGL655415:SGL655423 SQH655415:SQH655423 TAD655415:TAD655423 TJZ655415:TJZ655423 TTV655415:TTV655423 UDR655415:UDR655423 UNN655415:UNN655423 UXJ655415:UXJ655423 VHF655415:VHF655423 VRB655415:VRB655423 WAX655415:WAX655423 WKT655415:WKT655423 WUP655415:WUP655423 D720951:D720959 ID720951:ID720959 RZ720951:RZ720959 ABV720951:ABV720959 ALR720951:ALR720959 AVN720951:AVN720959 BFJ720951:BFJ720959 BPF720951:BPF720959 BZB720951:BZB720959 CIX720951:CIX720959 CST720951:CST720959 DCP720951:DCP720959 DML720951:DML720959 DWH720951:DWH720959 EGD720951:EGD720959 EPZ720951:EPZ720959 EZV720951:EZV720959 FJR720951:FJR720959 FTN720951:FTN720959 GDJ720951:GDJ720959 GNF720951:GNF720959 GXB720951:GXB720959 HGX720951:HGX720959 HQT720951:HQT720959 IAP720951:IAP720959 IKL720951:IKL720959 IUH720951:IUH720959 JED720951:JED720959 JNZ720951:JNZ720959 JXV720951:JXV720959 KHR720951:KHR720959 KRN720951:KRN720959 LBJ720951:LBJ720959 LLF720951:LLF720959 LVB720951:LVB720959 MEX720951:MEX720959 MOT720951:MOT720959 MYP720951:MYP720959 NIL720951:NIL720959 NSH720951:NSH720959 OCD720951:OCD720959 OLZ720951:OLZ720959 OVV720951:OVV720959 PFR720951:PFR720959 PPN720951:PPN720959 PZJ720951:PZJ720959 QJF720951:QJF720959 QTB720951:QTB720959 RCX720951:RCX720959 RMT720951:RMT720959 RWP720951:RWP720959 SGL720951:SGL720959 SQH720951:SQH720959 TAD720951:TAD720959 TJZ720951:TJZ720959 TTV720951:TTV720959 UDR720951:UDR720959 UNN720951:UNN720959 UXJ720951:UXJ720959 VHF720951:VHF720959 VRB720951:VRB720959 WAX720951:WAX720959 WKT720951:WKT720959 WUP720951:WUP720959 D786487:D786495 ID786487:ID786495 RZ786487:RZ786495 ABV786487:ABV786495 ALR786487:ALR786495 AVN786487:AVN786495 BFJ786487:BFJ786495 BPF786487:BPF786495 BZB786487:BZB786495 CIX786487:CIX786495 CST786487:CST786495 DCP786487:DCP786495 DML786487:DML786495 DWH786487:DWH786495 EGD786487:EGD786495 EPZ786487:EPZ786495 EZV786487:EZV786495 FJR786487:FJR786495 FTN786487:FTN786495 GDJ786487:GDJ786495 GNF786487:GNF786495 GXB786487:GXB786495 HGX786487:HGX786495 HQT786487:HQT786495 IAP786487:IAP786495 IKL786487:IKL786495 IUH786487:IUH786495 JED786487:JED786495 JNZ786487:JNZ786495 JXV786487:JXV786495 KHR786487:KHR786495 KRN786487:KRN786495 LBJ786487:LBJ786495 LLF786487:LLF786495 LVB786487:LVB786495 MEX786487:MEX786495 MOT786487:MOT786495 MYP786487:MYP786495 NIL786487:NIL786495 NSH786487:NSH786495 OCD786487:OCD786495 OLZ786487:OLZ786495 OVV786487:OVV786495 PFR786487:PFR786495 PPN786487:PPN786495 PZJ786487:PZJ786495 QJF786487:QJF786495 QTB786487:QTB786495 RCX786487:RCX786495 RMT786487:RMT786495 RWP786487:RWP786495 SGL786487:SGL786495 SQH786487:SQH786495 TAD786487:TAD786495 TJZ786487:TJZ786495 TTV786487:TTV786495 UDR786487:UDR786495 UNN786487:UNN786495 UXJ786487:UXJ786495 VHF786487:VHF786495 VRB786487:VRB786495 WAX786487:WAX786495 WKT786487:WKT786495 WUP786487:WUP786495 D852023:D852031 ID852023:ID852031 RZ852023:RZ852031 ABV852023:ABV852031 ALR852023:ALR852031 AVN852023:AVN852031 BFJ852023:BFJ852031 BPF852023:BPF852031 BZB852023:BZB852031 CIX852023:CIX852031 CST852023:CST852031 DCP852023:DCP852031 DML852023:DML852031 DWH852023:DWH852031 EGD852023:EGD852031 EPZ852023:EPZ852031 EZV852023:EZV852031 FJR852023:FJR852031 FTN852023:FTN852031 GDJ852023:GDJ852031 GNF852023:GNF852031 GXB852023:GXB852031 HGX852023:HGX852031 HQT852023:HQT852031 IAP852023:IAP852031 IKL852023:IKL852031 IUH852023:IUH852031 JED852023:JED852031 JNZ852023:JNZ852031 JXV852023:JXV852031 KHR852023:KHR852031 KRN852023:KRN852031 LBJ852023:LBJ852031 LLF852023:LLF852031 LVB852023:LVB852031 MEX852023:MEX852031 MOT852023:MOT852031 MYP852023:MYP852031 NIL852023:NIL852031 NSH852023:NSH852031 OCD852023:OCD852031 OLZ852023:OLZ852031 OVV852023:OVV852031 PFR852023:PFR852031 PPN852023:PPN852031 PZJ852023:PZJ852031 QJF852023:QJF852031 QTB852023:QTB852031 RCX852023:RCX852031 RMT852023:RMT852031 RWP852023:RWP852031 SGL852023:SGL852031 SQH852023:SQH852031 TAD852023:TAD852031 TJZ852023:TJZ852031 TTV852023:TTV852031 UDR852023:UDR852031 UNN852023:UNN852031 UXJ852023:UXJ852031 VHF852023:VHF852031 VRB852023:VRB852031 WAX852023:WAX852031 WKT852023:WKT852031 WUP852023:WUP852031 D917559:D917567 ID917559:ID917567 RZ917559:RZ917567 ABV917559:ABV917567 ALR917559:ALR917567 AVN917559:AVN917567 BFJ917559:BFJ917567 BPF917559:BPF917567 BZB917559:BZB917567 CIX917559:CIX917567 CST917559:CST917567 DCP917559:DCP917567 DML917559:DML917567 DWH917559:DWH917567 EGD917559:EGD917567 EPZ917559:EPZ917567 EZV917559:EZV917567 FJR917559:FJR917567 FTN917559:FTN917567 GDJ917559:GDJ917567 GNF917559:GNF917567 GXB917559:GXB917567 HGX917559:HGX917567 HQT917559:HQT917567 IAP917559:IAP917567 IKL917559:IKL917567 IUH917559:IUH917567 JED917559:JED917567 JNZ917559:JNZ917567 JXV917559:JXV917567 KHR917559:KHR917567 KRN917559:KRN917567 LBJ917559:LBJ917567 LLF917559:LLF917567 LVB917559:LVB917567 MEX917559:MEX917567 MOT917559:MOT917567 MYP917559:MYP917567 NIL917559:NIL917567 NSH917559:NSH917567 OCD917559:OCD917567 OLZ917559:OLZ917567 OVV917559:OVV917567 PFR917559:PFR917567 PPN917559:PPN917567 PZJ917559:PZJ917567 QJF917559:QJF917567 QTB917559:QTB917567 RCX917559:RCX917567 RMT917559:RMT917567 RWP917559:RWP917567 SGL917559:SGL917567 SQH917559:SQH917567 TAD917559:TAD917567 TJZ917559:TJZ917567 TTV917559:TTV917567 UDR917559:UDR917567 UNN917559:UNN917567 UXJ917559:UXJ917567 VHF917559:VHF917567 VRB917559:VRB917567 WAX917559:WAX917567 WKT917559:WKT917567 WUP917559:WUP917567 D983095:D983103 ID983095:ID983103 RZ983095:RZ983103 ABV983095:ABV983103 ALR983095:ALR983103 AVN983095:AVN983103 BFJ983095:BFJ983103 BPF983095:BPF983103 BZB983095:BZB983103 CIX983095:CIX983103 CST983095:CST983103 DCP983095:DCP983103 DML983095:DML983103 DWH983095:DWH983103 EGD983095:EGD983103 EPZ983095:EPZ983103 EZV983095:EZV983103 FJR983095:FJR983103 FTN983095:FTN983103 GDJ983095:GDJ983103 GNF983095:GNF983103 GXB983095:GXB983103 HGX983095:HGX983103 HQT983095:HQT983103 IAP983095:IAP983103 IKL983095:IKL983103 IUH983095:IUH983103 JED983095:JED983103 JNZ983095:JNZ983103 JXV983095:JXV983103 KHR983095:KHR983103 KRN983095:KRN983103 LBJ983095:LBJ983103 LLF983095:LLF983103 LVB983095:LVB983103 MEX983095:MEX983103 MOT983095:MOT983103 MYP983095:MYP983103 NIL983095:NIL983103 NSH983095:NSH983103 OCD983095:OCD983103 OLZ983095:OLZ983103 OVV983095:OVV983103 PFR983095:PFR983103 PPN983095:PPN983103 PZJ983095:PZJ983103 QJF983095:QJF983103 QTB983095:QTB983103 RCX983095:RCX983103 RMT983095:RMT983103 RWP983095:RWP983103 SGL983095:SGL983103 SQH983095:SQH983103 TAD983095:TAD983103 TJZ983095:TJZ983103 TTV983095:TTV983103 UDR983095:UDR983103 UNN983095:UNN983103 UXJ983095:UXJ983103 VHF983095:VHF983103 VRB983095:VRB983103 WAX983095:WAX983103 WKT983095:WKT983103 WUP983095:WUP983103 D11:D51 ID54:ID78 RZ54:RZ78 ABV54:ABV78 ALR54:ALR78 AVN54:AVN78 BFJ54:BFJ78 BPF54:BPF78 BZB54:BZB78 CIX54:CIX78 CST54:CST78 DCP54:DCP78 DML54:DML78 DWH54:DWH78 EGD54:EGD78 EPZ54:EPZ78 EZV54:EZV78 FJR54:FJR78 FTN54:FTN78 GDJ54:GDJ78 GNF54:GNF78 GXB54:GXB78 HGX54:HGX78 HQT54:HQT78 IAP54:IAP78 IKL54:IKL78 IUH54:IUH78 JED54:JED78 JNZ54:JNZ78 JXV54:JXV78 KHR54:KHR78 KRN54:KRN78 LBJ54:LBJ78 LLF54:LLF78 LVB54:LVB78 MEX54:MEX78 MOT54:MOT78 MYP54:MYP78 NIL54:NIL78 NSH54:NSH78 OCD54:OCD78 OLZ54:OLZ78 OVV54:OVV78 PFR54:PFR78 PPN54:PPN78 PZJ54:PZJ78 QJF54:QJF78 QTB54:QTB78 RCX54:RCX78 RMT54:RMT78 RWP54:RWP78 SGL54:SGL78 SQH54:SQH78 TAD54:TAD78 TJZ54:TJZ78 TTV54:TTV78 UDR54:UDR78 UNN54:UNN78 UXJ54:UXJ78 VHF54:VHF78 VRB54:VRB78 WAX54:WAX78 WKT54:WKT78 WUP54:WUP78 D65602:D65610 ID65602:ID65610 RZ65602:RZ65610 ABV65602:ABV65610 ALR65602:ALR65610 AVN65602:AVN65610 BFJ65602:BFJ65610 BPF65602:BPF65610 BZB65602:BZB65610 CIX65602:CIX65610 CST65602:CST65610 DCP65602:DCP65610 DML65602:DML65610 DWH65602:DWH65610 EGD65602:EGD65610 EPZ65602:EPZ65610 EZV65602:EZV65610 FJR65602:FJR65610 FTN65602:FTN65610 GDJ65602:GDJ65610 GNF65602:GNF65610 GXB65602:GXB65610 HGX65602:HGX65610 HQT65602:HQT65610 IAP65602:IAP65610 IKL65602:IKL65610 IUH65602:IUH65610 JED65602:JED65610 JNZ65602:JNZ65610 JXV65602:JXV65610 KHR65602:KHR65610 KRN65602:KRN65610 LBJ65602:LBJ65610 LLF65602:LLF65610 LVB65602:LVB65610 MEX65602:MEX65610 MOT65602:MOT65610 MYP65602:MYP65610 NIL65602:NIL65610 NSH65602:NSH65610 OCD65602:OCD65610 OLZ65602:OLZ65610 OVV65602:OVV65610 PFR65602:PFR65610 PPN65602:PPN65610 PZJ65602:PZJ65610 QJF65602:QJF65610 QTB65602:QTB65610 RCX65602:RCX65610 RMT65602:RMT65610 RWP65602:RWP65610 SGL65602:SGL65610 SQH65602:SQH65610 TAD65602:TAD65610 TJZ65602:TJZ65610 TTV65602:TTV65610 UDR65602:UDR65610 UNN65602:UNN65610 UXJ65602:UXJ65610 VHF65602:VHF65610 VRB65602:VRB65610 WAX65602:WAX65610 WKT65602:WKT65610 WUP65602:WUP65610 D131138:D131146 ID131138:ID131146 RZ131138:RZ131146 ABV131138:ABV131146 ALR131138:ALR131146 AVN131138:AVN131146 BFJ131138:BFJ131146 BPF131138:BPF131146 BZB131138:BZB131146 CIX131138:CIX131146 CST131138:CST131146 DCP131138:DCP131146 DML131138:DML131146 DWH131138:DWH131146 EGD131138:EGD131146 EPZ131138:EPZ131146 EZV131138:EZV131146 FJR131138:FJR131146 FTN131138:FTN131146 GDJ131138:GDJ131146 GNF131138:GNF131146 GXB131138:GXB131146 HGX131138:HGX131146 HQT131138:HQT131146 IAP131138:IAP131146 IKL131138:IKL131146 IUH131138:IUH131146 JED131138:JED131146 JNZ131138:JNZ131146 JXV131138:JXV131146 KHR131138:KHR131146 KRN131138:KRN131146 LBJ131138:LBJ131146 LLF131138:LLF131146 LVB131138:LVB131146 MEX131138:MEX131146 MOT131138:MOT131146 MYP131138:MYP131146 NIL131138:NIL131146 NSH131138:NSH131146 OCD131138:OCD131146 OLZ131138:OLZ131146 OVV131138:OVV131146 PFR131138:PFR131146 PPN131138:PPN131146 PZJ131138:PZJ131146 QJF131138:QJF131146 QTB131138:QTB131146 RCX131138:RCX131146 RMT131138:RMT131146 RWP131138:RWP131146 SGL131138:SGL131146 SQH131138:SQH131146 TAD131138:TAD131146 TJZ131138:TJZ131146 TTV131138:TTV131146 UDR131138:UDR131146 UNN131138:UNN131146 UXJ131138:UXJ131146 VHF131138:VHF131146 VRB131138:VRB131146 WAX131138:WAX131146 WKT131138:WKT131146 WUP131138:WUP131146 D196674:D196682 ID196674:ID196682 RZ196674:RZ196682 ABV196674:ABV196682 ALR196674:ALR196682 AVN196674:AVN196682 BFJ196674:BFJ196682 BPF196674:BPF196682 BZB196674:BZB196682 CIX196674:CIX196682 CST196674:CST196682 DCP196674:DCP196682 DML196674:DML196682 DWH196674:DWH196682 EGD196674:EGD196682 EPZ196674:EPZ196682 EZV196674:EZV196682 FJR196674:FJR196682 FTN196674:FTN196682 GDJ196674:GDJ196682 GNF196674:GNF196682 GXB196674:GXB196682 HGX196674:HGX196682 HQT196674:HQT196682 IAP196674:IAP196682 IKL196674:IKL196682 IUH196674:IUH196682 JED196674:JED196682 JNZ196674:JNZ196682 JXV196674:JXV196682 KHR196674:KHR196682 KRN196674:KRN196682 LBJ196674:LBJ196682 LLF196674:LLF196682 LVB196674:LVB196682 MEX196674:MEX196682 MOT196674:MOT196682 MYP196674:MYP196682 NIL196674:NIL196682 NSH196674:NSH196682 OCD196674:OCD196682 OLZ196674:OLZ196682 OVV196674:OVV196682 PFR196674:PFR196682 PPN196674:PPN196682 PZJ196674:PZJ196682 QJF196674:QJF196682 QTB196674:QTB196682 RCX196674:RCX196682 RMT196674:RMT196682 RWP196674:RWP196682 SGL196674:SGL196682 SQH196674:SQH196682 TAD196674:TAD196682 TJZ196674:TJZ196682 TTV196674:TTV196682 UDR196674:UDR196682 UNN196674:UNN196682 UXJ196674:UXJ196682 VHF196674:VHF196682 VRB196674:VRB196682 WAX196674:WAX196682 WKT196674:WKT196682 WUP196674:WUP196682 D262210:D262218 ID262210:ID262218 RZ262210:RZ262218 ABV262210:ABV262218 ALR262210:ALR262218 AVN262210:AVN262218 BFJ262210:BFJ262218 BPF262210:BPF262218 BZB262210:BZB262218 CIX262210:CIX262218 CST262210:CST262218 DCP262210:DCP262218 DML262210:DML262218 DWH262210:DWH262218 EGD262210:EGD262218 EPZ262210:EPZ262218 EZV262210:EZV262218 FJR262210:FJR262218 FTN262210:FTN262218 GDJ262210:GDJ262218 GNF262210:GNF262218 GXB262210:GXB262218 HGX262210:HGX262218 HQT262210:HQT262218 IAP262210:IAP262218 IKL262210:IKL262218 IUH262210:IUH262218 JED262210:JED262218 JNZ262210:JNZ262218 JXV262210:JXV262218 KHR262210:KHR262218 KRN262210:KRN262218 LBJ262210:LBJ262218 LLF262210:LLF262218 LVB262210:LVB262218 MEX262210:MEX262218 MOT262210:MOT262218 MYP262210:MYP262218 NIL262210:NIL262218 NSH262210:NSH262218 OCD262210:OCD262218 OLZ262210:OLZ262218 OVV262210:OVV262218 PFR262210:PFR262218 PPN262210:PPN262218 PZJ262210:PZJ262218 QJF262210:QJF262218 QTB262210:QTB262218 RCX262210:RCX262218 RMT262210:RMT262218 RWP262210:RWP262218 SGL262210:SGL262218 SQH262210:SQH262218 TAD262210:TAD262218 TJZ262210:TJZ262218 TTV262210:TTV262218 UDR262210:UDR262218 UNN262210:UNN262218 UXJ262210:UXJ262218 VHF262210:VHF262218 VRB262210:VRB262218 WAX262210:WAX262218 WKT262210:WKT262218 WUP262210:WUP262218 D327746:D327754 ID327746:ID327754 RZ327746:RZ327754 ABV327746:ABV327754 ALR327746:ALR327754 AVN327746:AVN327754 BFJ327746:BFJ327754 BPF327746:BPF327754 BZB327746:BZB327754 CIX327746:CIX327754 CST327746:CST327754 DCP327746:DCP327754 DML327746:DML327754 DWH327746:DWH327754 EGD327746:EGD327754 EPZ327746:EPZ327754 EZV327746:EZV327754 FJR327746:FJR327754 FTN327746:FTN327754 GDJ327746:GDJ327754 GNF327746:GNF327754 GXB327746:GXB327754 HGX327746:HGX327754 HQT327746:HQT327754 IAP327746:IAP327754 IKL327746:IKL327754 IUH327746:IUH327754 JED327746:JED327754 JNZ327746:JNZ327754 JXV327746:JXV327754 KHR327746:KHR327754 KRN327746:KRN327754 LBJ327746:LBJ327754 LLF327746:LLF327754 LVB327746:LVB327754 MEX327746:MEX327754 MOT327746:MOT327754 MYP327746:MYP327754 NIL327746:NIL327754 NSH327746:NSH327754 OCD327746:OCD327754 OLZ327746:OLZ327754 OVV327746:OVV327754 PFR327746:PFR327754 PPN327746:PPN327754 PZJ327746:PZJ327754 QJF327746:QJF327754 QTB327746:QTB327754 RCX327746:RCX327754 RMT327746:RMT327754 RWP327746:RWP327754 SGL327746:SGL327754 SQH327746:SQH327754 TAD327746:TAD327754 TJZ327746:TJZ327754 TTV327746:TTV327754 UDR327746:UDR327754 UNN327746:UNN327754 UXJ327746:UXJ327754 VHF327746:VHF327754 VRB327746:VRB327754 WAX327746:WAX327754 WKT327746:WKT327754 WUP327746:WUP327754 D393282:D393290 ID393282:ID393290 RZ393282:RZ393290 ABV393282:ABV393290 ALR393282:ALR393290 AVN393282:AVN393290 BFJ393282:BFJ393290 BPF393282:BPF393290 BZB393282:BZB393290 CIX393282:CIX393290 CST393282:CST393290 DCP393282:DCP393290 DML393282:DML393290 DWH393282:DWH393290 EGD393282:EGD393290 EPZ393282:EPZ393290 EZV393282:EZV393290 FJR393282:FJR393290 FTN393282:FTN393290 GDJ393282:GDJ393290 GNF393282:GNF393290 GXB393282:GXB393290 HGX393282:HGX393290 HQT393282:HQT393290 IAP393282:IAP393290 IKL393282:IKL393290 IUH393282:IUH393290 JED393282:JED393290 JNZ393282:JNZ393290 JXV393282:JXV393290 KHR393282:KHR393290 KRN393282:KRN393290 LBJ393282:LBJ393290 LLF393282:LLF393290 LVB393282:LVB393290 MEX393282:MEX393290 MOT393282:MOT393290 MYP393282:MYP393290 NIL393282:NIL393290 NSH393282:NSH393290 OCD393282:OCD393290 OLZ393282:OLZ393290 OVV393282:OVV393290 PFR393282:PFR393290 PPN393282:PPN393290 PZJ393282:PZJ393290 QJF393282:QJF393290 QTB393282:QTB393290 RCX393282:RCX393290 RMT393282:RMT393290 RWP393282:RWP393290 SGL393282:SGL393290 SQH393282:SQH393290 TAD393282:TAD393290 TJZ393282:TJZ393290 TTV393282:TTV393290 UDR393282:UDR393290 UNN393282:UNN393290 UXJ393282:UXJ393290 VHF393282:VHF393290 VRB393282:VRB393290 WAX393282:WAX393290 WKT393282:WKT393290 WUP393282:WUP393290 D458818:D458826 ID458818:ID458826 RZ458818:RZ458826 ABV458818:ABV458826 ALR458818:ALR458826 AVN458818:AVN458826 BFJ458818:BFJ458826 BPF458818:BPF458826 BZB458818:BZB458826 CIX458818:CIX458826 CST458818:CST458826 DCP458818:DCP458826 DML458818:DML458826 DWH458818:DWH458826 EGD458818:EGD458826 EPZ458818:EPZ458826 EZV458818:EZV458826 FJR458818:FJR458826 FTN458818:FTN458826 GDJ458818:GDJ458826 GNF458818:GNF458826 GXB458818:GXB458826 HGX458818:HGX458826 HQT458818:HQT458826 IAP458818:IAP458826 IKL458818:IKL458826 IUH458818:IUH458826 JED458818:JED458826 JNZ458818:JNZ458826 JXV458818:JXV458826 KHR458818:KHR458826 KRN458818:KRN458826 LBJ458818:LBJ458826 LLF458818:LLF458826 LVB458818:LVB458826 MEX458818:MEX458826 MOT458818:MOT458826 MYP458818:MYP458826 NIL458818:NIL458826 NSH458818:NSH458826 OCD458818:OCD458826 OLZ458818:OLZ458826 OVV458818:OVV458826 PFR458818:PFR458826 PPN458818:PPN458826 PZJ458818:PZJ458826 QJF458818:QJF458826 QTB458818:QTB458826 RCX458818:RCX458826 RMT458818:RMT458826 RWP458818:RWP458826 SGL458818:SGL458826 SQH458818:SQH458826 TAD458818:TAD458826 TJZ458818:TJZ458826 TTV458818:TTV458826 UDR458818:UDR458826 UNN458818:UNN458826 UXJ458818:UXJ458826 VHF458818:VHF458826 VRB458818:VRB458826 WAX458818:WAX458826 WKT458818:WKT458826 WUP458818:WUP458826 D524354:D524362 ID524354:ID524362 RZ524354:RZ524362 ABV524354:ABV524362 ALR524354:ALR524362 AVN524354:AVN524362 BFJ524354:BFJ524362 BPF524354:BPF524362 BZB524354:BZB524362 CIX524354:CIX524362 CST524354:CST524362 DCP524354:DCP524362 DML524354:DML524362 DWH524354:DWH524362 EGD524354:EGD524362 EPZ524354:EPZ524362 EZV524354:EZV524362 FJR524354:FJR524362 FTN524354:FTN524362 GDJ524354:GDJ524362 GNF524354:GNF524362 GXB524354:GXB524362 HGX524354:HGX524362 HQT524354:HQT524362 IAP524354:IAP524362 IKL524354:IKL524362 IUH524354:IUH524362 JED524354:JED524362 JNZ524354:JNZ524362 JXV524354:JXV524362 KHR524354:KHR524362 KRN524354:KRN524362 LBJ524354:LBJ524362 LLF524354:LLF524362 LVB524354:LVB524362 MEX524354:MEX524362 MOT524354:MOT524362 MYP524354:MYP524362 NIL524354:NIL524362 NSH524354:NSH524362 OCD524354:OCD524362 OLZ524354:OLZ524362 OVV524354:OVV524362 PFR524354:PFR524362 PPN524354:PPN524362 PZJ524354:PZJ524362 QJF524354:QJF524362 QTB524354:QTB524362 RCX524354:RCX524362 RMT524354:RMT524362 RWP524354:RWP524362 SGL524354:SGL524362 SQH524354:SQH524362 TAD524354:TAD524362 TJZ524354:TJZ524362 TTV524354:TTV524362 UDR524354:UDR524362 UNN524354:UNN524362 UXJ524354:UXJ524362 VHF524354:VHF524362 VRB524354:VRB524362 WAX524354:WAX524362 WKT524354:WKT524362 WUP524354:WUP524362 D589890:D589898 ID589890:ID589898 RZ589890:RZ589898 ABV589890:ABV589898 ALR589890:ALR589898 AVN589890:AVN589898 BFJ589890:BFJ589898 BPF589890:BPF589898 BZB589890:BZB589898 CIX589890:CIX589898 CST589890:CST589898 DCP589890:DCP589898 DML589890:DML589898 DWH589890:DWH589898 EGD589890:EGD589898 EPZ589890:EPZ589898 EZV589890:EZV589898 FJR589890:FJR589898 FTN589890:FTN589898 GDJ589890:GDJ589898 GNF589890:GNF589898 GXB589890:GXB589898 HGX589890:HGX589898 HQT589890:HQT589898 IAP589890:IAP589898 IKL589890:IKL589898 IUH589890:IUH589898 JED589890:JED589898 JNZ589890:JNZ589898 JXV589890:JXV589898 KHR589890:KHR589898 KRN589890:KRN589898 LBJ589890:LBJ589898 LLF589890:LLF589898 LVB589890:LVB589898 MEX589890:MEX589898 MOT589890:MOT589898 MYP589890:MYP589898 NIL589890:NIL589898 NSH589890:NSH589898 OCD589890:OCD589898 OLZ589890:OLZ589898 OVV589890:OVV589898 PFR589890:PFR589898 PPN589890:PPN589898 PZJ589890:PZJ589898 QJF589890:QJF589898 QTB589890:QTB589898 RCX589890:RCX589898 RMT589890:RMT589898 RWP589890:RWP589898 SGL589890:SGL589898 SQH589890:SQH589898 TAD589890:TAD589898 TJZ589890:TJZ589898 TTV589890:TTV589898 UDR589890:UDR589898 UNN589890:UNN589898 UXJ589890:UXJ589898 VHF589890:VHF589898 VRB589890:VRB589898 WAX589890:WAX589898 WKT589890:WKT589898 WUP589890:WUP589898 D655426:D655434 ID655426:ID655434 RZ655426:RZ655434 ABV655426:ABV655434 ALR655426:ALR655434 AVN655426:AVN655434 BFJ655426:BFJ655434 BPF655426:BPF655434 BZB655426:BZB655434 CIX655426:CIX655434 CST655426:CST655434 DCP655426:DCP655434 DML655426:DML655434 DWH655426:DWH655434 EGD655426:EGD655434 EPZ655426:EPZ655434 EZV655426:EZV655434 FJR655426:FJR655434 FTN655426:FTN655434 GDJ655426:GDJ655434 GNF655426:GNF655434 GXB655426:GXB655434 HGX655426:HGX655434 HQT655426:HQT655434 IAP655426:IAP655434 IKL655426:IKL655434 IUH655426:IUH655434 JED655426:JED655434 JNZ655426:JNZ655434 JXV655426:JXV655434 KHR655426:KHR655434 KRN655426:KRN655434 LBJ655426:LBJ655434 LLF655426:LLF655434 LVB655426:LVB655434 MEX655426:MEX655434 MOT655426:MOT655434 MYP655426:MYP655434 NIL655426:NIL655434 NSH655426:NSH655434 OCD655426:OCD655434 OLZ655426:OLZ655434 OVV655426:OVV655434 PFR655426:PFR655434 PPN655426:PPN655434 PZJ655426:PZJ655434 QJF655426:QJF655434 QTB655426:QTB655434 RCX655426:RCX655434 RMT655426:RMT655434 RWP655426:RWP655434 SGL655426:SGL655434 SQH655426:SQH655434 TAD655426:TAD655434 TJZ655426:TJZ655434 TTV655426:TTV655434 UDR655426:UDR655434 UNN655426:UNN655434 UXJ655426:UXJ655434 VHF655426:VHF655434 VRB655426:VRB655434 WAX655426:WAX655434 WKT655426:WKT655434 WUP655426:WUP655434 D720962:D720970 ID720962:ID720970 RZ720962:RZ720970 ABV720962:ABV720970 ALR720962:ALR720970 AVN720962:AVN720970 BFJ720962:BFJ720970 BPF720962:BPF720970 BZB720962:BZB720970 CIX720962:CIX720970 CST720962:CST720970 DCP720962:DCP720970 DML720962:DML720970 DWH720962:DWH720970 EGD720962:EGD720970 EPZ720962:EPZ720970 EZV720962:EZV720970 FJR720962:FJR720970 FTN720962:FTN720970 GDJ720962:GDJ720970 GNF720962:GNF720970 GXB720962:GXB720970 HGX720962:HGX720970 HQT720962:HQT720970 IAP720962:IAP720970 IKL720962:IKL720970 IUH720962:IUH720970 JED720962:JED720970 JNZ720962:JNZ720970 JXV720962:JXV720970 KHR720962:KHR720970 KRN720962:KRN720970 LBJ720962:LBJ720970 LLF720962:LLF720970 LVB720962:LVB720970 MEX720962:MEX720970 MOT720962:MOT720970 MYP720962:MYP720970 NIL720962:NIL720970 NSH720962:NSH720970 OCD720962:OCD720970 OLZ720962:OLZ720970 OVV720962:OVV720970 PFR720962:PFR720970 PPN720962:PPN720970 PZJ720962:PZJ720970 QJF720962:QJF720970 QTB720962:QTB720970 RCX720962:RCX720970 RMT720962:RMT720970 RWP720962:RWP720970 SGL720962:SGL720970 SQH720962:SQH720970 TAD720962:TAD720970 TJZ720962:TJZ720970 TTV720962:TTV720970 UDR720962:UDR720970 UNN720962:UNN720970 UXJ720962:UXJ720970 VHF720962:VHF720970 VRB720962:VRB720970 WAX720962:WAX720970 WKT720962:WKT720970 WUP720962:WUP720970 D786498:D786506 ID786498:ID786506 RZ786498:RZ786506 ABV786498:ABV786506 ALR786498:ALR786506 AVN786498:AVN786506 BFJ786498:BFJ786506 BPF786498:BPF786506 BZB786498:BZB786506 CIX786498:CIX786506 CST786498:CST786506 DCP786498:DCP786506 DML786498:DML786506 DWH786498:DWH786506 EGD786498:EGD786506 EPZ786498:EPZ786506 EZV786498:EZV786506 FJR786498:FJR786506 FTN786498:FTN786506 GDJ786498:GDJ786506 GNF786498:GNF786506 GXB786498:GXB786506 HGX786498:HGX786506 HQT786498:HQT786506 IAP786498:IAP786506 IKL786498:IKL786506 IUH786498:IUH786506 JED786498:JED786506 JNZ786498:JNZ786506 JXV786498:JXV786506 KHR786498:KHR786506 KRN786498:KRN786506 LBJ786498:LBJ786506 LLF786498:LLF786506 LVB786498:LVB786506 MEX786498:MEX786506 MOT786498:MOT786506 MYP786498:MYP786506 NIL786498:NIL786506 NSH786498:NSH786506 OCD786498:OCD786506 OLZ786498:OLZ786506 OVV786498:OVV786506 PFR786498:PFR786506 PPN786498:PPN786506 PZJ786498:PZJ786506 QJF786498:QJF786506 QTB786498:QTB786506 RCX786498:RCX786506 RMT786498:RMT786506 RWP786498:RWP786506 SGL786498:SGL786506 SQH786498:SQH786506 TAD786498:TAD786506 TJZ786498:TJZ786506 TTV786498:TTV786506 UDR786498:UDR786506 UNN786498:UNN786506 UXJ786498:UXJ786506 VHF786498:VHF786506 VRB786498:VRB786506 WAX786498:WAX786506 WKT786498:WKT786506 WUP786498:WUP786506 D852034:D852042 ID852034:ID852042 RZ852034:RZ852042 ABV852034:ABV852042 ALR852034:ALR852042 AVN852034:AVN852042 BFJ852034:BFJ852042 BPF852034:BPF852042 BZB852034:BZB852042 CIX852034:CIX852042 CST852034:CST852042 DCP852034:DCP852042 DML852034:DML852042 DWH852034:DWH852042 EGD852034:EGD852042 EPZ852034:EPZ852042 EZV852034:EZV852042 FJR852034:FJR852042 FTN852034:FTN852042 GDJ852034:GDJ852042 GNF852034:GNF852042 GXB852034:GXB852042 HGX852034:HGX852042 HQT852034:HQT852042 IAP852034:IAP852042 IKL852034:IKL852042 IUH852034:IUH852042 JED852034:JED852042 JNZ852034:JNZ852042 JXV852034:JXV852042 KHR852034:KHR852042 KRN852034:KRN852042 LBJ852034:LBJ852042 LLF852034:LLF852042 LVB852034:LVB852042 MEX852034:MEX852042 MOT852034:MOT852042 MYP852034:MYP852042 NIL852034:NIL852042 NSH852034:NSH852042 OCD852034:OCD852042 OLZ852034:OLZ852042 OVV852034:OVV852042 PFR852034:PFR852042 PPN852034:PPN852042 PZJ852034:PZJ852042 QJF852034:QJF852042 QTB852034:QTB852042 RCX852034:RCX852042 RMT852034:RMT852042 RWP852034:RWP852042 SGL852034:SGL852042 SQH852034:SQH852042 TAD852034:TAD852042 TJZ852034:TJZ852042 TTV852034:TTV852042 UDR852034:UDR852042 UNN852034:UNN852042 UXJ852034:UXJ852042 VHF852034:VHF852042 VRB852034:VRB852042 WAX852034:WAX852042 WKT852034:WKT852042 WUP852034:WUP852042 D917570:D917578 ID917570:ID917578 RZ917570:RZ917578 ABV917570:ABV917578 ALR917570:ALR917578 AVN917570:AVN917578 BFJ917570:BFJ917578 BPF917570:BPF917578 BZB917570:BZB917578 CIX917570:CIX917578 CST917570:CST917578 DCP917570:DCP917578 DML917570:DML917578 DWH917570:DWH917578 EGD917570:EGD917578 EPZ917570:EPZ917578 EZV917570:EZV917578 FJR917570:FJR917578 FTN917570:FTN917578 GDJ917570:GDJ917578 GNF917570:GNF917578 GXB917570:GXB917578 HGX917570:HGX917578 HQT917570:HQT917578 IAP917570:IAP917578 IKL917570:IKL917578 IUH917570:IUH917578 JED917570:JED917578 JNZ917570:JNZ917578 JXV917570:JXV917578 KHR917570:KHR917578 KRN917570:KRN917578 LBJ917570:LBJ917578 LLF917570:LLF917578 LVB917570:LVB917578 MEX917570:MEX917578 MOT917570:MOT917578 MYP917570:MYP917578 NIL917570:NIL917578 NSH917570:NSH917578 OCD917570:OCD917578 OLZ917570:OLZ917578 OVV917570:OVV917578 PFR917570:PFR917578 PPN917570:PPN917578 PZJ917570:PZJ917578 QJF917570:QJF917578 QTB917570:QTB917578 RCX917570:RCX917578 RMT917570:RMT917578 RWP917570:RWP917578 SGL917570:SGL917578 SQH917570:SQH917578 TAD917570:TAD917578 TJZ917570:TJZ917578 TTV917570:TTV917578 UDR917570:UDR917578 UNN917570:UNN917578 UXJ917570:UXJ917578 VHF917570:VHF917578 VRB917570:VRB917578 WAX917570:WAX917578 WKT917570:WKT917578 WUP917570:WUP917578 D983106:D983114 ID983106:ID983114 RZ983106:RZ983114 ABV983106:ABV983114 ALR983106:ALR983114 AVN983106:AVN983114 BFJ983106:BFJ983114 BPF983106:BPF983114 BZB983106:BZB983114 CIX983106:CIX983114 CST983106:CST983114 DCP983106:DCP983114 DML983106:DML983114 DWH983106:DWH983114 EGD983106:EGD983114 EPZ983106:EPZ983114 EZV983106:EZV983114 FJR983106:FJR983114 FTN983106:FTN983114 GDJ983106:GDJ983114 GNF983106:GNF983114 GXB983106:GXB983114 HGX983106:HGX983114 HQT983106:HQT983114 IAP983106:IAP983114 IKL983106:IKL983114 IUH983106:IUH983114 JED983106:JED983114 JNZ983106:JNZ983114 JXV983106:JXV983114 KHR983106:KHR983114 KRN983106:KRN983114 LBJ983106:LBJ983114 LLF983106:LLF983114 LVB983106:LVB983114 MEX983106:MEX983114 MOT983106:MOT983114 MYP983106:MYP983114 NIL983106:NIL983114 NSH983106:NSH983114 OCD983106:OCD983114 OLZ983106:OLZ983114 OVV983106:OVV983114 PFR983106:PFR983114 PPN983106:PPN983114 PZJ983106:PZJ983114 QJF983106:QJF983114 QTB983106:QTB983114 RCX983106:RCX983114 RMT983106:RMT983114 RWP983106:RWP983114 SGL983106:SGL983114 SQH983106:SQH983114 TAD983106:TAD983114 TJZ983106:TJZ983114 TTV983106:TTV983114 UDR983106:UDR983114 UNN983106:UNN983114 UXJ983106:UXJ983114 VHF983106:VHF983114 VRB983106:VRB983114 WAX983106:WAX983114 WKT983106:WKT983114 D54:D78" xr:uid="{00000000-0002-0000-0300-000004000000}"/>
    <dataValidation allowBlank="1" showInputMessage="1" showErrorMessage="1" prompt="diligencie la cantidad del personal requerido" sqref="WUN983106:WUN983114 IB11:IB51 RX11:RX51 ABT11:ABT51 ALP11:ALP51 AVL11:AVL51 BFH11:BFH51 BPD11:BPD51 BYZ11:BYZ51 CIV11:CIV51 CSR11:CSR51 DCN11:DCN51 DMJ11:DMJ51 DWF11:DWF51 EGB11:EGB51 EPX11:EPX51 EZT11:EZT51 FJP11:FJP51 FTL11:FTL51 GDH11:GDH51 GND11:GND51 GWZ11:GWZ51 HGV11:HGV51 HQR11:HQR51 IAN11:IAN51 IKJ11:IKJ51 IUF11:IUF51 JEB11:JEB51 JNX11:JNX51 JXT11:JXT51 KHP11:KHP51 KRL11:KRL51 LBH11:LBH51 LLD11:LLD51 LUZ11:LUZ51 MEV11:MEV51 MOR11:MOR51 MYN11:MYN51 NIJ11:NIJ51 NSF11:NSF51 OCB11:OCB51 OLX11:OLX51 OVT11:OVT51 PFP11:PFP51 PPL11:PPL51 PZH11:PZH51 QJD11:QJD51 QSZ11:QSZ51 RCV11:RCV51 RMR11:RMR51 RWN11:RWN51 SGJ11:SGJ51 SQF11:SQF51 TAB11:TAB51 TJX11:TJX51 TTT11:TTT51 UDP11:UDP51 UNL11:UNL51 UXH11:UXH51 VHD11:VHD51 VQZ11:VQZ51 WAV11:WAV51 WKR11:WKR51 WUN11:WUN51 B65591:B65599 IB65591:IB65599 RX65591:RX65599 ABT65591:ABT65599 ALP65591:ALP65599 AVL65591:AVL65599 BFH65591:BFH65599 BPD65591:BPD65599 BYZ65591:BYZ65599 CIV65591:CIV65599 CSR65591:CSR65599 DCN65591:DCN65599 DMJ65591:DMJ65599 DWF65591:DWF65599 EGB65591:EGB65599 EPX65591:EPX65599 EZT65591:EZT65599 FJP65591:FJP65599 FTL65591:FTL65599 GDH65591:GDH65599 GND65591:GND65599 GWZ65591:GWZ65599 HGV65591:HGV65599 HQR65591:HQR65599 IAN65591:IAN65599 IKJ65591:IKJ65599 IUF65591:IUF65599 JEB65591:JEB65599 JNX65591:JNX65599 JXT65591:JXT65599 KHP65591:KHP65599 KRL65591:KRL65599 LBH65591:LBH65599 LLD65591:LLD65599 LUZ65591:LUZ65599 MEV65591:MEV65599 MOR65591:MOR65599 MYN65591:MYN65599 NIJ65591:NIJ65599 NSF65591:NSF65599 OCB65591:OCB65599 OLX65591:OLX65599 OVT65591:OVT65599 PFP65591:PFP65599 PPL65591:PPL65599 PZH65591:PZH65599 QJD65591:QJD65599 QSZ65591:QSZ65599 RCV65591:RCV65599 RMR65591:RMR65599 RWN65591:RWN65599 SGJ65591:SGJ65599 SQF65591:SQF65599 TAB65591:TAB65599 TJX65591:TJX65599 TTT65591:TTT65599 UDP65591:UDP65599 UNL65591:UNL65599 UXH65591:UXH65599 VHD65591:VHD65599 VQZ65591:VQZ65599 WAV65591:WAV65599 WKR65591:WKR65599 WUN65591:WUN65599 B131127:B131135 IB131127:IB131135 RX131127:RX131135 ABT131127:ABT131135 ALP131127:ALP131135 AVL131127:AVL131135 BFH131127:BFH131135 BPD131127:BPD131135 BYZ131127:BYZ131135 CIV131127:CIV131135 CSR131127:CSR131135 DCN131127:DCN131135 DMJ131127:DMJ131135 DWF131127:DWF131135 EGB131127:EGB131135 EPX131127:EPX131135 EZT131127:EZT131135 FJP131127:FJP131135 FTL131127:FTL131135 GDH131127:GDH131135 GND131127:GND131135 GWZ131127:GWZ131135 HGV131127:HGV131135 HQR131127:HQR131135 IAN131127:IAN131135 IKJ131127:IKJ131135 IUF131127:IUF131135 JEB131127:JEB131135 JNX131127:JNX131135 JXT131127:JXT131135 KHP131127:KHP131135 KRL131127:KRL131135 LBH131127:LBH131135 LLD131127:LLD131135 LUZ131127:LUZ131135 MEV131127:MEV131135 MOR131127:MOR131135 MYN131127:MYN131135 NIJ131127:NIJ131135 NSF131127:NSF131135 OCB131127:OCB131135 OLX131127:OLX131135 OVT131127:OVT131135 PFP131127:PFP131135 PPL131127:PPL131135 PZH131127:PZH131135 QJD131127:QJD131135 QSZ131127:QSZ131135 RCV131127:RCV131135 RMR131127:RMR131135 RWN131127:RWN131135 SGJ131127:SGJ131135 SQF131127:SQF131135 TAB131127:TAB131135 TJX131127:TJX131135 TTT131127:TTT131135 UDP131127:UDP131135 UNL131127:UNL131135 UXH131127:UXH131135 VHD131127:VHD131135 VQZ131127:VQZ131135 WAV131127:WAV131135 WKR131127:WKR131135 WUN131127:WUN131135 B196663:B196671 IB196663:IB196671 RX196663:RX196671 ABT196663:ABT196671 ALP196663:ALP196671 AVL196663:AVL196671 BFH196663:BFH196671 BPD196663:BPD196671 BYZ196663:BYZ196671 CIV196663:CIV196671 CSR196663:CSR196671 DCN196663:DCN196671 DMJ196663:DMJ196671 DWF196663:DWF196671 EGB196663:EGB196671 EPX196663:EPX196671 EZT196663:EZT196671 FJP196663:FJP196671 FTL196663:FTL196671 GDH196663:GDH196671 GND196663:GND196671 GWZ196663:GWZ196671 HGV196663:HGV196671 HQR196663:HQR196671 IAN196663:IAN196671 IKJ196663:IKJ196671 IUF196663:IUF196671 JEB196663:JEB196671 JNX196663:JNX196671 JXT196663:JXT196671 KHP196663:KHP196671 KRL196663:KRL196671 LBH196663:LBH196671 LLD196663:LLD196671 LUZ196663:LUZ196671 MEV196663:MEV196671 MOR196663:MOR196671 MYN196663:MYN196671 NIJ196663:NIJ196671 NSF196663:NSF196671 OCB196663:OCB196671 OLX196663:OLX196671 OVT196663:OVT196671 PFP196663:PFP196671 PPL196663:PPL196671 PZH196663:PZH196671 QJD196663:QJD196671 QSZ196663:QSZ196671 RCV196663:RCV196671 RMR196663:RMR196671 RWN196663:RWN196671 SGJ196663:SGJ196671 SQF196663:SQF196671 TAB196663:TAB196671 TJX196663:TJX196671 TTT196663:TTT196671 UDP196663:UDP196671 UNL196663:UNL196671 UXH196663:UXH196671 VHD196663:VHD196671 VQZ196663:VQZ196671 WAV196663:WAV196671 WKR196663:WKR196671 WUN196663:WUN196671 B262199:B262207 IB262199:IB262207 RX262199:RX262207 ABT262199:ABT262207 ALP262199:ALP262207 AVL262199:AVL262207 BFH262199:BFH262207 BPD262199:BPD262207 BYZ262199:BYZ262207 CIV262199:CIV262207 CSR262199:CSR262207 DCN262199:DCN262207 DMJ262199:DMJ262207 DWF262199:DWF262207 EGB262199:EGB262207 EPX262199:EPX262207 EZT262199:EZT262207 FJP262199:FJP262207 FTL262199:FTL262207 GDH262199:GDH262207 GND262199:GND262207 GWZ262199:GWZ262207 HGV262199:HGV262207 HQR262199:HQR262207 IAN262199:IAN262207 IKJ262199:IKJ262207 IUF262199:IUF262207 JEB262199:JEB262207 JNX262199:JNX262207 JXT262199:JXT262207 KHP262199:KHP262207 KRL262199:KRL262207 LBH262199:LBH262207 LLD262199:LLD262207 LUZ262199:LUZ262207 MEV262199:MEV262207 MOR262199:MOR262207 MYN262199:MYN262207 NIJ262199:NIJ262207 NSF262199:NSF262207 OCB262199:OCB262207 OLX262199:OLX262207 OVT262199:OVT262207 PFP262199:PFP262207 PPL262199:PPL262207 PZH262199:PZH262207 QJD262199:QJD262207 QSZ262199:QSZ262207 RCV262199:RCV262207 RMR262199:RMR262207 RWN262199:RWN262207 SGJ262199:SGJ262207 SQF262199:SQF262207 TAB262199:TAB262207 TJX262199:TJX262207 TTT262199:TTT262207 UDP262199:UDP262207 UNL262199:UNL262207 UXH262199:UXH262207 VHD262199:VHD262207 VQZ262199:VQZ262207 WAV262199:WAV262207 WKR262199:WKR262207 WUN262199:WUN262207 B327735:B327743 IB327735:IB327743 RX327735:RX327743 ABT327735:ABT327743 ALP327735:ALP327743 AVL327735:AVL327743 BFH327735:BFH327743 BPD327735:BPD327743 BYZ327735:BYZ327743 CIV327735:CIV327743 CSR327735:CSR327743 DCN327735:DCN327743 DMJ327735:DMJ327743 DWF327735:DWF327743 EGB327735:EGB327743 EPX327735:EPX327743 EZT327735:EZT327743 FJP327735:FJP327743 FTL327735:FTL327743 GDH327735:GDH327743 GND327735:GND327743 GWZ327735:GWZ327743 HGV327735:HGV327743 HQR327735:HQR327743 IAN327735:IAN327743 IKJ327735:IKJ327743 IUF327735:IUF327743 JEB327735:JEB327743 JNX327735:JNX327743 JXT327735:JXT327743 KHP327735:KHP327743 KRL327735:KRL327743 LBH327735:LBH327743 LLD327735:LLD327743 LUZ327735:LUZ327743 MEV327735:MEV327743 MOR327735:MOR327743 MYN327735:MYN327743 NIJ327735:NIJ327743 NSF327735:NSF327743 OCB327735:OCB327743 OLX327735:OLX327743 OVT327735:OVT327743 PFP327735:PFP327743 PPL327735:PPL327743 PZH327735:PZH327743 QJD327735:QJD327743 QSZ327735:QSZ327743 RCV327735:RCV327743 RMR327735:RMR327743 RWN327735:RWN327743 SGJ327735:SGJ327743 SQF327735:SQF327743 TAB327735:TAB327743 TJX327735:TJX327743 TTT327735:TTT327743 UDP327735:UDP327743 UNL327735:UNL327743 UXH327735:UXH327743 VHD327735:VHD327743 VQZ327735:VQZ327743 WAV327735:WAV327743 WKR327735:WKR327743 WUN327735:WUN327743 B393271:B393279 IB393271:IB393279 RX393271:RX393279 ABT393271:ABT393279 ALP393271:ALP393279 AVL393271:AVL393279 BFH393271:BFH393279 BPD393271:BPD393279 BYZ393271:BYZ393279 CIV393271:CIV393279 CSR393271:CSR393279 DCN393271:DCN393279 DMJ393271:DMJ393279 DWF393271:DWF393279 EGB393271:EGB393279 EPX393271:EPX393279 EZT393271:EZT393279 FJP393271:FJP393279 FTL393271:FTL393279 GDH393271:GDH393279 GND393271:GND393279 GWZ393271:GWZ393279 HGV393271:HGV393279 HQR393271:HQR393279 IAN393271:IAN393279 IKJ393271:IKJ393279 IUF393271:IUF393279 JEB393271:JEB393279 JNX393271:JNX393279 JXT393271:JXT393279 KHP393271:KHP393279 KRL393271:KRL393279 LBH393271:LBH393279 LLD393271:LLD393279 LUZ393271:LUZ393279 MEV393271:MEV393279 MOR393271:MOR393279 MYN393271:MYN393279 NIJ393271:NIJ393279 NSF393271:NSF393279 OCB393271:OCB393279 OLX393271:OLX393279 OVT393271:OVT393279 PFP393271:PFP393279 PPL393271:PPL393279 PZH393271:PZH393279 QJD393271:QJD393279 QSZ393271:QSZ393279 RCV393271:RCV393279 RMR393271:RMR393279 RWN393271:RWN393279 SGJ393271:SGJ393279 SQF393271:SQF393279 TAB393271:TAB393279 TJX393271:TJX393279 TTT393271:TTT393279 UDP393271:UDP393279 UNL393271:UNL393279 UXH393271:UXH393279 VHD393271:VHD393279 VQZ393271:VQZ393279 WAV393271:WAV393279 WKR393271:WKR393279 WUN393271:WUN393279 B458807:B458815 IB458807:IB458815 RX458807:RX458815 ABT458807:ABT458815 ALP458807:ALP458815 AVL458807:AVL458815 BFH458807:BFH458815 BPD458807:BPD458815 BYZ458807:BYZ458815 CIV458807:CIV458815 CSR458807:CSR458815 DCN458807:DCN458815 DMJ458807:DMJ458815 DWF458807:DWF458815 EGB458807:EGB458815 EPX458807:EPX458815 EZT458807:EZT458815 FJP458807:FJP458815 FTL458807:FTL458815 GDH458807:GDH458815 GND458807:GND458815 GWZ458807:GWZ458815 HGV458807:HGV458815 HQR458807:HQR458815 IAN458807:IAN458815 IKJ458807:IKJ458815 IUF458807:IUF458815 JEB458807:JEB458815 JNX458807:JNX458815 JXT458807:JXT458815 KHP458807:KHP458815 KRL458807:KRL458815 LBH458807:LBH458815 LLD458807:LLD458815 LUZ458807:LUZ458815 MEV458807:MEV458815 MOR458807:MOR458815 MYN458807:MYN458815 NIJ458807:NIJ458815 NSF458807:NSF458815 OCB458807:OCB458815 OLX458807:OLX458815 OVT458807:OVT458815 PFP458807:PFP458815 PPL458807:PPL458815 PZH458807:PZH458815 QJD458807:QJD458815 QSZ458807:QSZ458815 RCV458807:RCV458815 RMR458807:RMR458815 RWN458807:RWN458815 SGJ458807:SGJ458815 SQF458807:SQF458815 TAB458807:TAB458815 TJX458807:TJX458815 TTT458807:TTT458815 UDP458807:UDP458815 UNL458807:UNL458815 UXH458807:UXH458815 VHD458807:VHD458815 VQZ458807:VQZ458815 WAV458807:WAV458815 WKR458807:WKR458815 WUN458807:WUN458815 B524343:B524351 IB524343:IB524351 RX524343:RX524351 ABT524343:ABT524351 ALP524343:ALP524351 AVL524343:AVL524351 BFH524343:BFH524351 BPD524343:BPD524351 BYZ524343:BYZ524351 CIV524343:CIV524351 CSR524343:CSR524351 DCN524343:DCN524351 DMJ524343:DMJ524351 DWF524343:DWF524351 EGB524343:EGB524351 EPX524343:EPX524351 EZT524343:EZT524351 FJP524343:FJP524351 FTL524343:FTL524351 GDH524343:GDH524351 GND524343:GND524351 GWZ524343:GWZ524351 HGV524343:HGV524351 HQR524343:HQR524351 IAN524343:IAN524351 IKJ524343:IKJ524351 IUF524343:IUF524351 JEB524343:JEB524351 JNX524343:JNX524351 JXT524343:JXT524351 KHP524343:KHP524351 KRL524343:KRL524351 LBH524343:LBH524351 LLD524343:LLD524351 LUZ524343:LUZ524351 MEV524343:MEV524351 MOR524343:MOR524351 MYN524343:MYN524351 NIJ524343:NIJ524351 NSF524343:NSF524351 OCB524343:OCB524351 OLX524343:OLX524351 OVT524343:OVT524351 PFP524343:PFP524351 PPL524343:PPL524351 PZH524343:PZH524351 QJD524343:QJD524351 QSZ524343:QSZ524351 RCV524343:RCV524351 RMR524343:RMR524351 RWN524343:RWN524351 SGJ524343:SGJ524351 SQF524343:SQF524351 TAB524343:TAB524351 TJX524343:TJX524351 TTT524343:TTT524351 UDP524343:UDP524351 UNL524343:UNL524351 UXH524343:UXH524351 VHD524343:VHD524351 VQZ524343:VQZ524351 WAV524343:WAV524351 WKR524343:WKR524351 WUN524343:WUN524351 B589879:B589887 IB589879:IB589887 RX589879:RX589887 ABT589879:ABT589887 ALP589879:ALP589887 AVL589879:AVL589887 BFH589879:BFH589887 BPD589879:BPD589887 BYZ589879:BYZ589887 CIV589879:CIV589887 CSR589879:CSR589887 DCN589879:DCN589887 DMJ589879:DMJ589887 DWF589879:DWF589887 EGB589879:EGB589887 EPX589879:EPX589887 EZT589879:EZT589887 FJP589879:FJP589887 FTL589879:FTL589887 GDH589879:GDH589887 GND589879:GND589887 GWZ589879:GWZ589887 HGV589879:HGV589887 HQR589879:HQR589887 IAN589879:IAN589887 IKJ589879:IKJ589887 IUF589879:IUF589887 JEB589879:JEB589887 JNX589879:JNX589887 JXT589879:JXT589887 KHP589879:KHP589887 KRL589879:KRL589887 LBH589879:LBH589887 LLD589879:LLD589887 LUZ589879:LUZ589887 MEV589879:MEV589887 MOR589879:MOR589887 MYN589879:MYN589887 NIJ589879:NIJ589887 NSF589879:NSF589887 OCB589879:OCB589887 OLX589879:OLX589887 OVT589879:OVT589887 PFP589879:PFP589887 PPL589879:PPL589887 PZH589879:PZH589887 QJD589879:QJD589887 QSZ589879:QSZ589887 RCV589879:RCV589887 RMR589879:RMR589887 RWN589879:RWN589887 SGJ589879:SGJ589887 SQF589879:SQF589887 TAB589879:TAB589887 TJX589879:TJX589887 TTT589879:TTT589887 UDP589879:UDP589887 UNL589879:UNL589887 UXH589879:UXH589887 VHD589879:VHD589887 VQZ589879:VQZ589887 WAV589879:WAV589887 WKR589879:WKR589887 WUN589879:WUN589887 B655415:B655423 IB655415:IB655423 RX655415:RX655423 ABT655415:ABT655423 ALP655415:ALP655423 AVL655415:AVL655423 BFH655415:BFH655423 BPD655415:BPD655423 BYZ655415:BYZ655423 CIV655415:CIV655423 CSR655415:CSR655423 DCN655415:DCN655423 DMJ655415:DMJ655423 DWF655415:DWF655423 EGB655415:EGB655423 EPX655415:EPX655423 EZT655415:EZT655423 FJP655415:FJP655423 FTL655415:FTL655423 GDH655415:GDH655423 GND655415:GND655423 GWZ655415:GWZ655423 HGV655415:HGV655423 HQR655415:HQR655423 IAN655415:IAN655423 IKJ655415:IKJ655423 IUF655415:IUF655423 JEB655415:JEB655423 JNX655415:JNX655423 JXT655415:JXT655423 KHP655415:KHP655423 KRL655415:KRL655423 LBH655415:LBH655423 LLD655415:LLD655423 LUZ655415:LUZ655423 MEV655415:MEV655423 MOR655415:MOR655423 MYN655415:MYN655423 NIJ655415:NIJ655423 NSF655415:NSF655423 OCB655415:OCB655423 OLX655415:OLX655423 OVT655415:OVT655423 PFP655415:PFP655423 PPL655415:PPL655423 PZH655415:PZH655423 QJD655415:QJD655423 QSZ655415:QSZ655423 RCV655415:RCV655423 RMR655415:RMR655423 RWN655415:RWN655423 SGJ655415:SGJ655423 SQF655415:SQF655423 TAB655415:TAB655423 TJX655415:TJX655423 TTT655415:TTT655423 UDP655415:UDP655423 UNL655415:UNL655423 UXH655415:UXH655423 VHD655415:VHD655423 VQZ655415:VQZ655423 WAV655415:WAV655423 WKR655415:WKR655423 WUN655415:WUN655423 B720951:B720959 IB720951:IB720959 RX720951:RX720959 ABT720951:ABT720959 ALP720951:ALP720959 AVL720951:AVL720959 BFH720951:BFH720959 BPD720951:BPD720959 BYZ720951:BYZ720959 CIV720951:CIV720959 CSR720951:CSR720959 DCN720951:DCN720959 DMJ720951:DMJ720959 DWF720951:DWF720959 EGB720951:EGB720959 EPX720951:EPX720959 EZT720951:EZT720959 FJP720951:FJP720959 FTL720951:FTL720959 GDH720951:GDH720959 GND720951:GND720959 GWZ720951:GWZ720959 HGV720951:HGV720959 HQR720951:HQR720959 IAN720951:IAN720959 IKJ720951:IKJ720959 IUF720951:IUF720959 JEB720951:JEB720959 JNX720951:JNX720959 JXT720951:JXT720959 KHP720951:KHP720959 KRL720951:KRL720959 LBH720951:LBH720959 LLD720951:LLD720959 LUZ720951:LUZ720959 MEV720951:MEV720959 MOR720951:MOR720959 MYN720951:MYN720959 NIJ720951:NIJ720959 NSF720951:NSF720959 OCB720951:OCB720959 OLX720951:OLX720959 OVT720951:OVT720959 PFP720951:PFP720959 PPL720951:PPL720959 PZH720951:PZH720959 QJD720951:QJD720959 QSZ720951:QSZ720959 RCV720951:RCV720959 RMR720951:RMR720959 RWN720951:RWN720959 SGJ720951:SGJ720959 SQF720951:SQF720959 TAB720951:TAB720959 TJX720951:TJX720959 TTT720951:TTT720959 UDP720951:UDP720959 UNL720951:UNL720959 UXH720951:UXH720959 VHD720951:VHD720959 VQZ720951:VQZ720959 WAV720951:WAV720959 WKR720951:WKR720959 WUN720951:WUN720959 B786487:B786495 IB786487:IB786495 RX786487:RX786495 ABT786487:ABT786495 ALP786487:ALP786495 AVL786487:AVL786495 BFH786487:BFH786495 BPD786487:BPD786495 BYZ786487:BYZ786495 CIV786487:CIV786495 CSR786487:CSR786495 DCN786487:DCN786495 DMJ786487:DMJ786495 DWF786487:DWF786495 EGB786487:EGB786495 EPX786487:EPX786495 EZT786487:EZT786495 FJP786487:FJP786495 FTL786487:FTL786495 GDH786487:GDH786495 GND786487:GND786495 GWZ786487:GWZ786495 HGV786487:HGV786495 HQR786487:HQR786495 IAN786487:IAN786495 IKJ786487:IKJ786495 IUF786487:IUF786495 JEB786487:JEB786495 JNX786487:JNX786495 JXT786487:JXT786495 KHP786487:KHP786495 KRL786487:KRL786495 LBH786487:LBH786495 LLD786487:LLD786495 LUZ786487:LUZ786495 MEV786487:MEV786495 MOR786487:MOR786495 MYN786487:MYN786495 NIJ786487:NIJ786495 NSF786487:NSF786495 OCB786487:OCB786495 OLX786487:OLX786495 OVT786487:OVT786495 PFP786487:PFP786495 PPL786487:PPL786495 PZH786487:PZH786495 QJD786487:QJD786495 QSZ786487:QSZ786495 RCV786487:RCV786495 RMR786487:RMR786495 RWN786487:RWN786495 SGJ786487:SGJ786495 SQF786487:SQF786495 TAB786487:TAB786495 TJX786487:TJX786495 TTT786487:TTT786495 UDP786487:UDP786495 UNL786487:UNL786495 UXH786487:UXH786495 VHD786487:VHD786495 VQZ786487:VQZ786495 WAV786487:WAV786495 WKR786487:WKR786495 WUN786487:WUN786495 B852023:B852031 IB852023:IB852031 RX852023:RX852031 ABT852023:ABT852031 ALP852023:ALP852031 AVL852023:AVL852031 BFH852023:BFH852031 BPD852023:BPD852031 BYZ852023:BYZ852031 CIV852023:CIV852031 CSR852023:CSR852031 DCN852023:DCN852031 DMJ852023:DMJ852031 DWF852023:DWF852031 EGB852023:EGB852031 EPX852023:EPX852031 EZT852023:EZT852031 FJP852023:FJP852031 FTL852023:FTL852031 GDH852023:GDH852031 GND852023:GND852031 GWZ852023:GWZ852031 HGV852023:HGV852031 HQR852023:HQR852031 IAN852023:IAN852031 IKJ852023:IKJ852031 IUF852023:IUF852031 JEB852023:JEB852031 JNX852023:JNX852031 JXT852023:JXT852031 KHP852023:KHP852031 KRL852023:KRL852031 LBH852023:LBH852031 LLD852023:LLD852031 LUZ852023:LUZ852031 MEV852023:MEV852031 MOR852023:MOR852031 MYN852023:MYN852031 NIJ852023:NIJ852031 NSF852023:NSF852031 OCB852023:OCB852031 OLX852023:OLX852031 OVT852023:OVT852031 PFP852023:PFP852031 PPL852023:PPL852031 PZH852023:PZH852031 QJD852023:QJD852031 QSZ852023:QSZ852031 RCV852023:RCV852031 RMR852023:RMR852031 RWN852023:RWN852031 SGJ852023:SGJ852031 SQF852023:SQF852031 TAB852023:TAB852031 TJX852023:TJX852031 TTT852023:TTT852031 UDP852023:UDP852031 UNL852023:UNL852031 UXH852023:UXH852031 VHD852023:VHD852031 VQZ852023:VQZ852031 WAV852023:WAV852031 WKR852023:WKR852031 WUN852023:WUN852031 B917559:B917567 IB917559:IB917567 RX917559:RX917567 ABT917559:ABT917567 ALP917559:ALP917567 AVL917559:AVL917567 BFH917559:BFH917567 BPD917559:BPD917567 BYZ917559:BYZ917567 CIV917559:CIV917567 CSR917559:CSR917567 DCN917559:DCN917567 DMJ917559:DMJ917567 DWF917559:DWF917567 EGB917559:EGB917567 EPX917559:EPX917567 EZT917559:EZT917567 FJP917559:FJP917567 FTL917559:FTL917567 GDH917559:GDH917567 GND917559:GND917567 GWZ917559:GWZ917567 HGV917559:HGV917567 HQR917559:HQR917567 IAN917559:IAN917567 IKJ917559:IKJ917567 IUF917559:IUF917567 JEB917559:JEB917567 JNX917559:JNX917567 JXT917559:JXT917567 KHP917559:KHP917567 KRL917559:KRL917567 LBH917559:LBH917567 LLD917559:LLD917567 LUZ917559:LUZ917567 MEV917559:MEV917567 MOR917559:MOR917567 MYN917559:MYN917567 NIJ917559:NIJ917567 NSF917559:NSF917567 OCB917559:OCB917567 OLX917559:OLX917567 OVT917559:OVT917567 PFP917559:PFP917567 PPL917559:PPL917567 PZH917559:PZH917567 QJD917559:QJD917567 QSZ917559:QSZ917567 RCV917559:RCV917567 RMR917559:RMR917567 RWN917559:RWN917567 SGJ917559:SGJ917567 SQF917559:SQF917567 TAB917559:TAB917567 TJX917559:TJX917567 TTT917559:TTT917567 UDP917559:UDP917567 UNL917559:UNL917567 UXH917559:UXH917567 VHD917559:VHD917567 VQZ917559:VQZ917567 WAV917559:WAV917567 WKR917559:WKR917567 WUN917559:WUN917567 B983095:B983103 IB983095:IB983103 RX983095:RX983103 ABT983095:ABT983103 ALP983095:ALP983103 AVL983095:AVL983103 BFH983095:BFH983103 BPD983095:BPD983103 BYZ983095:BYZ983103 CIV983095:CIV983103 CSR983095:CSR983103 DCN983095:DCN983103 DMJ983095:DMJ983103 DWF983095:DWF983103 EGB983095:EGB983103 EPX983095:EPX983103 EZT983095:EZT983103 FJP983095:FJP983103 FTL983095:FTL983103 GDH983095:GDH983103 GND983095:GND983103 GWZ983095:GWZ983103 HGV983095:HGV983103 HQR983095:HQR983103 IAN983095:IAN983103 IKJ983095:IKJ983103 IUF983095:IUF983103 JEB983095:JEB983103 JNX983095:JNX983103 JXT983095:JXT983103 KHP983095:KHP983103 KRL983095:KRL983103 LBH983095:LBH983103 LLD983095:LLD983103 LUZ983095:LUZ983103 MEV983095:MEV983103 MOR983095:MOR983103 MYN983095:MYN983103 NIJ983095:NIJ983103 NSF983095:NSF983103 OCB983095:OCB983103 OLX983095:OLX983103 OVT983095:OVT983103 PFP983095:PFP983103 PPL983095:PPL983103 PZH983095:PZH983103 QJD983095:QJD983103 QSZ983095:QSZ983103 RCV983095:RCV983103 RMR983095:RMR983103 RWN983095:RWN983103 SGJ983095:SGJ983103 SQF983095:SQF983103 TAB983095:TAB983103 TJX983095:TJX983103 TTT983095:TTT983103 UDP983095:UDP983103 UNL983095:UNL983103 UXH983095:UXH983103 VHD983095:VHD983103 VQZ983095:VQZ983103 WAV983095:WAV983103 WKR983095:WKR983103 WUN983095:WUN983103 B11:B51 IB54:IB78 RX54:RX78 ABT54:ABT78 ALP54:ALP78 AVL54:AVL78 BFH54:BFH78 BPD54:BPD78 BYZ54:BYZ78 CIV54:CIV78 CSR54:CSR78 DCN54:DCN78 DMJ54:DMJ78 DWF54:DWF78 EGB54:EGB78 EPX54:EPX78 EZT54:EZT78 FJP54:FJP78 FTL54:FTL78 GDH54:GDH78 GND54:GND78 GWZ54:GWZ78 HGV54:HGV78 HQR54:HQR78 IAN54:IAN78 IKJ54:IKJ78 IUF54:IUF78 JEB54:JEB78 JNX54:JNX78 JXT54:JXT78 KHP54:KHP78 KRL54:KRL78 LBH54:LBH78 LLD54:LLD78 LUZ54:LUZ78 MEV54:MEV78 MOR54:MOR78 MYN54:MYN78 NIJ54:NIJ78 NSF54:NSF78 OCB54:OCB78 OLX54:OLX78 OVT54:OVT78 PFP54:PFP78 PPL54:PPL78 PZH54:PZH78 QJD54:QJD78 QSZ54:QSZ78 RCV54:RCV78 RMR54:RMR78 RWN54:RWN78 SGJ54:SGJ78 SQF54:SQF78 TAB54:TAB78 TJX54:TJX78 TTT54:TTT78 UDP54:UDP78 UNL54:UNL78 UXH54:UXH78 VHD54:VHD78 VQZ54:VQZ78 WAV54:WAV78 WKR54:WKR78 WUN54:WUN78 B65602:B65610 IB65602:IB65610 RX65602:RX65610 ABT65602:ABT65610 ALP65602:ALP65610 AVL65602:AVL65610 BFH65602:BFH65610 BPD65602:BPD65610 BYZ65602:BYZ65610 CIV65602:CIV65610 CSR65602:CSR65610 DCN65602:DCN65610 DMJ65602:DMJ65610 DWF65602:DWF65610 EGB65602:EGB65610 EPX65602:EPX65610 EZT65602:EZT65610 FJP65602:FJP65610 FTL65602:FTL65610 GDH65602:GDH65610 GND65602:GND65610 GWZ65602:GWZ65610 HGV65602:HGV65610 HQR65602:HQR65610 IAN65602:IAN65610 IKJ65602:IKJ65610 IUF65602:IUF65610 JEB65602:JEB65610 JNX65602:JNX65610 JXT65602:JXT65610 KHP65602:KHP65610 KRL65602:KRL65610 LBH65602:LBH65610 LLD65602:LLD65610 LUZ65602:LUZ65610 MEV65602:MEV65610 MOR65602:MOR65610 MYN65602:MYN65610 NIJ65602:NIJ65610 NSF65602:NSF65610 OCB65602:OCB65610 OLX65602:OLX65610 OVT65602:OVT65610 PFP65602:PFP65610 PPL65602:PPL65610 PZH65602:PZH65610 QJD65602:QJD65610 QSZ65602:QSZ65610 RCV65602:RCV65610 RMR65602:RMR65610 RWN65602:RWN65610 SGJ65602:SGJ65610 SQF65602:SQF65610 TAB65602:TAB65610 TJX65602:TJX65610 TTT65602:TTT65610 UDP65602:UDP65610 UNL65602:UNL65610 UXH65602:UXH65610 VHD65602:VHD65610 VQZ65602:VQZ65610 WAV65602:WAV65610 WKR65602:WKR65610 WUN65602:WUN65610 B131138:B131146 IB131138:IB131146 RX131138:RX131146 ABT131138:ABT131146 ALP131138:ALP131146 AVL131138:AVL131146 BFH131138:BFH131146 BPD131138:BPD131146 BYZ131138:BYZ131146 CIV131138:CIV131146 CSR131138:CSR131146 DCN131138:DCN131146 DMJ131138:DMJ131146 DWF131138:DWF131146 EGB131138:EGB131146 EPX131138:EPX131146 EZT131138:EZT131146 FJP131138:FJP131146 FTL131138:FTL131146 GDH131138:GDH131146 GND131138:GND131146 GWZ131138:GWZ131146 HGV131138:HGV131146 HQR131138:HQR131146 IAN131138:IAN131146 IKJ131138:IKJ131146 IUF131138:IUF131146 JEB131138:JEB131146 JNX131138:JNX131146 JXT131138:JXT131146 KHP131138:KHP131146 KRL131138:KRL131146 LBH131138:LBH131146 LLD131138:LLD131146 LUZ131138:LUZ131146 MEV131138:MEV131146 MOR131138:MOR131146 MYN131138:MYN131146 NIJ131138:NIJ131146 NSF131138:NSF131146 OCB131138:OCB131146 OLX131138:OLX131146 OVT131138:OVT131146 PFP131138:PFP131146 PPL131138:PPL131146 PZH131138:PZH131146 QJD131138:QJD131146 QSZ131138:QSZ131146 RCV131138:RCV131146 RMR131138:RMR131146 RWN131138:RWN131146 SGJ131138:SGJ131146 SQF131138:SQF131146 TAB131138:TAB131146 TJX131138:TJX131146 TTT131138:TTT131146 UDP131138:UDP131146 UNL131138:UNL131146 UXH131138:UXH131146 VHD131138:VHD131146 VQZ131138:VQZ131146 WAV131138:WAV131146 WKR131138:WKR131146 WUN131138:WUN131146 B196674:B196682 IB196674:IB196682 RX196674:RX196682 ABT196674:ABT196682 ALP196674:ALP196682 AVL196674:AVL196682 BFH196674:BFH196682 BPD196674:BPD196682 BYZ196674:BYZ196682 CIV196674:CIV196682 CSR196674:CSR196682 DCN196674:DCN196682 DMJ196674:DMJ196682 DWF196674:DWF196682 EGB196674:EGB196682 EPX196674:EPX196682 EZT196674:EZT196682 FJP196674:FJP196682 FTL196674:FTL196682 GDH196674:GDH196682 GND196674:GND196682 GWZ196674:GWZ196682 HGV196674:HGV196682 HQR196674:HQR196682 IAN196674:IAN196682 IKJ196674:IKJ196682 IUF196674:IUF196682 JEB196674:JEB196682 JNX196674:JNX196682 JXT196674:JXT196682 KHP196674:KHP196682 KRL196674:KRL196682 LBH196674:LBH196682 LLD196674:LLD196682 LUZ196674:LUZ196682 MEV196674:MEV196682 MOR196674:MOR196682 MYN196674:MYN196682 NIJ196674:NIJ196682 NSF196674:NSF196682 OCB196674:OCB196682 OLX196674:OLX196682 OVT196674:OVT196682 PFP196674:PFP196682 PPL196674:PPL196682 PZH196674:PZH196682 QJD196674:QJD196682 QSZ196674:QSZ196682 RCV196674:RCV196682 RMR196674:RMR196682 RWN196674:RWN196682 SGJ196674:SGJ196682 SQF196674:SQF196682 TAB196674:TAB196682 TJX196674:TJX196682 TTT196674:TTT196682 UDP196674:UDP196682 UNL196674:UNL196682 UXH196674:UXH196682 VHD196674:VHD196682 VQZ196674:VQZ196682 WAV196674:WAV196682 WKR196674:WKR196682 WUN196674:WUN196682 B262210:B262218 IB262210:IB262218 RX262210:RX262218 ABT262210:ABT262218 ALP262210:ALP262218 AVL262210:AVL262218 BFH262210:BFH262218 BPD262210:BPD262218 BYZ262210:BYZ262218 CIV262210:CIV262218 CSR262210:CSR262218 DCN262210:DCN262218 DMJ262210:DMJ262218 DWF262210:DWF262218 EGB262210:EGB262218 EPX262210:EPX262218 EZT262210:EZT262218 FJP262210:FJP262218 FTL262210:FTL262218 GDH262210:GDH262218 GND262210:GND262218 GWZ262210:GWZ262218 HGV262210:HGV262218 HQR262210:HQR262218 IAN262210:IAN262218 IKJ262210:IKJ262218 IUF262210:IUF262218 JEB262210:JEB262218 JNX262210:JNX262218 JXT262210:JXT262218 KHP262210:KHP262218 KRL262210:KRL262218 LBH262210:LBH262218 LLD262210:LLD262218 LUZ262210:LUZ262218 MEV262210:MEV262218 MOR262210:MOR262218 MYN262210:MYN262218 NIJ262210:NIJ262218 NSF262210:NSF262218 OCB262210:OCB262218 OLX262210:OLX262218 OVT262210:OVT262218 PFP262210:PFP262218 PPL262210:PPL262218 PZH262210:PZH262218 QJD262210:QJD262218 QSZ262210:QSZ262218 RCV262210:RCV262218 RMR262210:RMR262218 RWN262210:RWN262218 SGJ262210:SGJ262218 SQF262210:SQF262218 TAB262210:TAB262218 TJX262210:TJX262218 TTT262210:TTT262218 UDP262210:UDP262218 UNL262210:UNL262218 UXH262210:UXH262218 VHD262210:VHD262218 VQZ262210:VQZ262218 WAV262210:WAV262218 WKR262210:WKR262218 WUN262210:WUN262218 B327746:B327754 IB327746:IB327754 RX327746:RX327754 ABT327746:ABT327754 ALP327746:ALP327754 AVL327746:AVL327754 BFH327746:BFH327754 BPD327746:BPD327754 BYZ327746:BYZ327754 CIV327746:CIV327754 CSR327746:CSR327754 DCN327746:DCN327754 DMJ327746:DMJ327754 DWF327746:DWF327754 EGB327746:EGB327754 EPX327746:EPX327754 EZT327746:EZT327754 FJP327746:FJP327754 FTL327746:FTL327754 GDH327746:GDH327754 GND327746:GND327754 GWZ327746:GWZ327754 HGV327746:HGV327754 HQR327746:HQR327754 IAN327746:IAN327754 IKJ327746:IKJ327754 IUF327746:IUF327754 JEB327746:JEB327754 JNX327746:JNX327754 JXT327746:JXT327754 KHP327746:KHP327754 KRL327746:KRL327754 LBH327746:LBH327754 LLD327746:LLD327754 LUZ327746:LUZ327754 MEV327746:MEV327754 MOR327746:MOR327754 MYN327746:MYN327754 NIJ327746:NIJ327754 NSF327746:NSF327754 OCB327746:OCB327754 OLX327746:OLX327754 OVT327746:OVT327754 PFP327746:PFP327754 PPL327746:PPL327754 PZH327746:PZH327754 QJD327746:QJD327754 QSZ327746:QSZ327754 RCV327746:RCV327754 RMR327746:RMR327754 RWN327746:RWN327754 SGJ327746:SGJ327754 SQF327746:SQF327754 TAB327746:TAB327754 TJX327746:TJX327754 TTT327746:TTT327754 UDP327746:UDP327754 UNL327746:UNL327754 UXH327746:UXH327754 VHD327746:VHD327754 VQZ327746:VQZ327754 WAV327746:WAV327754 WKR327746:WKR327754 WUN327746:WUN327754 B393282:B393290 IB393282:IB393290 RX393282:RX393290 ABT393282:ABT393290 ALP393282:ALP393290 AVL393282:AVL393290 BFH393282:BFH393290 BPD393282:BPD393290 BYZ393282:BYZ393290 CIV393282:CIV393290 CSR393282:CSR393290 DCN393282:DCN393290 DMJ393282:DMJ393290 DWF393282:DWF393290 EGB393282:EGB393290 EPX393282:EPX393290 EZT393282:EZT393290 FJP393282:FJP393290 FTL393282:FTL393290 GDH393282:GDH393290 GND393282:GND393290 GWZ393282:GWZ393290 HGV393282:HGV393290 HQR393282:HQR393290 IAN393282:IAN393290 IKJ393282:IKJ393290 IUF393282:IUF393290 JEB393282:JEB393290 JNX393282:JNX393290 JXT393282:JXT393290 KHP393282:KHP393290 KRL393282:KRL393290 LBH393282:LBH393290 LLD393282:LLD393290 LUZ393282:LUZ393290 MEV393282:MEV393290 MOR393282:MOR393290 MYN393282:MYN393290 NIJ393282:NIJ393290 NSF393282:NSF393290 OCB393282:OCB393290 OLX393282:OLX393290 OVT393282:OVT393290 PFP393282:PFP393290 PPL393282:PPL393290 PZH393282:PZH393290 QJD393282:QJD393290 QSZ393282:QSZ393290 RCV393282:RCV393290 RMR393282:RMR393290 RWN393282:RWN393290 SGJ393282:SGJ393290 SQF393282:SQF393290 TAB393282:TAB393290 TJX393282:TJX393290 TTT393282:TTT393290 UDP393282:UDP393290 UNL393282:UNL393290 UXH393282:UXH393290 VHD393282:VHD393290 VQZ393282:VQZ393290 WAV393282:WAV393290 WKR393282:WKR393290 WUN393282:WUN393290 B458818:B458826 IB458818:IB458826 RX458818:RX458826 ABT458818:ABT458826 ALP458818:ALP458826 AVL458818:AVL458826 BFH458818:BFH458826 BPD458818:BPD458826 BYZ458818:BYZ458826 CIV458818:CIV458826 CSR458818:CSR458826 DCN458818:DCN458826 DMJ458818:DMJ458826 DWF458818:DWF458826 EGB458818:EGB458826 EPX458818:EPX458826 EZT458818:EZT458826 FJP458818:FJP458826 FTL458818:FTL458826 GDH458818:GDH458826 GND458818:GND458826 GWZ458818:GWZ458826 HGV458818:HGV458826 HQR458818:HQR458826 IAN458818:IAN458826 IKJ458818:IKJ458826 IUF458818:IUF458826 JEB458818:JEB458826 JNX458818:JNX458826 JXT458818:JXT458826 KHP458818:KHP458826 KRL458818:KRL458826 LBH458818:LBH458826 LLD458818:LLD458826 LUZ458818:LUZ458826 MEV458818:MEV458826 MOR458818:MOR458826 MYN458818:MYN458826 NIJ458818:NIJ458826 NSF458818:NSF458826 OCB458818:OCB458826 OLX458818:OLX458826 OVT458818:OVT458826 PFP458818:PFP458826 PPL458818:PPL458826 PZH458818:PZH458826 QJD458818:QJD458826 QSZ458818:QSZ458826 RCV458818:RCV458826 RMR458818:RMR458826 RWN458818:RWN458826 SGJ458818:SGJ458826 SQF458818:SQF458826 TAB458818:TAB458826 TJX458818:TJX458826 TTT458818:TTT458826 UDP458818:UDP458826 UNL458818:UNL458826 UXH458818:UXH458826 VHD458818:VHD458826 VQZ458818:VQZ458826 WAV458818:WAV458826 WKR458818:WKR458826 WUN458818:WUN458826 B524354:B524362 IB524354:IB524362 RX524354:RX524362 ABT524354:ABT524362 ALP524354:ALP524362 AVL524354:AVL524362 BFH524354:BFH524362 BPD524354:BPD524362 BYZ524354:BYZ524362 CIV524354:CIV524362 CSR524354:CSR524362 DCN524354:DCN524362 DMJ524354:DMJ524362 DWF524354:DWF524362 EGB524354:EGB524362 EPX524354:EPX524362 EZT524354:EZT524362 FJP524354:FJP524362 FTL524354:FTL524362 GDH524354:GDH524362 GND524354:GND524362 GWZ524354:GWZ524362 HGV524354:HGV524362 HQR524354:HQR524362 IAN524354:IAN524362 IKJ524354:IKJ524362 IUF524354:IUF524362 JEB524354:JEB524362 JNX524354:JNX524362 JXT524354:JXT524362 KHP524354:KHP524362 KRL524354:KRL524362 LBH524354:LBH524362 LLD524354:LLD524362 LUZ524354:LUZ524362 MEV524354:MEV524362 MOR524354:MOR524362 MYN524354:MYN524362 NIJ524354:NIJ524362 NSF524354:NSF524362 OCB524354:OCB524362 OLX524354:OLX524362 OVT524354:OVT524362 PFP524354:PFP524362 PPL524354:PPL524362 PZH524354:PZH524362 QJD524354:QJD524362 QSZ524354:QSZ524362 RCV524354:RCV524362 RMR524354:RMR524362 RWN524354:RWN524362 SGJ524354:SGJ524362 SQF524354:SQF524362 TAB524354:TAB524362 TJX524354:TJX524362 TTT524354:TTT524362 UDP524354:UDP524362 UNL524354:UNL524362 UXH524354:UXH524362 VHD524354:VHD524362 VQZ524354:VQZ524362 WAV524354:WAV524362 WKR524354:WKR524362 WUN524354:WUN524362 B589890:B589898 IB589890:IB589898 RX589890:RX589898 ABT589890:ABT589898 ALP589890:ALP589898 AVL589890:AVL589898 BFH589890:BFH589898 BPD589890:BPD589898 BYZ589890:BYZ589898 CIV589890:CIV589898 CSR589890:CSR589898 DCN589890:DCN589898 DMJ589890:DMJ589898 DWF589890:DWF589898 EGB589890:EGB589898 EPX589890:EPX589898 EZT589890:EZT589898 FJP589890:FJP589898 FTL589890:FTL589898 GDH589890:GDH589898 GND589890:GND589898 GWZ589890:GWZ589898 HGV589890:HGV589898 HQR589890:HQR589898 IAN589890:IAN589898 IKJ589890:IKJ589898 IUF589890:IUF589898 JEB589890:JEB589898 JNX589890:JNX589898 JXT589890:JXT589898 KHP589890:KHP589898 KRL589890:KRL589898 LBH589890:LBH589898 LLD589890:LLD589898 LUZ589890:LUZ589898 MEV589890:MEV589898 MOR589890:MOR589898 MYN589890:MYN589898 NIJ589890:NIJ589898 NSF589890:NSF589898 OCB589890:OCB589898 OLX589890:OLX589898 OVT589890:OVT589898 PFP589890:PFP589898 PPL589890:PPL589898 PZH589890:PZH589898 QJD589890:QJD589898 QSZ589890:QSZ589898 RCV589890:RCV589898 RMR589890:RMR589898 RWN589890:RWN589898 SGJ589890:SGJ589898 SQF589890:SQF589898 TAB589890:TAB589898 TJX589890:TJX589898 TTT589890:TTT589898 UDP589890:UDP589898 UNL589890:UNL589898 UXH589890:UXH589898 VHD589890:VHD589898 VQZ589890:VQZ589898 WAV589890:WAV589898 WKR589890:WKR589898 WUN589890:WUN589898 B655426:B655434 IB655426:IB655434 RX655426:RX655434 ABT655426:ABT655434 ALP655426:ALP655434 AVL655426:AVL655434 BFH655426:BFH655434 BPD655426:BPD655434 BYZ655426:BYZ655434 CIV655426:CIV655434 CSR655426:CSR655434 DCN655426:DCN655434 DMJ655426:DMJ655434 DWF655426:DWF655434 EGB655426:EGB655434 EPX655426:EPX655434 EZT655426:EZT655434 FJP655426:FJP655434 FTL655426:FTL655434 GDH655426:GDH655434 GND655426:GND655434 GWZ655426:GWZ655434 HGV655426:HGV655434 HQR655426:HQR655434 IAN655426:IAN655434 IKJ655426:IKJ655434 IUF655426:IUF655434 JEB655426:JEB655434 JNX655426:JNX655434 JXT655426:JXT655434 KHP655426:KHP655434 KRL655426:KRL655434 LBH655426:LBH655434 LLD655426:LLD655434 LUZ655426:LUZ655434 MEV655426:MEV655434 MOR655426:MOR655434 MYN655426:MYN655434 NIJ655426:NIJ655434 NSF655426:NSF655434 OCB655426:OCB655434 OLX655426:OLX655434 OVT655426:OVT655434 PFP655426:PFP655434 PPL655426:PPL655434 PZH655426:PZH655434 QJD655426:QJD655434 QSZ655426:QSZ655434 RCV655426:RCV655434 RMR655426:RMR655434 RWN655426:RWN655434 SGJ655426:SGJ655434 SQF655426:SQF655434 TAB655426:TAB655434 TJX655426:TJX655434 TTT655426:TTT655434 UDP655426:UDP655434 UNL655426:UNL655434 UXH655426:UXH655434 VHD655426:VHD655434 VQZ655426:VQZ655434 WAV655426:WAV655434 WKR655426:WKR655434 WUN655426:WUN655434 B720962:B720970 IB720962:IB720970 RX720962:RX720970 ABT720962:ABT720970 ALP720962:ALP720970 AVL720962:AVL720970 BFH720962:BFH720970 BPD720962:BPD720970 BYZ720962:BYZ720970 CIV720962:CIV720970 CSR720962:CSR720970 DCN720962:DCN720970 DMJ720962:DMJ720970 DWF720962:DWF720970 EGB720962:EGB720970 EPX720962:EPX720970 EZT720962:EZT720970 FJP720962:FJP720970 FTL720962:FTL720970 GDH720962:GDH720970 GND720962:GND720970 GWZ720962:GWZ720970 HGV720962:HGV720970 HQR720962:HQR720970 IAN720962:IAN720970 IKJ720962:IKJ720970 IUF720962:IUF720970 JEB720962:JEB720970 JNX720962:JNX720970 JXT720962:JXT720970 KHP720962:KHP720970 KRL720962:KRL720970 LBH720962:LBH720970 LLD720962:LLD720970 LUZ720962:LUZ720970 MEV720962:MEV720970 MOR720962:MOR720970 MYN720962:MYN720970 NIJ720962:NIJ720970 NSF720962:NSF720970 OCB720962:OCB720970 OLX720962:OLX720970 OVT720962:OVT720970 PFP720962:PFP720970 PPL720962:PPL720970 PZH720962:PZH720970 QJD720962:QJD720970 QSZ720962:QSZ720970 RCV720962:RCV720970 RMR720962:RMR720970 RWN720962:RWN720970 SGJ720962:SGJ720970 SQF720962:SQF720970 TAB720962:TAB720970 TJX720962:TJX720970 TTT720962:TTT720970 UDP720962:UDP720970 UNL720962:UNL720970 UXH720962:UXH720970 VHD720962:VHD720970 VQZ720962:VQZ720970 WAV720962:WAV720970 WKR720962:WKR720970 WUN720962:WUN720970 B786498:B786506 IB786498:IB786506 RX786498:RX786506 ABT786498:ABT786506 ALP786498:ALP786506 AVL786498:AVL786506 BFH786498:BFH786506 BPD786498:BPD786506 BYZ786498:BYZ786506 CIV786498:CIV786506 CSR786498:CSR786506 DCN786498:DCN786506 DMJ786498:DMJ786506 DWF786498:DWF786506 EGB786498:EGB786506 EPX786498:EPX786506 EZT786498:EZT786506 FJP786498:FJP786506 FTL786498:FTL786506 GDH786498:GDH786506 GND786498:GND786506 GWZ786498:GWZ786506 HGV786498:HGV786506 HQR786498:HQR786506 IAN786498:IAN786506 IKJ786498:IKJ786506 IUF786498:IUF786506 JEB786498:JEB786506 JNX786498:JNX786506 JXT786498:JXT786506 KHP786498:KHP786506 KRL786498:KRL786506 LBH786498:LBH786506 LLD786498:LLD786506 LUZ786498:LUZ786506 MEV786498:MEV786506 MOR786498:MOR786506 MYN786498:MYN786506 NIJ786498:NIJ786506 NSF786498:NSF786506 OCB786498:OCB786506 OLX786498:OLX786506 OVT786498:OVT786506 PFP786498:PFP786506 PPL786498:PPL786506 PZH786498:PZH786506 QJD786498:QJD786506 QSZ786498:QSZ786506 RCV786498:RCV786506 RMR786498:RMR786506 RWN786498:RWN786506 SGJ786498:SGJ786506 SQF786498:SQF786506 TAB786498:TAB786506 TJX786498:TJX786506 TTT786498:TTT786506 UDP786498:UDP786506 UNL786498:UNL786506 UXH786498:UXH786506 VHD786498:VHD786506 VQZ786498:VQZ786506 WAV786498:WAV786506 WKR786498:WKR786506 WUN786498:WUN786506 B852034:B852042 IB852034:IB852042 RX852034:RX852042 ABT852034:ABT852042 ALP852034:ALP852042 AVL852034:AVL852042 BFH852034:BFH852042 BPD852034:BPD852042 BYZ852034:BYZ852042 CIV852034:CIV852042 CSR852034:CSR852042 DCN852034:DCN852042 DMJ852034:DMJ852042 DWF852034:DWF852042 EGB852034:EGB852042 EPX852034:EPX852042 EZT852034:EZT852042 FJP852034:FJP852042 FTL852034:FTL852042 GDH852034:GDH852042 GND852034:GND852042 GWZ852034:GWZ852042 HGV852034:HGV852042 HQR852034:HQR852042 IAN852034:IAN852042 IKJ852034:IKJ852042 IUF852034:IUF852042 JEB852034:JEB852042 JNX852034:JNX852042 JXT852034:JXT852042 KHP852034:KHP852042 KRL852034:KRL852042 LBH852034:LBH852042 LLD852034:LLD852042 LUZ852034:LUZ852042 MEV852034:MEV852042 MOR852034:MOR852042 MYN852034:MYN852042 NIJ852034:NIJ852042 NSF852034:NSF852042 OCB852034:OCB852042 OLX852034:OLX852042 OVT852034:OVT852042 PFP852034:PFP852042 PPL852034:PPL852042 PZH852034:PZH852042 QJD852034:QJD852042 QSZ852034:QSZ852042 RCV852034:RCV852042 RMR852034:RMR852042 RWN852034:RWN852042 SGJ852034:SGJ852042 SQF852034:SQF852042 TAB852034:TAB852042 TJX852034:TJX852042 TTT852034:TTT852042 UDP852034:UDP852042 UNL852034:UNL852042 UXH852034:UXH852042 VHD852034:VHD852042 VQZ852034:VQZ852042 WAV852034:WAV852042 WKR852034:WKR852042 WUN852034:WUN852042 B917570:B917578 IB917570:IB917578 RX917570:RX917578 ABT917570:ABT917578 ALP917570:ALP917578 AVL917570:AVL917578 BFH917570:BFH917578 BPD917570:BPD917578 BYZ917570:BYZ917578 CIV917570:CIV917578 CSR917570:CSR917578 DCN917570:DCN917578 DMJ917570:DMJ917578 DWF917570:DWF917578 EGB917570:EGB917578 EPX917570:EPX917578 EZT917570:EZT917578 FJP917570:FJP917578 FTL917570:FTL917578 GDH917570:GDH917578 GND917570:GND917578 GWZ917570:GWZ917578 HGV917570:HGV917578 HQR917570:HQR917578 IAN917570:IAN917578 IKJ917570:IKJ917578 IUF917570:IUF917578 JEB917570:JEB917578 JNX917570:JNX917578 JXT917570:JXT917578 KHP917570:KHP917578 KRL917570:KRL917578 LBH917570:LBH917578 LLD917570:LLD917578 LUZ917570:LUZ917578 MEV917570:MEV917578 MOR917570:MOR917578 MYN917570:MYN917578 NIJ917570:NIJ917578 NSF917570:NSF917578 OCB917570:OCB917578 OLX917570:OLX917578 OVT917570:OVT917578 PFP917570:PFP917578 PPL917570:PPL917578 PZH917570:PZH917578 QJD917570:QJD917578 QSZ917570:QSZ917578 RCV917570:RCV917578 RMR917570:RMR917578 RWN917570:RWN917578 SGJ917570:SGJ917578 SQF917570:SQF917578 TAB917570:TAB917578 TJX917570:TJX917578 TTT917570:TTT917578 UDP917570:UDP917578 UNL917570:UNL917578 UXH917570:UXH917578 VHD917570:VHD917578 VQZ917570:VQZ917578 WAV917570:WAV917578 WKR917570:WKR917578 WUN917570:WUN917578 B983106:B983114 IB983106:IB983114 RX983106:RX983114 ABT983106:ABT983114 ALP983106:ALP983114 AVL983106:AVL983114 BFH983106:BFH983114 BPD983106:BPD983114 BYZ983106:BYZ983114 CIV983106:CIV983114 CSR983106:CSR983114 DCN983106:DCN983114 DMJ983106:DMJ983114 DWF983106:DWF983114 EGB983106:EGB983114 EPX983106:EPX983114 EZT983106:EZT983114 FJP983106:FJP983114 FTL983106:FTL983114 GDH983106:GDH983114 GND983106:GND983114 GWZ983106:GWZ983114 HGV983106:HGV983114 HQR983106:HQR983114 IAN983106:IAN983114 IKJ983106:IKJ983114 IUF983106:IUF983114 JEB983106:JEB983114 JNX983106:JNX983114 JXT983106:JXT983114 KHP983106:KHP983114 KRL983106:KRL983114 LBH983106:LBH983114 LLD983106:LLD983114 LUZ983106:LUZ983114 MEV983106:MEV983114 MOR983106:MOR983114 MYN983106:MYN983114 NIJ983106:NIJ983114 NSF983106:NSF983114 OCB983106:OCB983114 OLX983106:OLX983114 OVT983106:OVT983114 PFP983106:PFP983114 PPL983106:PPL983114 PZH983106:PZH983114 QJD983106:QJD983114 QSZ983106:QSZ983114 RCV983106:RCV983114 RMR983106:RMR983114 RWN983106:RWN983114 SGJ983106:SGJ983114 SQF983106:SQF983114 TAB983106:TAB983114 TJX983106:TJX983114 TTT983106:TTT983114 UDP983106:UDP983114 UNL983106:UNL983114 UXH983106:UXH983114 VHD983106:VHD983114 VQZ983106:VQZ983114 WAV983106:WAV983114 WKR983106:WKR983114 B54:B78" xr:uid="{00000000-0002-0000-0300-000005000000}"/>
  </dataValidations>
  <hyperlinks>
    <hyperlink ref="I132" location="IVA" display="Info IVA" xr:uid="{00000000-0004-0000-0300-000001000000}"/>
    <hyperlink ref="I130" location="gtosadm" display="Gastos de administración" xr:uid="{00000000-0004-0000-0300-000002000000}"/>
  </hyperlinks>
  <printOptions horizontalCentered="1"/>
  <pageMargins left="0" right="0" top="0" bottom="0" header="0" footer="0"/>
  <pageSetup scale="53"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disablePrompts="1" xWindow="814" yWindow="711" count="1">
        <x14:dataValidation type="list" allowBlank="1" showInputMessage="1" showErrorMessage="1" xr:uid="{00000000-0002-0000-0300-000007000000}">
          <x14:formula1>
            <xm:f>Honorarios!$A$9:$A$15</xm:f>
          </x14:formula1>
          <xm:sqref>A11:A34</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2">
    <tabColor theme="5" tint="0.39997558519241921"/>
    <pageSetUpPr fitToPage="1"/>
  </sheetPr>
  <dimension ref="A1:J13"/>
  <sheetViews>
    <sheetView showGridLines="0" zoomScaleNormal="100" zoomScaleSheetLayoutView="100" zoomScalePageLayoutView="90" workbookViewId="0">
      <selection activeCell="A17" sqref="A17:E17"/>
    </sheetView>
  </sheetViews>
  <sheetFormatPr baseColWidth="10" defaultColWidth="15.1640625" defaultRowHeight="20.100000000000001" customHeight="1" x14ac:dyDescent="0.2"/>
  <cols>
    <col min="1" max="1" width="31" style="61" customWidth="1"/>
    <col min="2" max="2" width="20.33203125" style="61" customWidth="1"/>
    <col min="3" max="3" width="17.1640625" style="61" customWidth="1"/>
    <col min="4" max="4" width="18.5" style="61" customWidth="1"/>
    <col min="5" max="5" width="15.1640625" style="61" customWidth="1"/>
    <col min="6" max="6" width="22" style="61" customWidth="1"/>
    <col min="7" max="7" width="12.1640625" style="61" customWidth="1"/>
    <col min="8" max="230" width="15.1640625" style="61"/>
    <col min="231" max="231" width="2.83203125" style="61" customWidth="1"/>
    <col min="232" max="232" width="26.33203125" style="61" customWidth="1"/>
    <col min="233" max="233" width="11.83203125" style="61" customWidth="1"/>
    <col min="234" max="234" width="17.6640625" style="61" customWidth="1"/>
    <col min="235" max="236" width="12.83203125" style="61" bestFit="1" customWidth="1"/>
    <col min="237" max="237" width="15.1640625" style="61"/>
    <col min="238" max="238" width="17.6640625" style="61" customWidth="1"/>
    <col min="239" max="239" width="15.5" style="61" customWidth="1"/>
    <col min="240" max="486" width="15.1640625" style="61"/>
    <col min="487" max="487" width="2.83203125" style="61" customWidth="1"/>
    <col min="488" max="488" width="26.33203125" style="61" customWidth="1"/>
    <col min="489" max="489" width="11.83203125" style="61" customWidth="1"/>
    <col min="490" max="490" width="17.6640625" style="61" customWidth="1"/>
    <col min="491" max="492" width="12.83203125" style="61" bestFit="1" customWidth="1"/>
    <col min="493" max="493" width="15.1640625" style="61"/>
    <col min="494" max="494" width="17.6640625" style="61" customWidth="1"/>
    <col min="495" max="495" width="15.5" style="61" customWidth="1"/>
    <col min="496" max="742" width="15.1640625" style="61"/>
    <col min="743" max="743" width="2.83203125" style="61" customWidth="1"/>
    <col min="744" max="744" width="26.33203125" style="61" customWidth="1"/>
    <col min="745" max="745" width="11.83203125" style="61" customWidth="1"/>
    <col min="746" max="746" width="17.6640625" style="61" customWidth="1"/>
    <col min="747" max="748" width="12.83203125" style="61" bestFit="1" customWidth="1"/>
    <col min="749" max="749" width="15.1640625" style="61"/>
    <col min="750" max="750" width="17.6640625" style="61" customWidth="1"/>
    <col min="751" max="751" width="15.5" style="61" customWidth="1"/>
    <col min="752" max="998" width="15.1640625" style="61"/>
    <col min="999" max="999" width="2.83203125" style="61" customWidth="1"/>
    <col min="1000" max="1000" width="26.33203125" style="61" customWidth="1"/>
    <col min="1001" max="1001" width="11.83203125" style="61" customWidth="1"/>
    <col min="1002" max="1002" width="17.6640625" style="61" customWidth="1"/>
    <col min="1003" max="1004" width="12.83203125" style="61" bestFit="1" customWidth="1"/>
    <col min="1005" max="1005" width="15.1640625" style="61"/>
    <col min="1006" max="1006" width="17.6640625" style="61" customWidth="1"/>
    <col min="1007" max="1007" width="15.5" style="61" customWidth="1"/>
    <col min="1008" max="1254" width="15.1640625" style="61"/>
    <col min="1255" max="1255" width="2.83203125" style="61" customWidth="1"/>
    <col min="1256" max="1256" width="26.33203125" style="61" customWidth="1"/>
    <col min="1257" max="1257" width="11.83203125" style="61" customWidth="1"/>
    <col min="1258" max="1258" width="17.6640625" style="61" customWidth="1"/>
    <col min="1259" max="1260" width="12.83203125" style="61" bestFit="1" customWidth="1"/>
    <col min="1261" max="1261" width="15.1640625" style="61"/>
    <col min="1262" max="1262" width="17.6640625" style="61" customWidth="1"/>
    <col min="1263" max="1263" width="15.5" style="61" customWidth="1"/>
    <col min="1264" max="1510" width="15.1640625" style="61"/>
    <col min="1511" max="1511" width="2.83203125" style="61" customWidth="1"/>
    <col min="1512" max="1512" width="26.33203125" style="61" customWidth="1"/>
    <col min="1513" max="1513" width="11.83203125" style="61" customWidth="1"/>
    <col min="1514" max="1514" width="17.6640625" style="61" customWidth="1"/>
    <col min="1515" max="1516" width="12.83203125" style="61" bestFit="1" customWidth="1"/>
    <col min="1517" max="1517" width="15.1640625" style="61"/>
    <col min="1518" max="1518" width="17.6640625" style="61" customWidth="1"/>
    <col min="1519" max="1519" width="15.5" style="61" customWidth="1"/>
    <col min="1520" max="1766" width="15.1640625" style="61"/>
    <col min="1767" max="1767" width="2.83203125" style="61" customWidth="1"/>
    <col min="1768" max="1768" width="26.33203125" style="61" customWidth="1"/>
    <col min="1769" max="1769" width="11.83203125" style="61" customWidth="1"/>
    <col min="1770" max="1770" width="17.6640625" style="61" customWidth="1"/>
    <col min="1771" max="1772" width="12.83203125" style="61" bestFit="1" customWidth="1"/>
    <col min="1773" max="1773" width="15.1640625" style="61"/>
    <col min="1774" max="1774" width="17.6640625" style="61" customWidth="1"/>
    <col min="1775" max="1775" width="15.5" style="61" customWidth="1"/>
    <col min="1776" max="2022" width="15.1640625" style="61"/>
    <col min="2023" max="2023" width="2.83203125" style="61" customWidth="1"/>
    <col min="2024" max="2024" width="26.33203125" style="61" customWidth="1"/>
    <col min="2025" max="2025" width="11.83203125" style="61" customWidth="1"/>
    <col min="2026" max="2026" width="17.6640625" style="61" customWidth="1"/>
    <col min="2027" max="2028" width="12.83203125" style="61" bestFit="1" customWidth="1"/>
    <col min="2029" max="2029" width="15.1640625" style="61"/>
    <col min="2030" max="2030" width="17.6640625" style="61" customWidth="1"/>
    <col min="2031" max="2031" width="15.5" style="61" customWidth="1"/>
    <col min="2032" max="2278" width="15.1640625" style="61"/>
    <col min="2279" max="2279" width="2.83203125" style="61" customWidth="1"/>
    <col min="2280" max="2280" width="26.33203125" style="61" customWidth="1"/>
    <col min="2281" max="2281" width="11.83203125" style="61" customWidth="1"/>
    <col min="2282" max="2282" width="17.6640625" style="61" customWidth="1"/>
    <col min="2283" max="2284" width="12.83203125" style="61" bestFit="1" customWidth="1"/>
    <col min="2285" max="2285" width="15.1640625" style="61"/>
    <col min="2286" max="2286" width="17.6640625" style="61" customWidth="1"/>
    <col min="2287" max="2287" width="15.5" style="61" customWidth="1"/>
    <col min="2288" max="2534" width="15.1640625" style="61"/>
    <col min="2535" max="2535" width="2.83203125" style="61" customWidth="1"/>
    <col min="2536" max="2536" width="26.33203125" style="61" customWidth="1"/>
    <col min="2537" max="2537" width="11.83203125" style="61" customWidth="1"/>
    <col min="2538" max="2538" width="17.6640625" style="61" customWidth="1"/>
    <col min="2539" max="2540" width="12.83203125" style="61" bestFit="1" customWidth="1"/>
    <col min="2541" max="2541" width="15.1640625" style="61"/>
    <col min="2542" max="2542" width="17.6640625" style="61" customWidth="1"/>
    <col min="2543" max="2543" width="15.5" style="61" customWidth="1"/>
    <col min="2544" max="2790" width="15.1640625" style="61"/>
    <col min="2791" max="2791" width="2.83203125" style="61" customWidth="1"/>
    <col min="2792" max="2792" width="26.33203125" style="61" customWidth="1"/>
    <col min="2793" max="2793" width="11.83203125" style="61" customWidth="1"/>
    <col min="2794" max="2794" width="17.6640625" style="61" customWidth="1"/>
    <col min="2795" max="2796" width="12.83203125" style="61" bestFit="1" customWidth="1"/>
    <col min="2797" max="2797" width="15.1640625" style="61"/>
    <col min="2798" max="2798" width="17.6640625" style="61" customWidth="1"/>
    <col min="2799" max="2799" width="15.5" style="61" customWidth="1"/>
    <col min="2800" max="3046" width="15.1640625" style="61"/>
    <col min="3047" max="3047" width="2.83203125" style="61" customWidth="1"/>
    <col min="3048" max="3048" width="26.33203125" style="61" customWidth="1"/>
    <col min="3049" max="3049" width="11.83203125" style="61" customWidth="1"/>
    <col min="3050" max="3050" width="17.6640625" style="61" customWidth="1"/>
    <col min="3051" max="3052" width="12.83203125" style="61" bestFit="1" customWidth="1"/>
    <col min="3053" max="3053" width="15.1640625" style="61"/>
    <col min="3054" max="3054" width="17.6640625" style="61" customWidth="1"/>
    <col min="3055" max="3055" width="15.5" style="61" customWidth="1"/>
    <col min="3056" max="3302" width="15.1640625" style="61"/>
    <col min="3303" max="3303" width="2.83203125" style="61" customWidth="1"/>
    <col min="3304" max="3304" width="26.33203125" style="61" customWidth="1"/>
    <col min="3305" max="3305" width="11.83203125" style="61" customWidth="1"/>
    <col min="3306" max="3306" width="17.6640625" style="61" customWidth="1"/>
    <col min="3307" max="3308" width="12.83203125" style="61" bestFit="1" customWidth="1"/>
    <col min="3309" max="3309" width="15.1640625" style="61"/>
    <col min="3310" max="3310" width="17.6640625" style="61" customWidth="1"/>
    <col min="3311" max="3311" width="15.5" style="61" customWidth="1"/>
    <col min="3312" max="3558" width="15.1640625" style="61"/>
    <col min="3559" max="3559" width="2.83203125" style="61" customWidth="1"/>
    <col min="3560" max="3560" width="26.33203125" style="61" customWidth="1"/>
    <col min="3561" max="3561" width="11.83203125" style="61" customWidth="1"/>
    <col min="3562" max="3562" width="17.6640625" style="61" customWidth="1"/>
    <col min="3563" max="3564" width="12.83203125" style="61" bestFit="1" customWidth="1"/>
    <col min="3565" max="3565" width="15.1640625" style="61"/>
    <col min="3566" max="3566" width="17.6640625" style="61" customWidth="1"/>
    <col min="3567" max="3567" width="15.5" style="61" customWidth="1"/>
    <col min="3568" max="3814" width="15.1640625" style="61"/>
    <col min="3815" max="3815" width="2.83203125" style="61" customWidth="1"/>
    <col min="3816" max="3816" width="26.33203125" style="61" customWidth="1"/>
    <col min="3817" max="3817" width="11.83203125" style="61" customWidth="1"/>
    <col min="3818" max="3818" width="17.6640625" style="61" customWidth="1"/>
    <col min="3819" max="3820" width="12.83203125" style="61" bestFit="1" customWidth="1"/>
    <col min="3821" max="3821" width="15.1640625" style="61"/>
    <col min="3822" max="3822" width="17.6640625" style="61" customWidth="1"/>
    <col min="3823" max="3823" width="15.5" style="61" customWidth="1"/>
    <col min="3824" max="4070" width="15.1640625" style="61"/>
    <col min="4071" max="4071" width="2.83203125" style="61" customWidth="1"/>
    <col min="4072" max="4072" width="26.33203125" style="61" customWidth="1"/>
    <col min="4073" max="4073" width="11.83203125" style="61" customWidth="1"/>
    <col min="4074" max="4074" width="17.6640625" style="61" customWidth="1"/>
    <col min="4075" max="4076" width="12.83203125" style="61" bestFit="1" customWidth="1"/>
    <col min="4077" max="4077" width="15.1640625" style="61"/>
    <col min="4078" max="4078" width="17.6640625" style="61" customWidth="1"/>
    <col min="4079" max="4079" width="15.5" style="61" customWidth="1"/>
    <col min="4080" max="4326" width="15.1640625" style="61"/>
    <col min="4327" max="4327" width="2.83203125" style="61" customWidth="1"/>
    <col min="4328" max="4328" width="26.33203125" style="61" customWidth="1"/>
    <col min="4329" max="4329" width="11.83203125" style="61" customWidth="1"/>
    <col min="4330" max="4330" width="17.6640625" style="61" customWidth="1"/>
    <col min="4331" max="4332" width="12.83203125" style="61" bestFit="1" customWidth="1"/>
    <col min="4333" max="4333" width="15.1640625" style="61"/>
    <col min="4334" max="4334" width="17.6640625" style="61" customWidth="1"/>
    <col min="4335" max="4335" width="15.5" style="61" customWidth="1"/>
    <col min="4336" max="4582" width="15.1640625" style="61"/>
    <col min="4583" max="4583" width="2.83203125" style="61" customWidth="1"/>
    <col min="4584" max="4584" width="26.33203125" style="61" customWidth="1"/>
    <col min="4585" max="4585" width="11.83203125" style="61" customWidth="1"/>
    <col min="4586" max="4586" width="17.6640625" style="61" customWidth="1"/>
    <col min="4587" max="4588" width="12.83203125" style="61" bestFit="1" customWidth="1"/>
    <col min="4589" max="4589" width="15.1640625" style="61"/>
    <col min="4590" max="4590" width="17.6640625" style="61" customWidth="1"/>
    <col min="4591" max="4591" width="15.5" style="61" customWidth="1"/>
    <col min="4592" max="4838" width="15.1640625" style="61"/>
    <col min="4839" max="4839" width="2.83203125" style="61" customWidth="1"/>
    <col min="4840" max="4840" width="26.33203125" style="61" customWidth="1"/>
    <col min="4841" max="4841" width="11.83203125" style="61" customWidth="1"/>
    <col min="4842" max="4842" width="17.6640625" style="61" customWidth="1"/>
    <col min="4843" max="4844" width="12.83203125" style="61" bestFit="1" customWidth="1"/>
    <col min="4845" max="4845" width="15.1640625" style="61"/>
    <col min="4846" max="4846" width="17.6640625" style="61" customWidth="1"/>
    <col min="4847" max="4847" width="15.5" style="61" customWidth="1"/>
    <col min="4848" max="5094" width="15.1640625" style="61"/>
    <col min="5095" max="5095" width="2.83203125" style="61" customWidth="1"/>
    <col min="5096" max="5096" width="26.33203125" style="61" customWidth="1"/>
    <col min="5097" max="5097" width="11.83203125" style="61" customWidth="1"/>
    <col min="5098" max="5098" width="17.6640625" style="61" customWidth="1"/>
    <col min="5099" max="5100" width="12.83203125" style="61" bestFit="1" customWidth="1"/>
    <col min="5101" max="5101" width="15.1640625" style="61"/>
    <col min="5102" max="5102" width="17.6640625" style="61" customWidth="1"/>
    <col min="5103" max="5103" width="15.5" style="61" customWidth="1"/>
    <col min="5104" max="5350" width="15.1640625" style="61"/>
    <col min="5351" max="5351" width="2.83203125" style="61" customWidth="1"/>
    <col min="5352" max="5352" width="26.33203125" style="61" customWidth="1"/>
    <col min="5353" max="5353" width="11.83203125" style="61" customWidth="1"/>
    <col min="5354" max="5354" width="17.6640625" style="61" customWidth="1"/>
    <col min="5355" max="5356" width="12.83203125" style="61" bestFit="1" customWidth="1"/>
    <col min="5357" max="5357" width="15.1640625" style="61"/>
    <col min="5358" max="5358" width="17.6640625" style="61" customWidth="1"/>
    <col min="5359" max="5359" width="15.5" style="61" customWidth="1"/>
    <col min="5360" max="5606" width="15.1640625" style="61"/>
    <col min="5607" max="5607" width="2.83203125" style="61" customWidth="1"/>
    <col min="5608" max="5608" width="26.33203125" style="61" customWidth="1"/>
    <col min="5609" max="5609" width="11.83203125" style="61" customWidth="1"/>
    <col min="5610" max="5610" width="17.6640625" style="61" customWidth="1"/>
    <col min="5611" max="5612" width="12.83203125" style="61" bestFit="1" customWidth="1"/>
    <col min="5613" max="5613" width="15.1640625" style="61"/>
    <col min="5614" max="5614" width="17.6640625" style="61" customWidth="1"/>
    <col min="5615" max="5615" width="15.5" style="61" customWidth="1"/>
    <col min="5616" max="5862" width="15.1640625" style="61"/>
    <col min="5863" max="5863" width="2.83203125" style="61" customWidth="1"/>
    <col min="5864" max="5864" width="26.33203125" style="61" customWidth="1"/>
    <col min="5865" max="5865" width="11.83203125" style="61" customWidth="1"/>
    <col min="5866" max="5866" width="17.6640625" style="61" customWidth="1"/>
    <col min="5867" max="5868" width="12.83203125" style="61" bestFit="1" customWidth="1"/>
    <col min="5869" max="5869" width="15.1640625" style="61"/>
    <col min="5870" max="5870" width="17.6640625" style="61" customWidth="1"/>
    <col min="5871" max="5871" width="15.5" style="61" customWidth="1"/>
    <col min="5872" max="6118" width="15.1640625" style="61"/>
    <col min="6119" max="6119" width="2.83203125" style="61" customWidth="1"/>
    <col min="6120" max="6120" width="26.33203125" style="61" customWidth="1"/>
    <col min="6121" max="6121" width="11.83203125" style="61" customWidth="1"/>
    <col min="6122" max="6122" width="17.6640625" style="61" customWidth="1"/>
    <col min="6123" max="6124" width="12.83203125" style="61" bestFit="1" customWidth="1"/>
    <col min="6125" max="6125" width="15.1640625" style="61"/>
    <col min="6126" max="6126" width="17.6640625" style="61" customWidth="1"/>
    <col min="6127" max="6127" width="15.5" style="61" customWidth="1"/>
    <col min="6128" max="6374" width="15.1640625" style="61"/>
    <col min="6375" max="6375" width="2.83203125" style="61" customWidth="1"/>
    <col min="6376" max="6376" width="26.33203125" style="61" customWidth="1"/>
    <col min="6377" max="6377" width="11.83203125" style="61" customWidth="1"/>
    <col min="6378" max="6378" width="17.6640625" style="61" customWidth="1"/>
    <col min="6379" max="6380" width="12.83203125" style="61" bestFit="1" customWidth="1"/>
    <col min="6381" max="6381" width="15.1640625" style="61"/>
    <col min="6382" max="6382" width="17.6640625" style="61" customWidth="1"/>
    <col min="6383" max="6383" width="15.5" style="61" customWidth="1"/>
    <col min="6384" max="6630" width="15.1640625" style="61"/>
    <col min="6631" max="6631" width="2.83203125" style="61" customWidth="1"/>
    <col min="6632" max="6632" width="26.33203125" style="61" customWidth="1"/>
    <col min="6633" max="6633" width="11.83203125" style="61" customWidth="1"/>
    <col min="6634" max="6634" width="17.6640625" style="61" customWidth="1"/>
    <col min="6635" max="6636" width="12.83203125" style="61" bestFit="1" customWidth="1"/>
    <col min="6637" max="6637" width="15.1640625" style="61"/>
    <col min="6638" max="6638" width="17.6640625" style="61" customWidth="1"/>
    <col min="6639" max="6639" width="15.5" style="61" customWidth="1"/>
    <col min="6640" max="6886" width="15.1640625" style="61"/>
    <col min="6887" max="6887" width="2.83203125" style="61" customWidth="1"/>
    <col min="6888" max="6888" width="26.33203125" style="61" customWidth="1"/>
    <col min="6889" max="6889" width="11.83203125" style="61" customWidth="1"/>
    <col min="6890" max="6890" width="17.6640625" style="61" customWidth="1"/>
    <col min="6891" max="6892" width="12.83203125" style="61" bestFit="1" customWidth="1"/>
    <col min="6893" max="6893" width="15.1640625" style="61"/>
    <col min="6894" max="6894" width="17.6640625" style="61" customWidth="1"/>
    <col min="6895" max="6895" width="15.5" style="61" customWidth="1"/>
    <col min="6896" max="7142" width="15.1640625" style="61"/>
    <col min="7143" max="7143" width="2.83203125" style="61" customWidth="1"/>
    <col min="7144" max="7144" width="26.33203125" style="61" customWidth="1"/>
    <col min="7145" max="7145" width="11.83203125" style="61" customWidth="1"/>
    <col min="7146" max="7146" width="17.6640625" style="61" customWidth="1"/>
    <col min="7147" max="7148" width="12.83203125" style="61" bestFit="1" customWidth="1"/>
    <col min="7149" max="7149" width="15.1640625" style="61"/>
    <col min="7150" max="7150" width="17.6640625" style="61" customWidth="1"/>
    <col min="7151" max="7151" width="15.5" style="61" customWidth="1"/>
    <col min="7152" max="7398" width="15.1640625" style="61"/>
    <col min="7399" max="7399" width="2.83203125" style="61" customWidth="1"/>
    <col min="7400" max="7400" width="26.33203125" style="61" customWidth="1"/>
    <col min="7401" max="7401" width="11.83203125" style="61" customWidth="1"/>
    <col min="7402" max="7402" width="17.6640625" style="61" customWidth="1"/>
    <col min="7403" max="7404" width="12.83203125" style="61" bestFit="1" customWidth="1"/>
    <col min="7405" max="7405" width="15.1640625" style="61"/>
    <col min="7406" max="7406" width="17.6640625" style="61" customWidth="1"/>
    <col min="7407" max="7407" width="15.5" style="61" customWidth="1"/>
    <col min="7408" max="7654" width="15.1640625" style="61"/>
    <col min="7655" max="7655" width="2.83203125" style="61" customWidth="1"/>
    <col min="7656" max="7656" width="26.33203125" style="61" customWidth="1"/>
    <col min="7657" max="7657" width="11.83203125" style="61" customWidth="1"/>
    <col min="7658" max="7658" width="17.6640625" style="61" customWidth="1"/>
    <col min="7659" max="7660" width="12.83203125" style="61" bestFit="1" customWidth="1"/>
    <col min="7661" max="7661" width="15.1640625" style="61"/>
    <col min="7662" max="7662" width="17.6640625" style="61" customWidth="1"/>
    <col min="7663" max="7663" width="15.5" style="61" customWidth="1"/>
    <col min="7664" max="7910" width="15.1640625" style="61"/>
    <col min="7911" max="7911" width="2.83203125" style="61" customWidth="1"/>
    <col min="7912" max="7912" width="26.33203125" style="61" customWidth="1"/>
    <col min="7913" max="7913" width="11.83203125" style="61" customWidth="1"/>
    <col min="7914" max="7914" width="17.6640625" style="61" customWidth="1"/>
    <col min="7915" max="7916" width="12.83203125" style="61" bestFit="1" customWidth="1"/>
    <col min="7917" max="7917" width="15.1640625" style="61"/>
    <col min="7918" max="7918" width="17.6640625" style="61" customWidth="1"/>
    <col min="7919" max="7919" width="15.5" style="61" customWidth="1"/>
    <col min="7920" max="8166" width="15.1640625" style="61"/>
    <col min="8167" max="8167" width="2.83203125" style="61" customWidth="1"/>
    <col min="8168" max="8168" width="26.33203125" style="61" customWidth="1"/>
    <col min="8169" max="8169" width="11.83203125" style="61" customWidth="1"/>
    <col min="8170" max="8170" width="17.6640625" style="61" customWidth="1"/>
    <col min="8171" max="8172" width="12.83203125" style="61" bestFit="1" customWidth="1"/>
    <col min="8173" max="8173" width="15.1640625" style="61"/>
    <col min="8174" max="8174" width="17.6640625" style="61" customWidth="1"/>
    <col min="8175" max="8175" width="15.5" style="61" customWidth="1"/>
    <col min="8176" max="8422" width="15.1640625" style="61"/>
    <col min="8423" max="8423" width="2.83203125" style="61" customWidth="1"/>
    <col min="8424" max="8424" width="26.33203125" style="61" customWidth="1"/>
    <col min="8425" max="8425" width="11.83203125" style="61" customWidth="1"/>
    <col min="8426" max="8426" width="17.6640625" style="61" customWidth="1"/>
    <col min="8427" max="8428" width="12.83203125" style="61" bestFit="1" customWidth="1"/>
    <col min="8429" max="8429" width="15.1640625" style="61"/>
    <col min="8430" max="8430" width="17.6640625" style="61" customWidth="1"/>
    <col min="8431" max="8431" width="15.5" style="61" customWidth="1"/>
    <col min="8432" max="8678" width="15.1640625" style="61"/>
    <col min="8679" max="8679" width="2.83203125" style="61" customWidth="1"/>
    <col min="8680" max="8680" width="26.33203125" style="61" customWidth="1"/>
    <col min="8681" max="8681" width="11.83203125" style="61" customWidth="1"/>
    <col min="8682" max="8682" width="17.6640625" style="61" customWidth="1"/>
    <col min="8683" max="8684" width="12.83203125" style="61" bestFit="1" customWidth="1"/>
    <col min="8685" max="8685" width="15.1640625" style="61"/>
    <col min="8686" max="8686" width="17.6640625" style="61" customWidth="1"/>
    <col min="8687" max="8687" width="15.5" style="61" customWidth="1"/>
    <col min="8688" max="8934" width="15.1640625" style="61"/>
    <col min="8935" max="8935" width="2.83203125" style="61" customWidth="1"/>
    <col min="8936" max="8936" width="26.33203125" style="61" customWidth="1"/>
    <col min="8937" max="8937" width="11.83203125" style="61" customWidth="1"/>
    <col min="8938" max="8938" width="17.6640625" style="61" customWidth="1"/>
    <col min="8939" max="8940" width="12.83203125" style="61" bestFit="1" customWidth="1"/>
    <col min="8941" max="8941" width="15.1640625" style="61"/>
    <col min="8942" max="8942" width="17.6640625" style="61" customWidth="1"/>
    <col min="8943" max="8943" width="15.5" style="61" customWidth="1"/>
    <col min="8944" max="9190" width="15.1640625" style="61"/>
    <col min="9191" max="9191" width="2.83203125" style="61" customWidth="1"/>
    <col min="9192" max="9192" width="26.33203125" style="61" customWidth="1"/>
    <col min="9193" max="9193" width="11.83203125" style="61" customWidth="1"/>
    <col min="9194" max="9194" width="17.6640625" style="61" customWidth="1"/>
    <col min="9195" max="9196" width="12.83203125" style="61" bestFit="1" customWidth="1"/>
    <col min="9197" max="9197" width="15.1640625" style="61"/>
    <col min="9198" max="9198" width="17.6640625" style="61" customWidth="1"/>
    <col min="9199" max="9199" width="15.5" style="61" customWidth="1"/>
    <col min="9200" max="9446" width="15.1640625" style="61"/>
    <col min="9447" max="9447" width="2.83203125" style="61" customWidth="1"/>
    <col min="9448" max="9448" width="26.33203125" style="61" customWidth="1"/>
    <col min="9449" max="9449" width="11.83203125" style="61" customWidth="1"/>
    <col min="9450" max="9450" width="17.6640625" style="61" customWidth="1"/>
    <col min="9451" max="9452" width="12.83203125" style="61" bestFit="1" customWidth="1"/>
    <col min="9453" max="9453" width="15.1640625" style="61"/>
    <col min="9454" max="9454" width="17.6640625" style="61" customWidth="1"/>
    <col min="9455" max="9455" width="15.5" style="61" customWidth="1"/>
    <col min="9456" max="9702" width="15.1640625" style="61"/>
    <col min="9703" max="9703" width="2.83203125" style="61" customWidth="1"/>
    <col min="9704" max="9704" width="26.33203125" style="61" customWidth="1"/>
    <col min="9705" max="9705" width="11.83203125" style="61" customWidth="1"/>
    <col min="9706" max="9706" width="17.6640625" style="61" customWidth="1"/>
    <col min="9707" max="9708" width="12.83203125" style="61" bestFit="1" customWidth="1"/>
    <col min="9709" max="9709" width="15.1640625" style="61"/>
    <col min="9710" max="9710" width="17.6640625" style="61" customWidth="1"/>
    <col min="9711" max="9711" width="15.5" style="61" customWidth="1"/>
    <col min="9712" max="9958" width="15.1640625" style="61"/>
    <col min="9959" max="9959" width="2.83203125" style="61" customWidth="1"/>
    <col min="9960" max="9960" width="26.33203125" style="61" customWidth="1"/>
    <col min="9961" max="9961" width="11.83203125" style="61" customWidth="1"/>
    <col min="9962" max="9962" width="17.6640625" style="61" customWidth="1"/>
    <col min="9963" max="9964" width="12.83203125" style="61" bestFit="1" customWidth="1"/>
    <col min="9965" max="9965" width="15.1640625" style="61"/>
    <col min="9966" max="9966" width="17.6640625" style="61" customWidth="1"/>
    <col min="9967" max="9967" width="15.5" style="61" customWidth="1"/>
    <col min="9968" max="10214" width="15.1640625" style="61"/>
    <col min="10215" max="10215" width="2.83203125" style="61" customWidth="1"/>
    <col min="10216" max="10216" width="26.33203125" style="61" customWidth="1"/>
    <col min="10217" max="10217" width="11.83203125" style="61" customWidth="1"/>
    <col min="10218" max="10218" width="17.6640625" style="61" customWidth="1"/>
    <col min="10219" max="10220" width="12.83203125" style="61" bestFit="1" customWidth="1"/>
    <col min="10221" max="10221" width="15.1640625" style="61"/>
    <col min="10222" max="10222" width="17.6640625" style="61" customWidth="1"/>
    <col min="10223" max="10223" width="15.5" style="61" customWidth="1"/>
    <col min="10224" max="10470" width="15.1640625" style="61"/>
    <col min="10471" max="10471" width="2.83203125" style="61" customWidth="1"/>
    <col min="10472" max="10472" width="26.33203125" style="61" customWidth="1"/>
    <col min="10473" max="10473" width="11.83203125" style="61" customWidth="1"/>
    <col min="10474" max="10474" width="17.6640625" style="61" customWidth="1"/>
    <col min="10475" max="10476" width="12.83203125" style="61" bestFit="1" customWidth="1"/>
    <col min="10477" max="10477" width="15.1640625" style="61"/>
    <col min="10478" max="10478" width="17.6640625" style="61" customWidth="1"/>
    <col min="10479" max="10479" width="15.5" style="61" customWidth="1"/>
    <col min="10480" max="10726" width="15.1640625" style="61"/>
    <col min="10727" max="10727" width="2.83203125" style="61" customWidth="1"/>
    <col min="10728" max="10728" width="26.33203125" style="61" customWidth="1"/>
    <col min="10729" max="10729" width="11.83203125" style="61" customWidth="1"/>
    <col min="10730" max="10730" width="17.6640625" style="61" customWidth="1"/>
    <col min="10731" max="10732" width="12.83203125" style="61" bestFit="1" customWidth="1"/>
    <col min="10733" max="10733" width="15.1640625" style="61"/>
    <col min="10734" max="10734" width="17.6640625" style="61" customWidth="1"/>
    <col min="10735" max="10735" width="15.5" style="61" customWidth="1"/>
    <col min="10736" max="10982" width="15.1640625" style="61"/>
    <col min="10983" max="10983" width="2.83203125" style="61" customWidth="1"/>
    <col min="10984" max="10984" width="26.33203125" style="61" customWidth="1"/>
    <col min="10985" max="10985" width="11.83203125" style="61" customWidth="1"/>
    <col min="10986" max="10986" width="17.6640625" style="61" customWidth="1"/>
    <col min="10987" max="10988" width="12.83203125" style="61" bestFit="1" customWidth="1"/>
    <col min="10989" max="10989" width="15.1640625" style="61"/>
    <col min="10990" max="10990" width="17.6640625" style="61" customWidth="1"/>
    <col min="10991" max="10991" width="15.5" style="61" customWidth="1"/>
    <col min="10992" max="11238" width="15.1640625" style="61"/>
    <col min="11239" max="11239" width="2.83203125" style="61" customWidth="1"/>
    <col min="11240" max="11240" width="26.33203125" style="61" customWidth="1"/>
    <col min="11241" max="11241" width="11.83203125" style="61" customWidth="1"/>
    <col min="11242" max="11242" width="17.6640625" style="61" customWidth="1"/>
    <col min="11243" max="11244" width="12.83203125" style="61" bestFit="1" customWidth="1"/>
    <col min="11245" max="11245" width="15.1640625" style="61"/>
    <col min="11246" max="11246" width="17.6640625" style="61" customWidth="1"/>
    <col min="11247" max="11247" width="15.5" style="61" customWidth="1"/>
    <col min="11248" max="11494" width="15.1640625" style="61"/>
    <col min="11495" max="11495" width="2.83203125" style="61" customWidth="1"/>
    <col min="11496" max="11496" width="26.33203125" style="61" customWidth="1"/>
    <col min="11497" max="11497" width="11.83203125" style="61" customWidth="1"/>
    <col min="11498" max="11498" width="17.6640625" style="61" customWidth="1"/>
    <col min="11499" max="11500" width="12.83203125" style="61" bestFit="1" customWidth="1"/>
    <col min="11501" max="11501" width="15.1640625" style="61"/>
    <col min="11502" max="11502" width="17.6640625" style="61" customWidth="1"/>
    <col min="11503" max="11503" width="15.5" style="61" customWidth="1"/>
    <col min="11504" max="11750" width="15.1640625" style="61"/>
    <col min="11751" max="11751" width="2.83203125" style="61" customWidth="1"/>
    <col min="11752" max="11752" width="26.33203125" style="61" customWidth="1"/>
    <col min="11753" max="11753" width="11.83203125" style="61" customWidth="1"/>
    <col min="11754" max="11754" width="17.6640625" style="61" customWidth="1"/>
    <col min="11755" max="11756" width="12.83203125" style="61" bestFit="1" customWidth="1"/>
    <col min="11757" max="11757" width="15.1640625" style="61"/>
    <col min="11758" max="11758" width="17.6640625" style="61" customWidth="1"/>
    <col min="11759" max="11759" width="15.5" style="61" customWidth="1"/>
    <col min="11760" max="12006" width="15.1640625" style="61"/>
    <col min="12007" max="12007" width="2.83203125" style="61" customWidth="1"/>
    <col min="12008" max="12008" width="26.33203125" style="61" customWidth="1"/>
    <col min="12009" max="12009" width="11.83203125" style="61" customWidth="1"/>
    <col min="12010" max="12010" width="17.6640625" style="61" customWidth="1"/>
    <col min="12011" max="12012" width="12.83203125" style="61" bestFit="1" customWidth="1"/>
    <col min="12013" max="12013" width="15.1640625" style="61"/>
    <col min="12014" max="12014" width="17.6640625" style="61" customWidth="1"/>
    <col min="12015" max="12015" width="15.5" style="61" customWidth="1"/>
    <col min="12016" max="12262" width="15.1640625" style="61"/>
    <col min="12263" max="12263" width="2.83203125" style="61" customWidth="1"/>
    <col min="12264" max="12264" width="26.33203125" style="61" customWidth="1"/>
    <col min="12265" max="12265" width="11.83203125" style="61" customWidth="1"/>
    <col min="12266" max="12266" width="17.6640625" style="61" customWidth="1"/>
    <col min="12267" max="12268" width="12.83203125" style="61" bestFit="1" customWidth="1"/>
    <col min="12269" max="12269" width="15.1640625" style="61"/>
    <col min="12270" max="12270" width="17.6640625" style="61" customWidth="1"/>
    <col min="12271" max="12271" width="15.5" style="61" customWidth="1"/>
    <col min="12272" max="12518" width="15.1640625" style="61"/>
    <col min="12519" max="12519" width="2.83203125" style="61" customWidth="1"/>
    <col min="12520" max="12520" width="26.33203125" style="61" customWidth="1"/>
    <col min="12521" max="12521" width="11.83203125" style="61" customWidth="1"/>
    <col min="12522" max="12522" width="17.6640625" style="61" customWidth="1"/>
    <col min="12523" max="12524" width="12.83203125" style="61" bestFit="1" customWidth="1"/>
    <col min="12525" max="12525" width="15.1640625" style="61"/>
    <col min="12526" max="12526" width="17.6640625" style="61" customWidth="1"/>
    <col min="12527" max="12527" width="15.5" style="61" customWidth="1"/>
    <col min="12528" max="12774" width="15.1640625" style="61"/>
    <col min="12775" max="12775" width="2.83203125" style="61" customWidth="1"/>
    <col min="12776" max="12776" width="26.33203125" style="61" customWidth="1"/>
    <col min="12777" max="12777" width="11.83203125" style="61" customWidth="1"/>
    <col min="12778" max="12778" width="17.6640625" style="61" customWidth="1"/>
    <col min="12779" max="12780" width="12.83203125" style="61" bestFit="1" customWidth="1"/>
    <col min="12781" max="12781" width="15.1640625" style="61"/>
    <col min="12782" max="12782" width="17.6640625" style="61" customWidth="1"/>
    <col min="12783" max="12783" width="15.5" style="61" customWidth="1"/>
    <col min="12784" max="13030" width="15.1640625" style="61"/>
    <col min="13031" max="13031" width="2.83203125" style="61" customWidth="1"/>
    <col min="13032" max="13032" width="26.33203125" style="61" customWidth="1"/>
    <col min="13033" max="13033" width="11.83203125" style="61" customWidth="1"/>
    <col min="13034" max="13034" width="17.6640625" style="61" customWidth="1"/>
    <col min="13035" max="13036" width="12.83203125" style="61" bestFit="1" customWidth="1"/>
    <col min="13037" max="13037" width="15.1640625" style="61"/>
    <col min="13038" max="13038" width="17.6640625" style="61" customWidth="1"/>
    <col min="13039" max="13039" width="15.5" style="61" customWidth="1"/>
    <col min="13040" max="13286" width="15.1640625" style="61"/>
    <col min="13287" max="13287" width="2.83203125" style="61" customWidth="1"/>
    <col min="13288" max="13288" width="26.33203125" style="61" customWidth="1"/>
    <col min="13289" max="13289" width="11.83203125" style="61" customWidth="1"/>
    <col min="13290" max="13290" width="17.6640625" style="61" customWidth="1"/>
    <col min="13291" max="13292" width="12.83203125" style="61" bestFit="1" customWidth="1"/>
    <col min="13293" max="13293" width="15.1640625" style="61"/>
    <col min="13294" max="13294" width="17.6640625" style="61" customWidth="1"/>
    <col min="13295" max="13295" width="15.5" style="61" customWidth="1"/>
    <col min="13296" max="13542" width="15.1640625" style="61"/>
    <col min="13543" max="13543" width="2.83203125" style="61" customWidth="1"/>
    <col min="13544" max="13544" width="26.33203125" style="61" customWidth="1"/>
    <col min="13545" max="13545" width="11.83203125" style="61" customWidth="1"/>
    <col min="13546" max="13546" width="17.6640625" style="61" customWidth="1"/>
    <col min="13547" max="13548" width="12.83203125" style="61" bestFit="1" customWidth="1"/>
    <col min="13549" max="13549" width="15.1640625" style="61"/>
    <col min="13550" max="13550" width="17.6640625" style="61" customWidth="1"/>
    <col min="13551" max="13551" width="15.5" style="61" customWidth="1"/>
    <col min="13552" max="13798" width="15.1640625" style="61"/>
    <col min="13799" max="13799" width="2.83203125" style="61" customWidth="1"/>
    <col min="13800" max="13800" width="26.33203125" style="61" customWidth="1"/>
    <col min="13801" max="13801" width="11.83203125" style="61" customWidth="1"/>
    <col min="13802" max="13802" width="17.6640625" style="61" customWidth="1"/>
    <col min="13803" max="13804" width="12.83203125" style="61" bestFit="1" customWidth="1"/>
    <col min="13805" max="13805" width="15.1640625" style="61"/>
    <col min="13806" max="13806" width="17.6640625" style="61" customWidth="1"/>
    <col min="13807" max="13807" width="15.5" style="61" customWidth="1"/>
    <col min="13808" max="14054" width="15.1640625" style="61"/>
    <col min="14055" max="14055" width="2.83203125" style="61" customWidth="1"/>
    <col min="14056" max="14056" width="26.33203125" style="61" customWidth="1"/>
    <col min="14057" max="14057" width="11.83203125" style="61" customWidth="1"/>
    <col min="14058" max="14058" width="17.6640625" style="61" customWidth="1"/>
    <col min="14059" max="14060" width="12.83203125" style="61" bestFit="1" customWidth="1"/>
    <col min="14061" max="14061" width="15.1640625" style="61"/>
    <col min="14062" max="14062" width="17.6640625" style="61" customWidth="1"/>
    <col min="14063" max="14063" width="15.5" style="61" customWidth="1"/>
    <col min="14064" max="14310" width="15.1640625" style="61"/>
    <col min="14311" max="14311" width="2.83203125" style="61" customWidth="1"/>
    <col min="14312" max="14312" width="26.33203125" style="61" customWidth="1"/>
    <col min="14313" max="14313" width="11.83203125" style="61" customWidth="1"/>
    <col min="14314" max="14314" width="17.6640625" style="61" customWidth="1"/>
    <col min="14315" max="14316" width="12.83203125" style="61" bestFit="1" customWidth="1"/>
    <col min="14317" max="14317" width="15.1640625" style="61"/>
    <col min="14318" max="14318" width="17.6640625" style="61" customWidth="1"/>
    <col min="14319" max="14319" width="15.5" style="61" customWidth="1"/>
    <col min="14320" max="14566" width="15.1640625" style="61"/>
    <col min="14567" max="14567" width="2.83203125" style="61" customWidth="1"/>
    <col min="14568" max="14568" width="26.33203125" style="61" customWidth="1"/>
    <col min="14569" max="14569" width="11.83203125" style="61" customWidth="1"/>
    <col min="14570" max="14570" width="17.6640625" style="61" customWidth="1"/>
    <col min="14571" max="14572" width="12.83203125" style="61" bestFit="1" customWidth="1"/>
    <col min="14573" max="14573" width="15.1640625" style="61"/>
    <col min="14574" max="14574" width="17.6640625" style="61" customWidth="1"/>
    <col min="14575" max="14575" width="15.5" style="61" customWidth="1"/>
    <col min="14576" max="14822" width="15.1640625" style="61"/>
    <col min="14823" max="14823" width="2.83203125" style="61" customWidth="1"/>
    <col min="14824" max="14824" width="26.33203125" style="61" customWidth="1"/>
    <col min="14825" max="14825" width="11.83203125" style="61" customWidth="1"/>
    <col min="14826" max="14826" width="17.6640625" style="61" customWidth="1"/>
    <col min="14827" max="14828" width="12.83203125" style="61" bestFit="1" customWidth="1"/>
    <col min="14829" max="14829" width="15.1640625" style="61"/>
    <col min="14830" max="14830" width="17.6640625" style="61" customWidth="1"/>
    <col min="14831" max="14831" width="15.5" style="61" customWidth="1"/>
    <col min="14832" max="15078" width="15.1640625" style="61"/>
    <col min="15079" max="15079" width="2.83203125" style="61" customWidth="1"/>
    <col min="15080" max="15080" width="26.33203125" style="61" customWidth="1"/>
    <col min="15081" max="15081" width="11.83203125" style="61" customWidth="1"/>
    <col min="15082" max="15082" width="17.6640625" style="61" customWidth="1"/>
    <col min="15083" max="15084" width="12.83203125" style="61" bestFit="1" customWidth="1"/>
    <col min="15085" max="15085" width="15.1640625" style="61"/>
    <col min="15086" max="15086" width="17.6640625" style="61" customWidth="1"/>
    <col min="15087" max="15087" width="15.5" style="61" customWidth="1"/>
    <col min="15088" max="15334" width="15.1640625" style="61"/>
    <col min="15335" max="15335" width="2.83203125" style="61" customWidth="1"/>
    <col min="15336" max="15336" width="26.33203125" style="61" customWidth="1"/>
    <col min="15337" max="15337" width="11.83203125" style="61" customWidth="1"/>
    <col min="15338" max="15338" width="17.6640625" style="61" customWidth="1"/>
    <col min="15339" max="15340" width="12.83203125" style="61" bestFit="1" customWidth="1"/>
    <col min="15341" max="15341" width="15.1640625" style="61"/>
    <col min="15342" max="15342" width="17.6640625" style="61" customWidth="1"/>
    <col min="15343" max="15343" width="15.5" style="61" customWidth="1"/>
    <col min="15344" max="15590" width="15.1640625" style="61"/>
    <col min="15591" max="15591" width="2.83203125" style="61" customWidth="1"/>
    <col min="15592" max="15592" width="26.33203125" style="61" customWidth="1"/>
    <col min="15593" max="15593" width="11.83203125" style="61" customWidth="1"/>
    <col min="15594" max="15594" width="17.6640625" style="61" customWidth="1"/>
    <col min="15595" max="15596" width="12.83203125" style="61" bestFit="1" customWidth="1"/>
    <col min="15597" max="15597" width="15.1640625" style="61"/>
    <col min="15598" max="15598" width="17.6640625" style="61" customWidth="1"/>
    <col min="15599" max="15599" width="15.5" style="61" customWidth="1"/>
    <col min="15600" max="15846" width="15.1640625" style="61"/>
    <col min="15847" max="15847" width="2.83203125" style="61" customWidth="1"/>
    <col min="15848" max="15848" width="26.33203125" style="61" customWidth="1"/>
    <col min="15849" max="15849" width="11.83203125" style="61" customWidth="1"/>
    <col min="15850" max="15850" width="17.6640625" style="61" customWidth="1"/>
    <col min="15851" max="15852" width="12.83203125" style="61" bestFit="1" customWidth="1"/>
    <col min="15853" max="15853" width="15.1640625" style="61"/>
    <col min="15854" max="15854" width="17.6640625" style="61" customWidth="1"/>
    <col min="15855" max="15855" width="15.5" style="61" customWidth="1"/>
    <col min="15856" max="16102" width="15.1640625" style="61"/>
    <col min="16103" max="16103" width="2.83203125" style="61" customWidth="1"/>
    <col min="16104" max="16104" width="26.33203125" style="61" customWidth="1"/>
    <col min="16105" max="16105" width="11.83203125" style="61" customWidth="1"/>
    <col min="16106" max="16106" width="17.6640625" style="61" customWidth="1"/>
    <col min="16107" max="16108" width="12.83203125" style="61" bestFit="1" customWidth="1"/>
    <col min="16109" max="16109" width="15.1640625" style="61"/>
    <col min="16110" max="16110" width="17.6640625" style="61" customWidth="1"/>
    <col min="16111" max="16111" width="15.5" style="61" customWidth="1"/>
    <col min="16112" max="16384" width="15.1640625" style="61"/>
  </cols>
  <sheetData>
    <row r="1" spans="1:10" ht="20.100000000000001" customHeight="1" x14ac:dyDescent="0.2">
      <c r="A1" s="1129"/>
      <c r="B1" s="947" t="s">
        <v>0</v>
      </c>
      <c r="C1" s="948"/>
      <c r="D1" s="948"/>
      <c r="E1" s="948"/>
      <c r="F1" s="949"/>
      <c r="G1" s="715" t="s">
        <v>104</v>
      </c>
      <c r="H1" s="62"/>
    </row>
    <row r="2" spans="1:10" ht="20.100000000000001" customHeight="1" x14ac:dyDescent="0.2">
      <c r="A2" s="1131"/>
      <c r="B2" s="950" t="s">
        <v>395</v>
      </c>
      <c r="C2" s="951"/>
      <c r="D2" s="951"/>
      <c r="E2" s="951"/>
      <c r="F2" s="952"/>
      <c r="G2" s="715" t="s">
        <v>396</v>
      </c>
    </row>
    <row r="3" spans="1:10" ht="20.100000000000001" customHeight="1" thickBot="1" x14ac:dyDescent="0.25">
      <c r="A3" s="1133"/>
      <c r="B3" s="953" t="s">
        <v>2</v>
      </c>
      <c r="C3" s="1140"/>
      <c r="D3" s="954"/>
      <c r="E3" s="953" t="str">
        <f>Instructivo!G3</f>
        <v>VERSIÓN: 04</v>
      </c>
      <c r="F3" s="955"/>
    </row>
    <row r="4" spans="1:10" ht="20.100000000000001" customHeight="1" thickBot="1" x14ac:dyDescent="0.25">
      <c r="A4" s="946"/>
      <c r="B4" s="946"/>
      <c r="C4" s="946"/>
      <c r="D4" s="946"/>
      <c r="E4" s="946"/>
      <c r="F4" s="946"/>
    </row>
    <row r="5" spans="1:10" ht="29.25" customHeight="1" thickBot="1" x14ac:dyDescent="0.25">
      <c r="A5" s="426" t="s">
        <v>106</v>
      </c>
      <c r="B5" s="957" t="e">
        <f>#REF!</f>
        <v>#REF!</v>
      </c>
      <c r="C5" s="957"/>
      <c r="D5" s="957"/>
      <c r="E5" s="957"/>
      <c r="F5" s="958"/>
      <c r="G5" s="565"/>
    </row>
    <row r="6" spans="1:10" ht="51.75" customHeight="1" thickBot="1" x14ac:dyDescent="0.25">
      <c r="A6" s="426" t="s">
        <v>108</v>
      </c>
      <c r="B6" s="957" t="e">
        <f>#REF!</f>
        <v>#REF!</v>
      </c>
      <c r="C6" s="957"/>
      <c r="D6" s="957"/>
      <c r="E6" s="957"/>
      <c r="F6" s="958"/>
      <c r="G6" s="565"/>
    </row>
    <row r="7" spans="1:10" ht="20.100000000000001" customHeight="1" thickBot="1" x14ac:dyDescent="0.25">
      <c r="B7" s="69"/>
      <c r="C7" s="69"/>
      <c r="D7" s="69"/>
      <c r="E7" s="69"/>
      <c r="F7" s="69"/>
    </row>
    <row r="8" spans="1:10" ht="27.75" customHeight="1" x14ac:dyDescent="0.2">
      <c r="A8" s="423" t="s">
        <v>370</v>
      </c>
      <c r="B8" s="424" t="s">
        <v>119</v>
      </c>
      <c r="C8" s="424" t="s">
        <v>373</v>
      </c>
      <c r="D8" s="424" t="s">
        <v>374</v>
      </c>
      <c r="E8" s="424" t="s">
        <v>375</v>
      </c>
      <c r="F8" s="425" t="s">
        <v>376</v>
      </c>
    </row>
    <row r="9" spans="1:10" ht="20.100000000000001" customHeight="1" x14ac:dyDescent="0.2">
      <c r="A9" s="623"/>
      <c r="B9" s="624" t="s">
        <v>397</v>
      </c>
      <c r="C9" s="625"/>
      <c r="D9" s="9" t="str">
        <f>IFERROR(VLOOKUP(A9,Honorarios!$A$9:$C$15,2,FALSE),"")</f>
        <v/>
      </c>
      <c r="E9" s="610" t="str">
        <f>IFERROR(VLOOKUP(A9,Honorarios!$A$9:$C$15,3,FALSE),"")</f>
        <v/>
      </c>
      <c r="F9" s="626">
        <f>IFERROR(C9*D9*E9,0)</f>
        <v>0</v>
      </c>
      <c r="G9" s="716" t="s">
        <v>398</v>
      </c>
    </row>
    <row r="10" spans="1:10" ht="20.100000000000001" hidden="1" customHeight="1" x14ac:dyDescent="0.2">
      <c r="A10" s="623"/>
      <c r="B10" s="624"/>
      <c r="C10" s="625"/>
      <c r="D10" s="9"/>
      <c r="E10" s="610"/>
      <c r="F10" s="626"/>
      <c r="G10" s="716"/>
    </row>
    <row r="11" spans="1:10" ht="20.100000000000001" customHeight="1" x14ac:dyDescent="0.2">
      <c r="A11" s="1166" t="s">
        <v>399</v>
      </c>
      <c r="B11" s="1167"/>
      <c r="C11" s="1167"/>
      <c r="D11" s="1167"/>
      <c r="E11" s="1167"/>
      <c r="F11" s="428">
        <f>F9+F10</f>
        <v>0</v>
      </c>
      <c r="G11" s="125"/>
    </row>
    <row r="12" spans="1:10" ht="20.100000000000001" customHeight="1" x14ac:dyDescent="0.2">
      <c r="A12" s="1166" t="s">
        <v>385</v>
      </c>
      <c r="B12" s="1167"/>
      <c r="C12" s="1167"/>
      <c r="D12" s="1167"/>
      <c r="E12" s="1167"/>
      <c r="F12" s="428">
        <v>0</v>
      </c>
      <c r="G12" s="548" t="s">
        <v>400</v>
      </c>
      <c r="H12" s="549"/>
      <c r="I12" s="549"/>
      <c r="J12" s="549"/>
    </row>
    <row r="13" spans="1:10" ht="20.100000000000001" customHeight="1" thickBot="1" x14ac:dyDescent="0.25">
      <c r="A13" s="1164" t="s">
        <v>401</v>
      </c>
      <c r="B13" s="1165"/>
      <c r="C13" s="1165"/>
      <c r="D13" s="1165"/>
      <c r="E13" s="1165"/>
      <c r="F13" s="422">
        <f>F11+F12</f>
        <v>0</v>
      </c>
    </row>
  </sheetData>
  <sheetProtection formatCells="0" formatColumns="0" formatRows="0" insertColumns="0" insertRows="0" insertHyperlinks="0" deleteColumns="0" deleteRows="0" sort="0" autoFilter="0" pivotTables="0"/>
  <mergeCells count="11">
    <mergeCell ref="A13:E13"/>
    <mergeCell ref="A11:E11"/>
    <mergeCell ref="B5:F5"/>
    <mergeCell ref="B6:F6"/>
    <mergeCell ref="A1:A3"/>
    <mergeCell ref="A4:F4"/>
    <mergeCell ref="B1:F1"/>
    <mergeCell ref="B2:F2"/>
    <mergeCell ref="B3:D3"/>
    <mergeCell ref="E3:F3"/>
    <mergeCell ref="A12:E12"/>
  </mergeCells>
  <dataValidations count="6">
    <dataValidation allowBlank="1" showInputMessage="1" showErrorMessage="1" prompt="diligencie la cantidad del personal requerido" sqref="WUK982973:WUK982981 HY65458:HY65466 RU65458:RU65466 ABQ65458:ABQ65466 ALM65458:ALM65466 AVI65458:AVI65466 BFE65458:BFE65466 BPA65458:BPA65466 BYW65458:BYW65466 CIS65458:CIS65466 CSO65458:CSO65466 DCK65458:DCK65466 DMG65458:DMG65466 DWC65458:DWC65466 EFY65458:EFY65466 EPU65458:EPU65466 EZQ65458:EZQ65466 FJM65458:FJM65466 FTI65458:FTI65466 GDE65458:GDE65466 GNA65458:GNA65466 GWW65458:GWW65466 HGS65458:HGS65466 HQO65458:HQO65466 IAK65458:IAK65466 IKG65458:IKG65466 IUC65458:IUC65466 JDY65458:JDY65466 JNU65458:JNU65466 JXQ65458:JXQ65466 KHM65458:KHM65466 KRI65458:KRI65466 LBE65458:LBE65466 LLA65458:LLA65466 LUW65458:LUW65466 MES65458:MES65466 MOO65458:MOO65466 MYK65458:MYK65466 NIG65458:NIG65466 NSC65458:NSC65466 OBY65458:OBY65466 OLU65458:OLU65466 OVQ65458:OVQ65466 PFM65458:PFM65466 PPI65458:PPI65466 PZE65458:PZE65466 QJA65458:QJA65466 QSW65458:QSW65466 RCS65458:RCS65466 RMO65458:RMO65466 RWK65458:RWK65466 SGG65458:SGG65466 SQC65458:SQC65466 SZY65458:SZY65466 TJU65458:TJU65466 TTQ65458:TTQ65466 UDM65458:UDM65466 UNI65458:UNI65466 UXE65458:UXE65466 VHA65458:VHA65466 VQW65458:VQW65466 WAS65458:WAS65466 WKO65458:WKO65466 WUK65458:WUK65466 HY130994:HY131002 RU130994:RU131002 ABQ130994:ABQ131002 ALM130994:ALM131002 AVI130994:AVI131002 BFE130994:BFE131002 BPA130994:BPA131002 BYW130994:BYW131002 CIS130994:CIS131002 CSO130994:CSO131002 DCK130994:DCK131002 DMG130994:DMG131002 DWC130994:DWC131002 EFY130994:EFY131002 EPU130994:EPU131002 EZQ130994:EZQ131002 FJM130994:FJM131002 FTI130994:FTI131002 GDE130994:GDE131002 GNA130994:GNA131002 GWW130994:GWW131002 HGS130994:HGS131002 HQO130994:HQO131002 IAK130994:IAK131002 IKG130994:IKG131002 IUC130994:IUC131002 JDY130994:JDY131002 JNU130994:JNU131002 JXQ130994:JXQ131002 KHM130994:KHM131002 KRI130994:KRI131002 LBE130994:LBE131002 LLA130994:LLA131002 LUW130994:LUW131002 MES130994:MES131002 MOO130994:MOO131002 MYK130994:MYK131002 NIG130994:NIG131002 NSC130994:NSC131002 OBY130994:OBY131002 OLU130994:OLU131002 OVQ130994:OVQ131002 PFM130994:PFM131002 PPI130994:PPI131002 PZE130994:PZE131002 QJA130994:QJA131002 QSW130994:QSW131002 RCS130994:RCS131002 RMO130994:RMO131002 RWK130994:RWK131002 SGG130994:SGG131002 SQC130994:SQC131002 SZY130994:SZY131002 TJU130994:TJU131002 TTQ130994:TTQ131002 UDM130994:UDM131002 UNI130994:UNI131002 UXE130994:UXE131002 VHA130994:VHA131002 VQW130994:VQW131002 WAS130994:WAS131002 WKO130994:WKO131002 WUK130994:WUK131002 HY196530:HY196538 RU196530:RU196538 ABQ196530:ABQ196538 ALM196530:ALM196538 AVI196530:AVI196538 BFE196530:BFE196538 BPA196530:BPA196538 BYW196530:BYW196538 CIS196530:CIS196538 CSO196530:CSO196538 DCK196530:DCK196538 DMG196530:DMG196538 DWC196530:DWC196538 EFY196530:EFY196538 EPU196530:EPU196538 EZQ196530:EZQ196538 FJM196530:FJM196538 FTI196530:FTI196538 GDE196530:GDE196538 GNA196530:GNA196538 GWW196530:GWW196538 HGS196530:HGS196538 HQO196530:HQO196538 IAK196530:IAK196538 IKG196530:IKG196538 IUC196530:IUC196538 JDY196530:JDY196538 JNU196530:JNU196538 JXQ196530:JXQ196538 KHM196530:KHM196538 KRI196530:KRI196538 LBE196530:LBE196538 LLA196530:LLA196538 LUW196530:LUW196538 MES196530:MES196538 MOO196530:MOO196538 MYK196530:MYK196538 NIG196530:NIG196538 NSC196530:NSC196538 OBY196530:OBY196538 OLU196530:OLU196538 OVQ196530:OVQ196538 PFM196530:PFM196538 PPI196530:PPI196538 PZE196530:PZE196538 QJA196530:QJA196538 QSW196530:QSW196538 RCS196530:RCS196538 RMO196530:RMO196538 RWK196530:RWK196538 SGG196530:SGG196538 SQC196530:SQC196538 SZY196530:SZY196538 TJU196530:TJU196538 TTQ196530:TTQ196538 UDM196530:UDM196538 UNI196530:UNI196538 UXE196530:UXE196538 VHA196530:VHA196538 VQW196530:VQW196538 WAS196530:WAS196538 WKO196530:WKO196538 WUK196530:WUK196538 HY262066:HY262074 RU262066:RU262074 ABQ262066:ABQ262074 ALM262066:ALM262074 AVI262066:AVI262074 BFE262066:BFE262074 BPA262066:BPA262074 BYW262066:BYW262074 CIS262066:CIS262074 CSO262066:CSO262074 DCK262066:DCK262074 DMG262066:DMG262074 DWC262066:DWC262074 EFY262066:EFY262074 EPU262066:EPU262074 EZQ262066:EZQ262074 FJM262066:FJM262074 FTI262066:FTI262074 GDE262066:GDE262074 GNA262066:GNA262074 GWW262066:GWW262074 HGS262066:HGS262074 HQO262066:HQO262074 IAK262066:IAK262074 IKG262066:IKG262074 IUC262066:IUC262074 JDY262066:JDY262074 JNU262066:JNU262074 JXQ262066:JXQ262074 KHM262066:KHM262074 KRI262066:KRI262074 LBE262066:LBE262074 LLA262066:LLA262074 LUW262066:LUW262074 MES262066:MES262074 MOO262066:MOO262074 MYK262066:MYK262074 NIG262066:NIG262074 NSC262066:NSC262074 OBY262066:OBY262074 OLU262066:OLU262074 OVQ262066:OVQ262074 PFM262066:PFM262074 PPI262066:PPI262074 PZE262066:PZE262074 QJA262066:QJA262074 QSW262066:QSW262074 RCS262066:RCS262074 RMO262066:RMO262074 RWK262066:RWK262074 SGG262066:SGG262074 SQC262066:SQC262074 SZY262066:SZY262074 TJU262066:TJU262074 TTQ262066:TTQ262074 UDM262066:UDM262074 UNI262066:UNI262074 UXE262066:UXE262074 VHA262066:VHA262074 VQW262066:VQW262074 WAS262066:WAS262074 WKO262066:WKO262074 WUK262066:WUK262074 HY327602:HY327610 RU327602:RU327610 ABQ327602:ABQ327610 ALM327602:ALM327610 AVI327602:AVI327610 BFE327602:BFE327610 BPA327602:BPA327610 BYW327602:BYW327610 CIS327602:CIS327610 CSO327602:CSO327610 DCK327602:DCK327610 DMG327602:DMG327610 DWC327602:DWC327610 EFY327602:EFY327610 EPU327602:EPU327610 EZQ327602:EZQ327610 FJM327602:FJM327610 FTI327602:FTI327610 GDE327602:GDE327610 GNA327602:GNA327610 GWW327602:GWW327610 HGS327602:HGS327610 HQO327602:HQO327610 IAK327602:IAK327610 IKG327602:IKG327610 IUC327602:IUC327610 JDY327602:JDY327610 JNU327602:JNU327610 JXQ327602:JXQ327610 KHM327602:KHM327610 KRI327602:KRI327610 LBE327602:LBE327610 LLA327602:LLA327610 LUW327602:LUW327610 MES327602:MES327610 MOO327602:MOO327610 MYK327602:MYK327610 NIG327602:NIG327610 NSC327602:NSC327610 OBY327602:OBY327610 OLU327602:OLU327610 OVQ327602:OVQ327610 PFM327602:PFM327610 PPI327602:PPI327610 PZE327602:PZE327610 QJA327602:QJA327610 QSW327602:QSW327610 RCS327602:RCS327610 RMO327602:RMO327610 RWK327602:RWK327610 SGG327602:SGG327610 SQC327602:SQC327610 SZY327602:SZY327610 TJU327602:TJU327610 TTQ327602:TTQ327610 UDM327602:UDM327610 UNI327602:UNI327610 UXE327602:UXE327610 VHA327602:VHA327610 VQW327602:VQW327610 WAS327602:WAS327610 WKO327602:WKO327610 WUK327602:WUK327610 HY393138:HY393146 RU393138:RU393146 ABQ393138:ABQ393146 ALM393138:ALM393146 AVI393138:AVI393146 BFE393138:BFE393146 BPA393138:BPA393146 BYW393138:BYW393146 CIS393138:CIS393146 CSO393138:CSO393146 DCK393138:DCK393146 DMG393138:DMG393146 DWC393138:DWC393146 EFY393138:EFY393146 EPU393138:EPU393146 EZQ393138:EZQ393146 FJM393138:FJM393146 FTI393138:FTI393146 GDE393138:GDE393146 GNA393138:GNA393146 GWW393138:GWW393146 HGS393138:HGS393146 HQO393138:HQO393146 IAK393138:IAK393146 IKG393138:IKG393146 IUC393138:IUC393146 JDY393138:JDY393146 JNU393138:JNU393146 JXQ393138:JXQ393146 KHM393138:KHM393146 KRI393138:KRI393146 LBE393138:LBE393146 LLA393138:LLA393146 LUW393138:LUW393146 MES393138:MES393146 MOO393138:MOO393146 MYK393138:MYK393146 NIG393138:NIG393146 NSC393138:NSC393146 OBY393138:OBY393146 OLU393138:OLU393146 OVQ393138:OVQ393146 PFM393138:PFM393146 PPI393138:PPI393146 PZE393138:PZE393146 QJA393138:QJA393146 QSW393138:QSW393146 RCS393138:RCS393146 RMO393138:RMO393146 RWK393138:RWK393146 SGG393138:SGG393146 SQC393138:SQC393146 SZY393138:SZY393146 TJU393138:TJU393146 TTQ393138:TTQ393146 UDM393138:UDM393146 UNI393138:UNI393146 UXE393138:UXE393146 VHA393138:VHA393146 VQW393138:VQW393146 WAS393138:WAS393146 WKO393138:WKO393146 WUK393138:WUK393146 HY458674:HY458682 RU458674:RU458682 ABQ458674:ABQ458682 ALM458674:ALM458682 AVI458674:AVI458682 BFE458674:BFE458682 BPA458674:BPA458682 BYW458674:BYW458682 CIS458674:CIS458682 CSO458674:CSO458682 DCK458674:DCK458682 DMG458674:DMG458682 DWC458674:DWC458682 EFY458674:EFY458682 EPU458674:EPU458682 EZQ458674:EZQ458682 FJM458674:FJM458682 FTI458674:FTI458682 GDE458674:GDE458682 GNA458674:GNA458682 GWW458674:GWW458682 HGS458674:HGS458682 HQO458674:HQO458682 IAK458674:IAK458682 IKG458674:IKG458682 IUC458674:IUC458682 JDY458674:JDY458682 JNU458674:JNU458682 JXQ458674:JXQ458682 KHM458674:KHM458682 KRI458674:KRI458682 LBE458674:LBE458682 LLA458674:LLA458682 LUW458674:LUW458682 MES458674:MES458682 MOO458674:MOO458682 MYK458674:MYK458682 NIG458674:NIG458682 NSC458674:NSC458682 OBY458674:OBY458682 OLU458674:OLU458682 OVQ458674:OVQ458682 PFM458674:PFM458682 PPI458674:PPI458682 PZE458674:PZE458682 QJA458674:QJA458682 QSW458674:QSW458682 RCS458674:RCS458682 RMO458674:RMO458682 RWK458674:RWK458682 SGG458674:SGG458682 SQC458674:SQC458682 SZY458674:SZY458682 TJU458674:TJU458682 TTQ458674:TTQ458682 UDM458674:UDM458682 UNI458674:UNI458682 UXE458674:UXE458682 VHA458674:VHA458682 VQW458674:VQW458682 WAS458674:WAS458682 WKO458674:WKO458682 WUK458674:WUK458682 HY524210:HY524218 RU524210:RU524218 ABQ524210:ABQ524218 ALM524210:ALM524218 AVI524210:AVI524218 BFE524210:BFE524218 BPA524210:BPA524218 BYW524210:BYW524218 CIS524210:CIS524218 CSO524210:CSO524218 DCK524210:DCK524218 DMG524210:DMG524218 DWC524210:DWC524218 EFY524210:EFY524218 EPU524210:EPU524218 EZQ524210:EZQ524218 FJM524210:FJM524218 FTI524210:FTI524218 GDE524210:GDE524218 GNA524210:GNA524218 GWW524210:GWW524218 HGS524210:HGS524218 HQO524210:HQO524218 IAK524210:IAK524218 IKG524210:IKG524218 IUC524210:IUC524218 JDY524210:JDY524218 JNU524210:JNU524218 JXQ524210:JXQ524218 KHM524210:KHM524218 KRI524210:KRI524218 LBE524210:LBE524218 LLA524210:LLA524218 LUW524210:LUW524218 MES524210:MES524218 MOO524210:MOO524218 MYK524210:MYK524218 NIG524210:NIG524218 NSC524210:NSC524218 OBY524210:OBY524218 OLU524210:OLU524218 OVQ524210:OVQ524218 PFM524210:PFM524218 PPI524210:PPI524218 PZE524210:PZE524218 QJA524210:QJA524218 QSW524210:QSW524218 RCS524210:RCS524218 RMO524210:RMO524218 RWK524210:RWK524218 SGG524210:SGG524218 SQC524210:SQC524218 SZY524210:SZY524218 TJU524210:TJU524218 TTQ524210:TTQ524218 UDM524210:UDM524218 UNI524210:UNI524218 UXE524210:UXE524218 VHA524210:VHA524218 VQW524210:VQW524218 WAS524210:WAS524218 WKO524210:WKO524218 WUK524210:WUK524218 HY589746:HY589754 RU589746:RU589754 ABQ589746:ABQ589754 ALM589746:ALM589754 AVI589746:AVI589754 BFE589746:BFE589754 BPA589746:BPA589754 BYW589746:BYW589754 CIS589746:CIS589754 CSO589746:CSO589754 DCK589746:DCK589754 DMG589746:DMG589754 DWC589746:DWC589754 EFY589746:EFY589754 EPU589746:EPU589754 EZQ589746:EZQ589754 FJM589746:FJM589754 FTI589746:FTI589754 GDE589746:GDE589754 GNA589746:GNA589754 GWW589746:GWW589754 HGS589746:HGS589754 HQO589746:HQO589754 IAK589746:IAK589754 IKG589746:IKG589754 IUC589746:IUC589754 JDY589746:JDY589754 JNU589746:JNU589754 JXQ589746:JXQ589754 KHM589746:KHM589754 KRI589746:KRI589754 LBE589746:LBE589754 LLA589746:LLA589754 LUW589746:LUW589754 MES589746:MES589754 MOO589746:MOO589754 MYK589746:MYK589754 NIG589746:NIG589754 NSC589746:NSC589754 OBY589746:OBY589754 OLU589746:OLU589754 OVQ589746:OVQ589754 PFM589746:PFM589754 PPI589746:PPI589754 PZE589746:PZE589754 QJA589746:QJA589754 QSW589746:QSW589754 RCS589746:RCS589754 RMO589746:RMO589754 RWK589746:RWK589754 SGG589746:SGG589754 SQC589746:SQC589754 SZY589746:SZY589754 TJU589746:TJU589754 TTQ589746:TTQ589754 UDM589746:UDM589754 UNI589746:UNI589754 UXE589746:UXE589754 VHA589746:VHA589754 VQW589746:VQW589754 WAS589746:WAS589754 WKO589746:WKO589754 WUK589746:WUK589754 HY655282:HY655290 RU655282:RU655290 ABQ655282:ABQ655290 ALM655282:ALM655290 AVI655282:AVI655290 BFE655282:BFE655290 BPA655282:BPA655290 BYW655282:BYW655290 CIS655282:CIS655290 CSO655282:CSO655290 DCK655282:DCK655290 DMG655282:DMG655290 DWC655282:DWC655290 EFY655282:EFY655290 EPU655282:EPU655290 EZQ655282:EZQ655290 FJM655282:FJM655290 FTI655282:FTI655290 GDE655282:GDE655290 GNA655282:GNA655290 GWW655282:GWW655290 HGS655282:HGS655290 HQO655282:HQO655290 IAK655282:IAK655290 IKG655282:IKG655290 IUC655282:IUC655290 JDY655282:JDY655290 JNU655282:JNU655290 JXQ655282:JXQ655290 KHM655282:KHM655290 KRI655282:KRI655290 LBE655282:LBE655290 LLA655282:LLA655290 LUW655282:LUW655290 MES655282:MES655290 MOO655282:MOO655290 MYK655282:MYK655290 NIG655282:NIG655290 NSC655282:NSC655290 OBY655282:OBY655290 OLU655282:OLU655290 OVQ655282:OVQ655290 PFM655282:PFM655290 PPI655282:PPI655290 PZE655282:PZE655290 QJA655282:QJA655290 QSW655282:QSW655290 RCS655282:RCS655290 RMO655282:RMO655290 RWK655282:RWK655290 SGG655282:SGG655290 SQC655282:SQC655290 SZY655282:SZY655290 TJU655282:TJU655290 TTQ655282:TTQ655290 UDM655282:UDM655290 UNI655282:UNI655290 UXE655282:UXE655290 VHA655282:VHA655290 VQW655282:VQW655290 WAS655282:WAS655290 WKO655282:WKO655290 WUK655282:WUK655290 HY720818:HY720826 RU720818:RU720826 ABQ720818:ABQ720826 ALM720818:ALM720826 AVI720818:AVI720826 BFE720818:BFE720826 BPA720818:BPA720826 BYW720818:BYW720826 CIS720818:CIS720826 CSO720818:CSO720826 DCK720818:DCK720826 DMG720818:DMG720826 DWC720818:DWC720826 EFY720818:EFY720826 EPU720818:EPU720826 EZQ720818:EZQ720826 FJM720818:FJM720826 FTI720818:FTI720826 GDE720818:GDE720826 GNA720818:GNA720826 GWW720818:GWW720826 HGS720818:HGS720826 HQO720818:HQO720826 IAK720818:IAK720826 IKG720818:IKG720826 IUC720818:IUC720826 JDY720818:JDY720826 JNU720818:JNU720826 JXQ720818:JXQ720826 KHM720818:KHM720826 KRI720818:KRI720826 LBE720818:LBE720826 LLA720818:LLA720826 LUW720818:LUW720826 MES720818:MES720826 MOO720818:MOO720826 MYK720818:MYK720826 NIG720818:NIG720826 NSC720818:NSC720826 OBY720818:OBY720826 OLU720818:OLU720826 OVQ720818:OVQ720826 PFM720818:PFM720826 PPI720818:PPI720826 PZE720818:PZE720826 QJA720818:QJA720826 QSW720818:QSW720826 RCS720818:RCS720826 RMO720818:RMO720826 RWK720818:RWK720826 SGG720818:SGG720826 SQC720818:SQC720826 SZY720818:SZY720826 TJU720818:TJU720826 TTQ720818:TTQ720826 UDM720818:UDM720826 UNI720818:UNI720826 UXE720818:UXE720826 VHA720818:VHA720826 VQW720818:VQW720826 WAS720818:WAS720826 WKO720818:WKO720826 WUK720818:WUK720826 HY786354:HY786362 RU786354:RU786362 ABQ786354:ABQ786362 ALM786354:ALM786362 AVI786354:AVI786362 BFE786354:BFE786362 BPA786354:BPA786362 BYW786354:BYW786362 CIS786354:CIS786362 CSO786354:CSO786362 DCK786354:DCK786362 DMG786354:DMG786362 DWC786354:DWC786362 EFY786354:EFY786362 EPU786354:EPU786362 EZQ786354:EZQ786362 FJM786354:FJM786362 FTI786354:FTI786362 GDE786354:GDE786362 GNA786354:GNA786362 GWW786354:GWW786362 HGS786354:HGS786362 HQO786354:HQO786362 IAK786354:IAK786362 IKG786354:IKG786362 IUC786354:IUC786362 JDY786354:JDY786362 JNU786354:JNU786362 JXQ786354:JXQ786362 KHM786354:KHM786362 KRI786354:KRI786362 LBE786354:LBE786362 LLA786354:LLA786362 LUW786354:LUW786362 MES786354:MES786362 MOO786354:MOO786362 MYK786354:MYK786362 NIG786354:NIG786362 NSC786354:NSC786362 OBY786354:OBY786362 OLU786354:OLU786362 OVQ786354:OVQ786362 PFM786354:PFM786362 PPI786354:PPI786362 PZE786354:PZE786362 QJA786354:QJA786362 QSW786354:QSW786362 RCS786354:RCS786362 RMO786354:RMO786362 RWK786354:RWK786362 SGG786354:SGG786362 SQC786354:SQC786362 SZY786354:SZY786362 TJU786354:TJU786362 TTQ786354:TTQ786362 UDM786354:UDM786362 UNI786354:UNI786362 UXE786354:UXE786362 VHA786354:VHA786362 VQW786354:VQW786362 WAS786354:WAS786362 WKO786354:WKO786362 WUK786354:WUK786362 HY851890:HY851898 RU851890:RU851898 ABQ851890:ABQ851898 ALM851890:ALM851898 AVI851890:AVI851898 BFE851890:BFE851898 BPA851890:BPA851898 BYW851890:BYW851898 CIS851890:CIS851898 CSO851890:CSO851898 DCK851890:DCK851898 DMG851890:DMG851898 DWC851890:DWC851898 EFY851890:EFY851898 EPU851890:EPU851898 EZQ851890:EZQ851898 FJM851890:FJM851898 FTI851890:FTI851898 GDE851890:GDE851898 GNA851890:GNA851898 GWW851890:GWW851898 HGS851890:HGS851898 HQO851890:HQO851898 IAK851890:IAK851898 IKG851890:IKG851898 IUC851890:IUC851898 JDY851890:JDY851898 JNU851890:JNU851898 JXQ851890:JXQ851898 KHM851890:KHM851898 KRI851890:KRI851898 LBE851890:LBE851898 LLA851890:LLA851898 LUW851890:LUW851898 MES851890:MES851898 MOO851890:MOO851898 MYK851890:MYK851898 NIG851890:NIG851898 NSC851890:NSC851898 OBY851890:OBY851898 OLU851890:OLU851898 OVQ851890:OVQ851898 PFM851890:PFM851898 PPI851890:PPI851898 PZE851890:PZE851898 QJA851890:QJA851898 QSW851890:QSW851898 RCS851890:RCS851898 RMO851890:RMO851898 RWK851890:RWK851898 SGG851890:SGG851898 SQC851890:SQC851898 SZY851890:SZY851898 TJU851890:TJU851898 TTQ851890:TTQ851898 UDM851890:UDM851898 UNI851890:UNI851898 UXE851890:UXE851898 VHA851890:VHA851898 VQW851890:VQW851898 WAS851890:WAS851898 WKO851890:WKO851898 WUK851890:WUK851898 HY917426:HY917434 RU917426:RU917434 ABQ917426:ABQ917434 ALM917426:ALM917434 AVI917426:AVI917434 BFE917426:BFE917434 BPA917426:BPA917434 BYW917426:BYW917434 CIS917426:CIS917434 CSO917426:CSO917434 DCK917426:DCK917434 DMG917426:DMG917434 DWC917426:DWC917434 EFY917426:EFY917434 EPU917426:EPU917434 EZQ917426:EZQ917434 FJM917426:FJM917434 FTI917426:FTI917434 GDE917426:GDE917434 GNA917426:GNA917434 GWW917426:GWW917434 HGS917426:HGS917434 HQO917426:HQO917434 IAK917426:IAK917434 IKG917426:IKG917434 IUC917426:IUC917434 JDY917426:JDY917434 JNU917426:JNU917434 JXQ917426:JXQ917434 KHM917426:KHM917434 KRI917426:KRI917434 LBE917426:LBE917434 LLA917426:LLA917434 LUW917426:LUW917434 MES917426:MES917434 MOO917426:MOO917434 MYK917426:MYK917434 NIG917426:NIG917434 NSC917426:NSC917434 OBY917426:OBY917434 OLU917426:OLU917434 OVQ917426:OVQ917434 PFM917426:PFM917434 PPI917426:PPI917434 PZE917426:PZE917434 QJA917426:QJA917434 QSW917426:QSW917434 RCS917426:RCS917434 RMO917426:RMO917434 RWK917426:RWK917434 SGG917426:SGG917434 SQC917426:SQC917434 SZY917426:SZY917434 TJU917426:TJU917434 TTQ917426:TTQ917434 UDM917426:UDM917434 UNI917426:UNI917434 UXE917426:UXE917434 VHA917426:VHA917434 VQW917426:VQW917434 WAS917426:WAS917434 WKO917426:WKO917434 WUK917426:WUK917434 HY982962:HY982970 RU982962:RU982970 ABQ982962:ABQ982970 ALM982962:ALM982970 AVI982962:AVI982970 BFE982962:BFE982970 BPA982962:BPA982970 BYW982962:BYW982970 CIS982962:CIS982970 CSO982962:CSO982970 DCK982962:DCK982970 DMG982962:DMG982970 DWC982962:DWC982970 EFY982962:EFY982970 EPU982962:EPU982970 EZQ982962:EZQ982970 FJM982962:FJM982970 FTI982962:FTI982970 GDE982962:GDE982970 GNA982962:GNA982970 GWW982962:GWW982970 HGS982962:HGS982970 HQO982962:HQO982970 IAK982962:IAK982970 IKG982962:IKG982970 IUC982962:IUC982970 JDY982962:JDY982970 JNU982962:JNU982970 JXQ982962:JXQ982970 KHM982962:KHM982970 KRI982962:KRI982970 LBE982962:LBE982970 LLA982962:LLA982970 LUW982962:LUW982970 MES982962:MES982970 MOO982962:MOO982970 MYK982962:MYK982970 NIG982962:NIG982970 NSC982962:NSC982970 OBY982962:OBY982970 OLU982962:OLU982970 OVQ982962:OVQ982970 PFM982962:PFM982970 PPI982962:PPI982970 PZE982962:PZE982970 QJA982962:QJA982970 QSW982962:QSW982970 RCS982962:RCS982970 RMO982962:RMO982970 RWK982962:RWK982970 SGG982962:SGG982970 SQC982962:SQC982970 SZY982962:SZY982970 TJU982962:TJU982970 TTQ982962:TTQ982970 UDM982962:UDM982970 UNI982962:UNI982970 UXE982962:UXE982970 VHA982962:VHA982970 VQW982962:VQW982970 WAS982962:WAS982970 WKO982962:WKO982970 WUK982962:WUK982970 HY65469:HY65477 RU65469:RU65477 ABQ65469:ABQ65477 ALM65469:ALM65477 AVI65469:AVI65477 BFE65469:BFE65477 BPA65469:BPA65477 BYW65469:BYW65477 CIS65469:CIS65477 CSO65469:CSO65477 DCK65469:DCK65477 DMG65469:DMG65477 DWC65469:DWC65477 EFY65469:EFY65477 EPU65469:EPU65477 EZQ65469:EZQ65477 FJM65469:FJM65477 FTI65469:FTI65477 GDE65469:GDE65477 GNA65469:GNA65477 GWW65469:GWW65477 HGS65469:HGS65477 HQO65469:HQO65477 IAK65469:IAK65477 IKG65469:IKG65477 IUC65469:IUC65477 JDY65469:JDY65477 JNU65469:JNU65477 JXQ65469:JXQ65477 KHM65469:KHM65477 KRI65469:KRI65477 LBE65469:LBE65477 LLA65469:LLA65477 LUW65469:LUW65477 MES65469:MES65477 MOO65469:MOO65477 MYK65469:MYK65477 NIG65469:NIG65477 NSC65469:NSC65477 OBY65469:OBY65477 OLU65469:OLU65477 OVQ65469:OVQ65477 PFM65469:PFM65477 PPI65469:PPI65477 PZE65469:PZE65477 QJA65469:QJA65477 QSW65469:QSW65477 RCS65469:RCS65477 RMO65469:RMO65477 RWK65469:RWK65477 SGG65469:SGG65477 SQC65469:SQC65477 SZY65469:SZY65477 TJU65469:TJU65477 TTQ65469:TTQ65477 UDM65469:UDM65477 UNI65469:UNI65477 UXE65469:UXE65477 VHA65469:VHA65477 VQW65469:VQW65477 WAS65469:WAS65477 WKO65469:WKO65477 WUK65469:WUK65477 HY131005:HY131013 RU131005:RU131013 ABQ131005:ABQ131013 ALM131005:ALM131013 AVI131005:AVI131013 BFE131005:BFE131013 BPA131005:BPA131013 BYW131005:BYW131013 CIS131005:CIS131013 CSO131005:CSO131013 DCK131005:DCK131013 DMG131005:DMG131013 DWC131005:DWC131013 EFY131005:EFY131013 EPU131005:EPU131013 EZQ131005:EZQ131013 FJM131005:FJM131013 FTI131005:FTI131013 GDE131005:GDE131013 GNA131005:GNA131013 GWW131005:GWW131013 HGS131005:HGS131013 HQO131005:HQO131013 IAK131005:IAK131013 IKG131005:IKG131013 IUC131005:IUC131013 JDY131005:JDY131013 JNU131005:JNU131013 JXQ131005:JXQ131013 KHM131005:KHM131013 KRI131005:KRI131013 LBE131005:LBE131013 LLA131005:LLA131013 LUW131005:LUW131013 MES131005:MES131013 MOO131005:MOO131013 MYK131005:MYK131013 NIG131005:NIG131013 NSC131005:NSC131013 OBY131005:OBY131013 OLU131005:OLU131013 OVQ131005:OVQ131013 PFM131005:PFM131013 PPI131005:PPI131013 PZE131005:PZE131013 QJA131005:QJA131013 QSW131005:QSW131013 RCS131005:RCS131013 RMO131005:RMO131013 RWK131005:RWK131013 SGG131005:SGG131013 SQC131005:SQC131013 SZY131005:SZY131013 TJU131005:TJU131013 TTQ131005:TTQ131013 UDM131005:UDM131013 UNI131005:UNI131013 UXE131005:UXE131013 VHA131005:VHA131013 VQW131005:VQW131013 WAS131005:WAS131013 WKO131005:WKO131013 WUK131005:WUK131013 HY196541:HY196549 RU196541:RU196549 ABQ196541:ABQ196549 ALM196541:ALM196549 AVI196541:AVI196549 BFE196541:BFE196549 BPA196541:BPA196549 BYW196541:BYW196549 CIS196541:CIS196549 CSO196541:CSO196549 DCK196541:DCK196549 DMG196541:DMG196549 DWC196541:DWC196549 EFY196541:EFY196549 EPU196541:EPU196549 EZQ196541:EZQ196549 FJM196541:FJM196549 FTI196541:FTI196549 GDE196541:GDE196549 GNA196541:GNA196549 GWW196541:GWW196549 HGS196541:HGS196549 HQO196541:HQO196549 IAK196541:IAK196549 IKG196541:IKG196549 IUC196541:IUC196549 JDY196541:JDY196549 JNU196541:JNU196549 JXQ196541:JXQ196549 KHM196541:KHM196549 KRI196541:KRI196549 LBE196541:LBE196549 LLA196541:LLA196549 LUW196541:LUW196549 MES196541:MES196549 MOO196541:MOO196549 MYK196541:MYK196549 NIG196541:NIG196549 NSC196541:NSC196549 OBY196541:OBY196549 OLU196541:OLU196549 OVQ196541:OVQ196549 PFM196541:PFM196549 PPI196541:PPI196549 PZE196541:PZE196549 QJA196541:QJA196549 QSW196541:QSW196549 RCS196541:RCS196549 RMO196541:RMO196549 RWK196541:RWK196549 SGG196541:SGG196549 SQC196541:SQC196549 SZY196541:SZY196549 TJU196541:TJU196549 TTQ196541:TTQ196549 UDM196541:UDM196549 UNI196541:UNI196549 UXE196541:UXE196549 VHA196541:VHA196549 VQW196541:VQW196549 WAS196541:WAS196549 WKO196541:WKO196549 WUK196541:WUK196549 HY262077:HY262085 RU262077:RU262085 ABQ262077:ABQ262085 ALM262077:ALM262085 AVI262077:AVI262085 BFE262077:BFE262085 BPA262077:BPA262085 BYW262077:BYW262085 CIS262077:CIS262085 CSO262077:CSO262085 DCK262077:DCK262085 DMG262077:DMG262085 DWC262077:DWC262085 EFY262077:EFY262085 EPU262077:EPU262085 EZQ262077:EZQ262085 FJM262077:FJM262085 FTI262077:FTI262085 GDE262077:GDE262085 GNA262077:GNA262085 GWW262077:GWW262085 HGS262077:HGS262085 HQO262077:HQO262085 IAK262077:IAK262085 IKG262077:IKG262085 IUC262077:IUC262085 JDY262077:JDY262085 JNU262077:JNU262085 JXQ262077:JXQ262085 KHM262077:KHM262085 KRI262077:KRI262085 LBE262077:LBE262085 LLA262077:LLA262085 LUW262077:LUW262085 MES262077:MES262085 MOO262077:MOO262085 MYK262077:MYK262085 NIG262077:NIG262085 NSC262077:NSC262085 OBY262077:OBY262085 OLU262077:OLU262085 OVQ262077:OVQ262085 PFM262077:PFM262085 PPI262077:PPI262085 PZE262077:PZE262085 QJA262077:QJA262085 QSW262077:QSW262085 RCS262077:RCS262085 RMO262077:RMO262085 RWK262077:RWK262085 SGG262077:SGG262085 SQC262077:SQC262085 SZY262077:SZY262085 TJU262077:TJU262085 TTQ262077:TTQ262085 UDM262077:UDM262085 UNI262077:UNI262085 UXE262077:UXE262085 VHA262077:VHA262085 VQW262077:VQW262085 WAS262077:WAS262085 WKO262077:WKO262085 WUK262077:WUK262085 HY327613:HY327621 RU327613:RU327621 ABQ327613:ABQ327621 ALM327613:ALM327621 AVI327613:AVI327621 BFE327613:BFE327621 BPA327613:BPA327621 BYW327613:BYW327621 CIS327613:CIS327621 CSO327613:CSO327621 DCK327613:DCK327621 DMG327613:DMG327621 DWC327613:DWC327621 EFY327613:EFY327621 EPU327613:EPU327621 EZQ327613:EZQ327621 FJM327613:FJM327621 FTI327613:FTI327621 GDE327613:GDE327621 GNA327613:GNA327621 GWW327613:GWW327621 HGS327613:HGS327621 HQO327613:HQO327621 IAK327613:IAK327621 IKG327613:IKG327621 IUC327613:IUC327621 JDY327613:JDY327621 JNU327613:JNU327621 JXQ327613:JXQ327621 KHM327613:KHM327621 KRI327613:KRI327621 LBE327613:LBE327621 LLA327613:LLA327621 LUW327613:LUW327621 MES327613:MES327621 MOO327613:MOO327621 MYK327613:MYK327621 NIG327613:NIG327621 NSC327613:NSC327621 OBY327613:OBY327621 OLU327613:OLU327621 OVQ327613:OVQ327621 PFM327613:PFM327621 PPI327613:PPI327621 PZE327613:PZE327621 QJA327613:QJA327621 QSW327613:QSW327621 RCS327613:RCS327621 RMO327613:RMO327621 RWK327613:RWK327621 SGG327613:SGG327621 SQC327613:SQC327621 SZY327613:SZY327621 TJU327613:TJU327621 TTQ327613:TTQ327621 UDM327613:UDM327621 UNI327613:UNI327621 UXE327613:UXE327621 VHA327613:VHA327621 VQW327613:VQW327621 WAS327613:WAS327621 WKO327613:WKO327621 WUK327613:WUK327621 HY393149:HY393157 RU393149:RU393157 ABQ393149:ABQ393157 ALM393149:ALM393157 AVI393149:AVI393157 BFE393149:BFE393157 BPA393149:BPA393157 BYW393149:BYW393157 CIS393149:CIS393157 CSO393149:CSO393157 DCK393149:DCK393157 DMG393149:DMG393157 DWC393149:DWC393157 EFY393149:EFY393157 EPU393149:EPU393157 EZQ393149:EZQ393157 FJM393149:FJM393157 FTI393149:FTI393157 GDE393149:GDE393157 GNA393149:GNA393157 GWW393149:GWW393157 HGS393149:HGS393157 HQO393149:HQO393157 IAK393149:IAK393157 IKG393149:IKG393157 IUC393149:IUC393157 JDY393149:JDY393157 JNU393149:JNU393157 JXQ393149:JXQ393157 KHM393149:KHM393157 KRI393149:KRI393157 LBE393149:LBE393157 LLA393149:LLA393157 LUW393149:LUW393157 MES393149:MES393157 MOO393149:MOO393157 MYK393149:MYK393157 NIG393149:NIG393157 NSC393149:NSC393157 OBY393149:OBY393157 OLU393149:OLU393157 OVQ393149:OVQ393157 PFM393149:PFM393157 PPI393149:PPI393157 PZE393149:PZE393157 QJA393149:QJA393157 QSW393149:QSW393157 RCS393149:RCS393157 RMO393149:RMO393157 RWK393149:RWK393157 SGG393149:SGG393157 SQC393149:SQC393157 SZY393149:SZY393157 TJU393149:TJU393157 TTQ393149:TTQ393157 UDM393149:UDM393157 UNI393149:UNI393157 UXE393149:UXE393157 VHA393149:VHA393157 VQW393149:VQW393157 WAS393149:WAS393157 WKO393149:WKO393157 WUK393149:WUK393157 HY458685:HY458693 RU458685:RU458693 ABQ458685:ABQ458693 ALM458685:ALM458693 AVI458685:AVI458693 BFE458685:BFE458693 BPA458685:BPA458693 BYW458685:BYW458693 CIS458685:CIS458693 CSO458685:CSO458693 DCK458685:DCK458693 DMG458685:DMG458693 DWC458685:DWC458693 EFY458685:EFY458693 EPU458685:EPU458693 EZQ458685:EZQ458693 FJM458685:FJM458693 FTI458685:FTI458693 GDE458685:GDE458693 GNA458685:GNA458693 GWW458685:GWW458693 HGS458685:HGS458693 HQO458685:HQO458693 IAK458685:IAK458693 IKG458685:IKG458693 IUC458685:IUC458693 JDY458685:JDY458693 JNU458685:JNU458693 JXQ458685:JXQ458693 KHM458685:KHM458693 KRI458685:KRI458693 LBE458685:LBE458693 LLA458685:LLA458693 LUW458685:LUW458693 MES458685:MES458693 MOO458685:MOO458693 MYK458685:MYK458693 NIG458685:NIG458693 NSC458685:NSC458693 OBY458685:OBY458693 OLU458685:OLU458693 OVQ458685:OVQ458693 PFM458685:PFM458693 PPI458685:PPI458693 PZE458685:PZE458693 QJA458685:QJA458693 QSW458685:QSW458693 RCS458685:RCS458693 RMO458685:RMO458693 RWK458685:RWK458693 SGG458685:SGG458693 SQC458685:SQC458693 SZY458685:SZY458693 TJU458685:TJU458693 TTQ458685:TTQ458693 UDM458685:UDM458693 UNI458685:UNI458693 UXE458685:UXE458693 VHA458685:VHA458693 VQW458685:VQW458693 WAS458685:WAS458693 WKO458685:WKO458693 WUK458685:WUK458693 HY524221:HY524229 RU524221:RU524229 ABQ524221:ABQ524229 ALM524221:ALM524229 AVI524221:AVI524229 BFE524221:BFE524229 BPA524221:BPA524229 BYW524221:BYW524229 CIS524221:CIS524229 CSO524221:CSO524229 DCK524221:DCK524229 DMG524221:DMG524229 DWC524221:DWC524229 EFY524221:EFY524229 EPU524221:EPU524229 EZQ524221:EZQ524229 FJM524221:FJM524229 FTI524221:FTI524229 GDE524221:GDE524229 GNA524221:GNA524229 GWW524221:GWW524229 HGS524221:HGS524229 HQO524221:HQO524229 IAK524221:IAK524229 IKG524221:IKG524229 IUC524221:IUC524229 JDY524221:JDY524229 JNU524221:JNU524229 JXQ524221:JXQ524229 KHM524221:KHM524229 KRI524221:KRI524229 LBE524221:LBE524229 LLA524221:LLA524229 LUW524221:LUW524229 MES524221:MES524229 MOO524221:MOO524229 MYK524221:MYK524229 NIG524221:NIG524229 NSC524221:NSC524229 OBY524221:OBY524229 OLU524221:OLU524229 OVQ524221:OVQ524229 PFM524221:PFM524229 PPI524221:PPI524229 PZE524221:PZE524229 QJA524221:QJA524229 QSW524221:QSW524229 RCS524221:RCS524229 RMO524221:RMO524229 RWK524221:RWK524229 SGG524221:SGG524229 SQC524221:SQC524229 SZY524221:SZY524229 TJU524221:TJU524229 TTQ524221:TTQ524229 UDM524221:UDM524229 UNI524221:UNI524229 UXE524221:UXE524229 VHA524221:VHA524229 VQW524221:VQW524229 WAS524221:WAS524229 WKO524221:WKO524229 WUK524221:WUK524229 HY589757:HY589765 RU589757:RU589765 ABQ589757:ABQ589765 ALM589757:ALM589765 AVI589757:AVI589765 BFE589757:BFE589765 BPA589757:BPA589765 BYW589757:BYW589765 CIS589757:CIS589765 CSO589757:CSO589765 DCK589757:DCK589765 DMG589757:DMG589765 DWC589757:DWC589765 EFY589757:EFY589765 EPU589757:EPU589765 EZQ589757:EZQ589765 FJM589757:FJM589765 FTI589757:FTI589765 GDE589757:GDE589765 GNA589757:GNA589765 GWW589757:GWW589765 HGS589757:HGS589765 HQO589757:HQO589765 IAK589757:IAK589765 IKG589757:IKG589765 IUC589757:IUC589765 JDY589757:JDY589765 JNU589757:JNU589765 JXQ589757:JXQ589765 KHM589757:KHM589765 KRI589757:KRI589765 LBE589757:LBE589765 LLA589757:LLA589765 LUW589757:LUW589765 MES589757:MES589765 MOO589757:MOO589765 MYK589757:MYK589765 NIG589757:NIG589765 NSC589757:NSC589765 OBY589757:OBY589765 OLU589757:OLU589765 OVQ589757:OVQ589765 PFM589757:PFM589765 PPI589757:PPI589765 PZE589757:PZE589765 QJA589757:QJA589765 QSW589757:QSW589765 RCS589757:RCS589765 RMO589757:RMO589765 RWK589757:RWK589765 SGG589757:SGG589765 SQC589757:SQC589765 SZY589757:SZY589765 TJU589757:TJU589765 TTQ589757:TTQ589765 UDM589757:UDM589765 UNI589757:UNI589765 UXE589757:UXE589765 VHA589757:VHA589765 VQW589757:VQW589765 WAS589757:WAS589765 WKO589757:WKO589765 WUK589757:WUK589765 HY655293:HY655301 RU655293:RU655301 ABQ655293:ABQ655301 ALM655293:ALM655301 AVI655293:AVI655301 BFE655293:BFE655301 BPA655293:BPA655301 BYW655293:BYW655301 CIS655293:CIS655301 CSO655293:CSO655301 DCK655293:DCK655301 DMG655293:DMG655301 DWC655293:DWC655301 EFY655293:EFY655301 EPU655293:EPU655301 EZQ655293:EZQ655301 FJM655293:FJM655301 FTI655293:FTI655301 GDE655293:GDE655301 GNA655293:GNA655301 GWW655293:GWW655301 HGS655293:HGS655301 HQO655293:HQO655301 IAK655293:IAK655301 IKG655293:IKG655301 IUC655293:IUC655301 JDY655293:JDY655301 JNU655293:JNU655301 JXQ655293:JXQ655301 KHM655293:KHM655301 KRI655293:KRI655301 LBE655293:LBE655301 LLA655293:LLA655301 LUW655293:LUW655301 MES655293:MES655301 MOO655293:MOO655301 MYK655293:MYK655301 NIG655293:NIG655301 NSC655293:NSC655301 OBY655293:OBY655301 OLU655293:OLU655301 OVQ655293:OVQ655301 PFM655293:PFM655301 PPI655293:PPI655301 PZE655293:PZE655301 QJA655293:QJA655301 QSW655293:QSW655301 RCS655293:RCS655301 RMO655293:RMO655301 RWK655293:RWK655301 SGG655293:SGG655301 SQC655293:SQC655301 SZY655293:SZY655301 TJU655293:TJU655301 TTQ655293:TTQ655301 UDM655293:UDM655301 UNI655293:UNI655301 UXE655293:UXE655301 VHA655293:VHA655301 VQW655293:VQW655301 WAS655293:WAS655301 WKO655293:WKO655301 WUK655293:WUK655301 HY720829:HY720837 RU720829:RU720837 ABQ720829:ABQ720837 ALM720829:ALM720837 AVI720829:AVI720837 BFE720829:BFE720837 BPA720829:BPA720837 BYW720829:BYW720837 CIS720829:CIS720837 CSO720829:CSO720837 DCK720829:DCK720837 DMG720829:DMG720837 DWC720829:DWC720837 EFY720829:EFY720837 EPU720829:EPU720837 EZQ720829:EZQ720837 FJM720829:FJM720837 FTI720829:FTI720837 GDE720829:GDE720837 GNA720829:GNA720837 GWW720829:GWW720837 HGS720829:HGS720837 HQO720829:HQO720837 IAK720829:IAK720837 IKG720829:IKG720837 IUC720829:IUC720837 JDY720829:JDY720837 JNU720829:JNU720837 JXQ720829:JXQ720837 KHM720829:KHM720837 KRI720829:KRI720837 LBE720829:LBE720837 LLA720829:LLA720837 LUW720829:LUW720837 MES720829:MES720837 MOO720829:MOO720837 MYK720829:MYK720837 NIG720829:NIG720837 NSC720829:NSC720837 OBY720829:OBY720837 OLU720829:OLU720837 OVQ720829:OVQ720837 PFM720829:PFM720837 PPI720829:PPI720837 PZE720829:PZE720837 QJA720829:QJA720837 QSW720829:QSW720837 RCS720829:RCS720837 RMO720829:RMO720837 RWK720829:RWK720837 SGG720829:SGG720837 SQC720829:SQC720837 SZY720829:SZY720837 TJU720829:TJU720837 TTQ720829:TTQ720837 UDM720829:UDM720837 UNI720829:UNI720837 UXE720829:UXE720837 VHA720829:VHA720837 VQW720829:VQW720837 WAS720829:WAS720837 WKO720829:WKO720837 WUK720829:WUK720837 HY786365:HY786373 RU786365:RU786373 ABQ786365:ABQ786373 ALM786365:ALM786373 AVI786365:AVI786373 BFE786365:BFE786373 BPA786365:BPA786373 BYW786365:BYW786373 CIS786365:CIS786373 CSO786365:CSO786373 DCK786365:DCK786373 DMG786365:DMG786373 DWC786365:DWC786373 EFY786365:EFY786373 EPU786365:EPU786373 EZQ786365:EZQ786373 FJM786365:FJM786373 FTI786365:FTI786373 GDE786365:GDE786373 GNA786365:GNA786373 GWW786365:GWW786373 HGS786365:HGS786373 HQO786365:HQO786373 IAK786365:IAK786373 IKG786365:IKG786373 IUC786365:IUC786373 JDY786365:JDY786373 JNU786365:JNU786373 JXQ786365:JXQ786373 KHM786365:KHM786373 KRI786365:KRI786373 LBE786365:LBE786373 LLA786365:LLA786373 LUW786365:LUW786373 MES786365:MES786373 MOO786365:MOO786373 MYK786365:MYK786373 NIG786365:NIG786373 NSC786365:NSC786373 OBY786365:OBY786373 OLU786365:OLU786373 OVQ786365:OVQ786373 PFM786365:PFM786373 PPI786365:PPI786373 PZE786365:PZE786373 QJA786365:QJA786373 QSW786365:QSW786373 RCS786365:RCS786373 RMO786365:RMO786373 RWK786365:RWK786373 SGG786365:SGG786373 SQC786365:SQC786373 SZY786365:SZY786373 TJU786365:TJU786373 TTQ786365:TTQ786373 UDM786365:UDM786373 UNI786365:UNI786373 UXE786365:UXE786373 VHA786365:VHA786373 VQW786365:VQW786373 WAS786365:WAS786373 WKO786365:WKO786373 WUK786365:WUK786373 HY851901:HY851909 RU851901:RU851909 ABQ851901:ABQ851909 ALM851901:ALM851909 AVI851901:AVI851909 BFE851901:BFE851909 BPA851901:BPA851909 BYW851901:BYW851909 CIS851901:CIS851909 CSO851901:CSO851909 DCK851901:DCK851909 DMG851901:DMG851909 DWC851901:DWC851909 EFY851901:EFY851909 EPU851901:EPU851909 EZQ851901:EZQ851909 FJM851901:FJM851909 FTI851901:FTI851909 GDE851901:GDE851909 GNA851901:GNA851909 GWW851901:GWW851909 HGS851901:HGS851909 HQO851901:HQO851909 IAK851901:IAK851909 IKG851901:IKG851909 IUC851901:IUC851909 JDY851901:JDY851909 JNU851901:JNU851909 JXQ851901:JXQ851909 KHM851901:KHM851909 KRI851901:KRI851909 LBE851901:LBE851909 LLA851901:LLA851909 LUW851901:LUW851909 MES851901:MES851909 MOO851901:MOO851909 MYK851901:MYK851909 NIG851901:NIG851909 NSC851901:NSC851909 OBY851901:OBY851909 OLU851901:OLU851909 OVQ851901:OVQ851909 PFM851901:PFM851909 PPI851901:PPI851909 PZE851901:PZE851909 QJA851901:QJA851909 QSW851901:QSW851909 RCS851901:RCS851909 RMO851901:RMO851909 RWK851901:RWK851909 SGG851901:SGG851909 SQC851901:SQC851909 SZY851901:SZY851909 TJU851901:TJU851909 TTQ851901:TTQ851909 UDM851901:UDM851909 UNI851901:UNI851909 UXE851901:UXE851909 VHA851901:VHA851909 VQW851901:VQW851909 WAS851901:WAS851909 WKO851901:WKO851909 WUK851901:WUK851909 HY917437:HY917445 RU917437:RU917445 ABQ917437:ABQ917445 ALM917437:ALM917445 AVI917437:AVI917445 BFE917437:BFE917445 BPA917437:BPA917445 BYW917437:BYW917445 CIS917437:CIS917445 CSO917437:CSO917445 DCK917437:DCK917445 DMG917437:DMG917445 DWC917437:DWC917445 EFY917437:EFY917445 EPU917437:EPU917445 EZQ917437:EZQ917445 FJM917437:FJM917445 FTI917437:FTI917445 GDE917437:GDE917445 GNA917437:GNA917445 GWW917437:GWW917445 HGS917437:HGS917445 HQO917437:HQO917445 IAK917437:IAK917445 IKG917437:IKG917445 IUC917437:IUC917445 JDY917437:JDY917445 JNU917437:JNU917445 JXQ917437:JXQ917445 KHM917437:KHM917445 KRI917437:KRI917445 LBE917437:LBE917445 LLA917437:LLA917445 LUW917437:LUW917445 MES917437:MES917445 MOO917437:MOO917445 MYK917437:MYK917445 NIG917437:NIG917445 NSC917437:NSC917445 OBY917437:OBY917445 OLU917437:OLU917445 OVQ917437:OVQ917445 PFM917437:PFM917445 PPI917437:PPI917445 PZE917437:PZE917445 QJA917437:QJA917445 QSW917437:QSW917445 RCS917437:RCS917445 RMO917437:RMO917445 RWK917437:RWK917445 SGG917437:SGG917445 SQC917437:SQC917445 SZY917437:SZY917445 TJU917437:TJU917445 TTQ917437:TTQ917445 UDM917437:UDM917445 UNI917437:UNI917445 UXE917437:UXE917445 VHA917437:VHA917445 VQW917437:VQW917445 WAS917437:WAS917445 WKO917437:WKO917445 WUK917437:WUK917445 HY982973:HY982981 RU982973:RU982981 ABQ982973:ABQ982981 ALM982973:ALM982981 AVI982973:AVI982981 BFE982973:BFE982981 BPA982973:BPA982981 BYW982973:BYW982981 CIS982973:CIS982981 CSO982973:CSO982981 DCK982973:DCK982981 DMG982973:DMG982981 DWC982973:DWC982981 EFY982973:EFY982981 EPU982973:EPU982981 EZQ982973:EZQ982981 FJM982973:FJM982981 FTI982973:FTI982981 GDE982973:GDE982981 GNA982973:GNA982981 GWW982973:GWW982981 HGS982973:HGS982981 HQO982973:HQO982981 IAK982973:IAK982981 IKG982973:IKG982981 IUC982973:IUC982981 JDY982973:JDY982981 JNU982973:JNU982981 JXQ982973:JXQ982981 KHM982973:KHM982981 KRI982973:KRI982981 LBE982973:LBE982981 LLA982973:LLA982981 LUW982973:LUW982981 MES982973:MES982981 MOO982973:MOO982981 MYK982973:MYK982981 NIG982973:NIG982981 NSC982973:NSC982981 OBY982973:OBY982981 OLU982973:OLU982981 OVQ982973:OVQ982981 PFM982973:PFM982981 PPI982973:PPI982981 PZE982973:PZE982981 QJA982973:QJA982981 QSW982973:QSW982981 RCS982973:RCS982981 RMO982973:RMO982981 RWK982973:RWK982981 SGG982973:SGG982981 SQC982973:SQC982981 SZY982973:SZY982981 TJU982973:TJU982981 TTQ982973:TTQ982981 UDM982973:UDM982981 UNI982973:UNI982981 UXE982973:UXE982981 VHA982973:VHA982981 VQW982973:VQW982981 WAS982973:WAS982981 WKO982973:WKO982981 WUK9:WUK10 WKO9:WKO10 WAS9:WAS10 VQW9:VQW10 VHA9:VHA10 UXE9:UXE10 UNI9:UNI10 UDM9:UDM10 TTQ9:TTQ10 TJU9:TJU10 SZY9:SZY10 SQC9:SQC10 SGG9:SGG10 RWK9:RWK10 RMO9:RMO10 RCS9:RCS10 QSW9:QSW10 QJA9:QJA10 PZE9:PZE10 PPI9:PPI10 PFM9:PFM10 OVQ9:OVQ10 OLU9:OLU10 OBY9:OBY10 NSC9:NSC10 NIG9:NIG10 MYK9:MYK10 MOO9:MOO10 MES9:MES10 LUW9:LUW10 LLA9:LLA10 LBE9:LBE10 KRI9:KRI10 KHM9:KHM10 JXQ9:JXQ10 JNU9:JNU10 JDY9:JDY10 IUC9:IUC10 IKG9:IKG10 IAK9:IAK10 HQO9:HQO10 HGS9:HGS10 GWW9:GWW10 GNA9:GNA10 GDE9:GDE10 FTI9:FTI10 FJM9:FJM10 EZQ9:EZQ10 EPU9:EPU10 EFY9:EFY10 DWC9:DWC10 DMG9:DMG10 DCK9:DCK10 CSO9:CSO10 CIS9:CIS10 BYW9:BYW10 BPA9:BPA10 BFE9:BFE10 AVI9:AVI10 ALM9:ALM10 ABQ9:ABQ10 RU9:RU10 HY9:HY10" xr:uid="{00000000-0002-0000-0400-000000000000}"/>
    <dataValidation allowBlank="1" showInputMessage="1" showErrorMessage="1" prompt="definir la unidad de medida con la cual se asigna el valor unitario." sqref="WUM982973:WUM982981 B65458:B65466 IA65458:IA65466 RW65458:RW65466 ABS65458:ABS65466 ALO65458:ALO65466 AVK65458:AVK65466 BFG65458:BFG65466 BPC65458:BPC65466 BYY65458:BYY65466 CIU65458:CIU65466 CSQ65458:CSQ65466 DCM65458:DCM65466 DMI65458:DMI65466 DWE65458:DWE65466 EGA65458:EGA65466 EPW65458:EPW65466 EZS65458:EZS65466 FJO65458:FJO65466 FTK65458:FTK65466 GDG65458:GDG65466 GNC65458:GNC65466 GWY65458:GWY65466 HGU65458:HGU65466 HQQ65458:HQQ65466 IAM65458:IAM65466 IKI65458:IKI65466 IUE65458:IUE65466 JEA65458:JEA65466 JNW65458:JNW65466 JXS65458:JXS65466 KHO65458:KHO65466 KRK65458:KRK65466 LBG65458:LBG65466 LLC65458:LLC65466 LUY65458:LUY65466 MEU65458:MEU65466 MOQ65458:MOQ65466 MYM65458:MYM65466 NII65458:NII65466 NSE65458:NSE65466 OCA65458:OCA65466 OLW65458:OLW65466 OVS65458:OVS65466 PFO65458:PFO65466 PPK65458:PPK65466 PZG65458:PZG65466 QJC65458:QJC65466 QSY65458:QSY65466 RCU65458:RCU65466 RMQ65458:RMQ65466 RWM65458:RWM65466 SGI65458:SGI65466 SQE65458:SQE65466 TAA65458:TAA65466 TJW65458:TJW65466 TTS65458:TTS65466 UDO65458:UDO65466 UNK65458:UNK65466 UXG65458:UXG65466 VHC65458:VHC65466 VQY65458:VQY65466 WAU65458:WAU65466 WKQ65458:WKQ65466 WUM65458:WUM65466 B130994:B131002 IA130994:IA131002 RW130994:RW131002 ABS130994:ABS131002 ALO130994:ALO131002 AVK130994:AVK131002 BFG130994:BFG131002 BPC130994:BPC131002 BYY130994:BYY131002 CIU130994:CIU131002 CSQ130994:CSQ131002 DCM130994:DCM131002 DMI130994:DMI131002 DWE130994:DWE131002 EGA130994:EGA131002 EPW130994:EPW131002 EZS130994:EZS131002 FJO130994:FJO131002 FTK130994:FTK131002 GDG130994:GDG131002 GNC130994:GNC131002 GWY130994:GWY131002 HGU130994:HGU131002 HQQ130994:HQQ131002 IAM130994:IAM131002 IKI130994:IKI131002 IUE130994:IUE131002 JEA130994:JEA131002 JNW130994:JNW131002 JXS130994:JXS131002 KHO130994:KHO131002 KRK130994:KRK131002 LBG130994:LBG131002 LLC130994:LLC131002 LUY130994:LUY131002 MEU130994:MEU131002 MOQ130994:MOQ131002 MYM130994:MYM131002 NII130994:NII131002 NSE130994:NSE131002 OCA130994:OCA131002 OLW130994:OLW131002 OVS130994:OVS131002 PFO130994:PFO131002 PPK130994:PPK131002 PZG130994:PZG131002 QJC130994:QJC131002 QSY130994:QSY131002 RCU130994:RCU131002 RMQ130994:RMQ131002 RWM130994:RWM131002 SGI130994:SGI131002 SQE130994:SQE131002 TAA130994:TAA131002 TJW130994:TJW131002 TTS130994:TTS131002 UDO130994:UDO131002 UNK130994:UNK131002 UXG130994:UXG131002 VHC130994:VHC131002 VQY130994:VQY131002 WAU130994:WAU131002 WKQ130994:WKQ131002 WUM130994:WUM131002 B196530:B196538 IA196530:IA196538 RW196530:RW196538 ABS196530:ABS196538 ALO196530:ALO196538 AVK196530:AVK196538 BFG196530:BFG196538 BPC196530:BPC196538 BYY196530:BYY196538 CIU196530:CIU196538 CSQ196530:CSQ196538 DCM196530:DCM196538 DMI196530:DMI196538 DWE196530:DWE196538 EGA196530:EGA196538 EPW196530:EPW196538 EZS196530:EZS196538 FJO196530:FJO196538 FTK196530:FTK196538 GDG196530:GDG196538 GNC196530:GNC196538 GWY196530:GWY196538 HGU196530:HGU196538 HQQ196530:HQQ196538 IAM196530:IAM196538 IKI196530:IKI196538 IUE196530:IUE196538 JEA196530:JEA196538 JNW196530:JNW196538 JXS196530:JXS196538 KHO196530:KHO196538 KRK196530:KRK196538 LBG196530:LBG196538 LLC196530:LLC196538 LUY196530:LUY196538 MEU196530:MEU196538 MOQ196530:MOQ196538 MYM196530:MYM196538 NII196530:NII196538 NSE196530:NSE196538 OCA196530:OCA196538 OLW196530:OLW196538 OVS196530:OVS196538 PFO196530:PFO196538 PPK196530:PPK196538 PZG196530:PZG196538 QJC196530:QJC196538 QSY196530:QSY196538 RCU196530:RCU196538 RMQ196530:RMQ196538 RWM196530:RWM196538 SGI196530:SGI196538 SQE196530:SQE196538 TAA196530:TAA196538 TJW196530:TJW196538 TTS196530:TTS196538 UDO196530:UDO196538 UNK196530:UNK196538 UXG196530:UXG196538 VHC196530:VHC196538 VQY196530:VQY196538 WAU196530:WAU196538 WKQ196530:WKQ196538 WUM196530:WUM196538 B262066:B262074 IA262066:IA262074 RW262066:RW262074 ABS262066:ABS262074 ALO262066:ALO262074 AVK262066:AVK262074 BFG262066:BFG262074 BPC262066:BPC262074 BYY262066:BYY262074 CIU262066:CIU262074 CSQ262066:CSQ262074 DCM262066:DCM262074 DMI262066:DMI262074 DWE262066:DWE262074 EGA262066:EGA262074 EPW262066:EPW262074 EZS262066:EZS262074 FJO262066:FJO262074 FTK262066:FTK262074 GDG262066:GDG262074 GNC262066:GNC262074 GWY262066:GWY262074 HGU262066:HGU262074 HQQ262066:HQQ262074 IAM262066:IAM262074 IKI262066:IKI262074 IUE262066:IUE262074 JEA262066:JEA262074 JNW262066:JNW262074 JXS262066:JXS262074 KHO262066:KHO262074 KRK262066:KRK262074 LBG262066:LBG262074 LLC262066:LLC262074 LUY262066:LUY262074 MEU262066:MEU262074 MOQ262066:MOQ262074 MYM262066:MYM262074 NII262066:NII262074 NSE262066:NSE262074 OCA262066:OCA262074 OLW262066:OLW262074 OVS262066:OVS262074 PFO262066:PFO262074 PPK262066:PPK262074 PZG262066:PZG262074 QJC262066:QJC262074 QSY262066:QSY262074 RCU262066:RCU262074 RMQ262066:RMQ262074 RWM262066:RWM262074 SGI262066:SGI262074 SQE262066:SQE262074 TAA262066:TAA262074 TJW262066:TJW262074 TTS262066:TTS262074 UDO262066:UDO262074 UNK262066:UNK262074 UXG262066:UXG262074 VHC262066:VHC262074 VQY262066:VQY262074 WAU262066:WAU262074 WKQ262066:WKQ262074 WUM262066:WUM262074 B327602:B327610 IA327602:IA327610 RW327602:RW327610 ABS327602:ABS327610 ALO327602:ALO327610 AVK327602:AVK327610 BFG327602:BFG327610 BPC327602:BPC327610 BYY327602:BYY327610 CIU327602:CIU327610 CSQ327602:CSQ327610 DCM327602:DCM327610 DMI327602:DMI327610 DWE327602:DWE327610 EGA327602:EGA327610 EPW327602:EPW327610 EZS327602:EZS327610 FJO327602:FJO327610 FTK327602:FTK327610 GDG327602:GDG327610 GNC327602:GNC327610 GWY327602:GWY327610 HGU327602:HGU327610 HQQ327602:HQQ327610 IAM327602:IAM327610 IKI327602:IKI327610 IUE327602:IUE327610 JEA327602:JEA327610 JNW327602:JNW327610 JXS327602:JXS327610 KHO327602:KHO327610 KRK327602:KRK327610 LBG327602:LBG327610 LLC327602:LLC327610 LUY327602:LUY327610 MEU327602:MEU327610 MOQ327602:MOQ327610 MYM327602:MYM327610 NII327602:NII327610 NSE327602:NSE327610 OCA327602:OCA327610 OLW327602:OLW327610 OVS327602:OVS327610 PFO327602:PFO327610 PPK327602:PPK327610 PZG327602:PZG327610 QJC327602:QJC327610 QSY327602:QSY327610 RCU327602:RCU327610 RMQ327602:RMQ327610 RWM327602:RWM327610 SGI327602:SGI327610 SQE327602:SQE327610 TAA327602:TAA327610 TJW327602:TJW327610 TTS327602:TTS327610 UDO327602:UDO327610 UNK327602:UNK327610 UXG327602:UXG327610 VHC327602:VHC327610 VQY327602:VQY327610 WAU327602:WAU327610 WKQ327602:WKQ327610 WUM327602:WUM327610 B393138:B393146 IA393138:IA393146 RW393138:RW393146 ABS393138:ABS393146 ALO393138:ALO393146 AVK393138:AVK393146 BFG393138:BFG393146 BPC393138:BPC393146 BYY393138:BYY393146 CIU393138:CIU393146 CSQ393138:CSQ393146 DCM393138:DCM393146 DMI393138:DMI393146 DWE393138:DWE393146 EGA393138:EGA393146 EPW393138:EPW393146 EZS393138:EZS393146 FJO393138:FJO393146 FTK393138:FTK393146 GDG393138:GDG393146 GNC393138:GNC393146 GWY393138:GWY393146 HGU393138:HGU393146 HQQ393138:HQQ393146 IAM393138:IAM393146 IKI393138:IKI393146 IUE393138:IUE393146 JEA393138:JEA393146 JNW393138:JNW393146 JXS393138:JXS393146 KHO393138:KHO393146 KRK393138:KRK393146 LBG393138:LBG393146 LLC393138:LLC393146 LUY393138:LUY393146 MEU393138:MEU393146 MOQ393138:MOQ393146 MYM393138:MYM393146 NII393138:NII393146 NSE393138:NSE393146 OCA393138:OCA393146 OLW393138:OLW393146 OVS393138:OVS393146 PFO393138:PFO393146 PPK393138:PPK393146 PZG393138:PZG393146 QJC393138:QJC393146 QSY393138:QSY393146 RCU393138:RCU393146 RMQ393138:RMQ393146 RWM393138:RWM393146 SGI393138:SGI393146 SQE393138:SQE393146 TAA393138:TAA393146 TJW393138:TJW393146 TTS393138:TTS393146 UDO393138:UDO393146 UNK393138:UNK393146 UXG393138:UXG393146 VHC393138:VHC393146 VQY393138:VQY393146 WAU393138:WAU393146 WKQ393138:WKQ393146 WUM393138:WUM393146 B458674:B458682 IA458674:IA458682 RW458674:RW458682 ABS458674:ABS458682 ALO458674:ALO458682 AVK458674:AVK458682 BFG458674:BFG458682 BPC458674:BPC458682 BYY458674:BYY458682 CIU458674:CIU458682 CSQ458674:CSQ458682 DCM458674:DCM458682 DMI458674:DMI458682 DWE458674:DWE458682 EGA458674:EGA458682 EPW458674:EPW458682 EZS458674:EZS458682 FJO458674:FJO458682 FTK458674:FTK458682 GDG458674:GDG458682 GNC458674:GNC458682 GWY458674:GWY458682 HGU458674:HGU458682 HQQ458674:HQQ458682 IAM458674:IAM458682 IKI458674:IKI458682 IUE458674:IUE458682 JEA458674:JEA458682 JNW458674:JNW458682 JXS458674:JXS458682 KHO458674:KHO458682 KRK458674:KRK458682 LBG458674:LBG458682 LLC458674:LLC458682 LUY458674:LUY458682 MEU458674:MEU458682 MOQ458674:MOQ458682 MYM458674:MYM458682 NII458674:NII458682 NSE458674:NSE458682 OCA458674:OCA458682 OLW458674:OLW458682 OVS458674:OVS458682 PFO458674:PFO458682 PPK458674:PPK458682 PZG458674:PZG458682 QJC458674:QJC458682 QSY458674:QSY458682 RCU458674:RCU458682 RMQ458674:RMQ458682 RWM458674:RWM458682 SGI458674:SGI458682 SQE458674:SQE458682 TAA458674:TAA458682 TJW458674:TJW458682 TTS458674:TTS458682 UDO458674:UDO458682 UNK458674:UNK458682 UXG458674:UXG458682 VHC458674:VHC458682 VQY458674:VQY458682 WAU458674:WAU458682 WKQ458674:WKQ458682 WUM458674:WUM458682 B524210:B524218 IA524210:IA524218 RW524210:RW524218 ABS524210:ABS524218 ALO524210:ALO524218 AVK524210:AVK524218 BFG524210:BFG524218 BPC524210:BPC524218 BYY524210:BYY524218 CIU524210:CIU524218 CSQ524210:CSQ524218 DCM524210:DCM524218 DMI524210:DMI524218 DWE524210:DWE524218 EGA524210:EGA524218 EPW524210:EPW524218 EZS524210:EZS524218 FJO524210:FJO524218 FTK524210:FTK524218 GDG524210:GDG524218 GNC524210:GNC524218 GWY524210:GWY524218 HGU524210:HGU524218 HQQ524210:HQQ524218 IAM524210:IAM524218 IKI524210:IKI524218 IUE524210:IUE524218 JEA524210:JEA524218 JNW524210:JNW524218 JXS524210:JXS524218 KHO524210:KHO524218 KRK524210:KRK524218 LBG524210:LBG524218 LLC524210:LLC524218 LUY524210:LUY524218 MEU524210:MEU524218 MOQ524210:MOQ524218 MYM524210:MYM524218 NII524210:NII524218 NSE524210:NSE524218 OCA524210:OCA524218 OLW524210:OLW524218 OVS524210:OVS524218 PFO524210:PFO524218 PPK524210:PPK524218 PZG524210:PZG524218 QJC524210:QJC524218 QSY524210:QSY524218 RCU524210:RCU524218 RMQ524210:RMQ524218 RWM524210:RWM524218 SGI524210:SGI524218 SQE524210:SQE524218 TAA524210:TAA524218 TJW524210:TJW524218 TTS524210:TTS524218 UDO524210:UDO524218 UNK524210:UNK524218 UXG524210:UXG524218 VHC524210:VHC524218 VQY524210:VQY524218 WAU524210:WAU524218 WKQ524210:WKQ524218 WUM524210:WUM524218 B589746:B589754 IA589746:IA589754 RW589746:RW589754 ABS589746:ABS589754 ALO589746:ALO589754 AVK589746:AVK589754 BFG589746:BFG589754 BPC589746:BPC589754 BYY589746:BYY589754 CIU589746:CIU589754 CSQ589746:CSQ589754 DCM589746:DCM589754 DMI589746:DMI589754 DWE589746:DWE589754 EGA589746:EGA589754 EPW589746:EPW589754 EZS589746:EZS589754 FJO589746:FJO589754 FTK589746:FTK589754 GDG589746:GDG589754 GNC589746:GNC589754 GWY589746:GWY589754 HGU589746:HGU589754 HQQ589746:HQQ589754 IAM589746:IAM589754 IKI589746:IKI589754 IUE589746:IUE589754 JEA589746:JEA589754 JNW589746:JNW589754 JXS589746:JXS589754 KHO589746:KHO589754 KRK589746:KRK589754 LBG589746:LBG589754 LLC589746:LLC589754 LUY589746:LUY589754 MEU589746:MEU589754 MOQ589746:MOQ589754 MYM589746:MYM589754 NII589746:NII589754 NSE589746:NSE589754 OCA589746:OCA589754 OLW589746:OLW589754 OVS589746:OVS589754 PFO589746:PFO589754 PPK589746:PPK589754 PZG589746:PZG589754 QJC589746:QJC589754 QSY589746:QSY589754 RCU589746:RCU589754 RMQ589746:RMQ589754 RWM589746:RWM589754 SGI589746:SGI589754 SQE589746:SQE589754 TAA589746:TAA589754 TJW589746:TJW589754 TTS589746:TTS589754 UDO589746:UDO589754 UNK589746:UNK589754 UXG589746:UXG589754 VHC589746:VHC589754 VQY589746:VQY589754 WAU589746:WAU589754 WKQ589746:WKQ589754 WUM589746:WUM589754 B655282:B655290 IA655282:IA655290 RW655282:RW655290 ABS655282:ABS655290 ALO655282:ALO655290 AVK655282:AVK655290 BFG655282:BFG655290 BPC655282:BPC655290 BYY655282:BYY655290 CIU655282:CIU655290 CSQ655282:CSQ655290 DCM655282:DCM655290 DMI655282:DMI655290 DWE655282:DWE655290 EGA655282:EGA655290 EPW655282:EPW655290 EZS655282:EZS655290 FJO655282:FJO655290 FTK655282:FTK655290 GDG655282:GDG655290 GNC655282:GNC655290 GWY655282:GWY655290 HGU655282:HGU655290 HQQ655282:HQQ655290 IAM655282:IAM655290 IKI655282:IKI655290 IUE655282:IUE655290 JEA655282:JEA655290 JNW655282:JNW655290 JXS655282:JXS655290 KHO655282:KHO655290 KRK655282:KRK655290 LBG655282:LBG655290 LLC655282:LLC655290 LUY655282:LUY655290 MEU655282:MEU655290 MOQ655282:MOQ655290 MYM655282:MYM655290 NII655282:NII655290 NSE655282:NSE655290 OCA655282:OCA655290 OLW655282:OLW655290 OVS655282:OVS655290 PFO655282:PFO655290 PPK655282:PPK655290 PZG655282:PZG655290 QJC655282:QJC655290 QSY655282:QSY655290 RCU655282:RCU655290 RMQ655282:RMQ655290 RWM655282:RWM655290 SGI655282:SGI655290 SQE655282:SQE655290 TAA655282:TAA655290 TJW655282:TJW655290 TTS655282:TTS655290 UDO655282:UDO655290 UNK655282:UNK655290 UXG655282:UXG655290 VHC655282:VHC655290 VQY655282:VQY655290 WAU655282:WAU655290 WKQ655282:WKQ655290 WUM655282:WUM655290 B720818:B720826 IA720818:IA720826 RW720818:RW720826 ABS720818:ABS720826 ALO720818:ALO720826 AVK720818:AVK720826 BFG720818:BFG720826 BPC720818:BPC720826 BYY720818:BYY720826 CIU720818:CIU720826 CSQ720818:CSQ720826 DCM720818:DCM720826 DMI720818:DMI720826 DWE720818:DWE720826 EGA720818:EGA720826 EPW720818:EPW720826 EZS720818:EZS720826 FJO720818:FJO720826 FTK720818:FTK720826 GDG720818:GDG720826 GNC720818:GNC720826 GWY720818:GWY720826 HGU720818:HGU720826 HQQ720818:HQQ720826 IAM720818:IAM720826 IKI720818:IKI720826 IUE720818:IUE720826 JEA720818:JEA720826 JNW720818:JNW720826 JXS720818:JXS720826 KHO720818:KHO720826 KRK720818:KRK720826 LBG720818:LBG720826 LLC720818:LLC720826 LUY720818:LUY720826 MEU720818:MEU720826 MOQ720818:MOQ720826 MYM720818:MYM720826 NII720818:NII720826 NSE720818:NSE720826 OCA720818:OCA720826 OLW720818:OLW720826 OVS720818:OVS720826 PFO720818:PFO720826 PPK720818:PPK720826 PZG720818:PZG720826 QJC720818:QJC720826 QSY720818:QSY720826 RCU720818:RCU720826 RMQ720818:RMQ720826 RWM720818:RWM720826 SGI720818:SGI720826 SQE720818:SQE720826 TAA720818:TAA720826 TJW720818:TJW720826 TTS720818:TTS720826 UDO720818:UDO720826 UNK720818:UNK720826 UXG720818:UXG720826 VHC720818:VHC720826 VQY720818:VQY720826 WAU720818:WAU720826 WKQ720818:WKQ720826 WUM720818:WUM720826 B786354:B786362 IA786354:IA786362 RW786354:RW786362 ABS786354:ABS786362 ALO786354:ALO786362 AVK786354:AVK786362 BFG786354:BFG786362 BPC786354:BPC786362 BYY786354:BYY786362 CIU786354:CIU786362 CSQ786354:CSQ786362 DCM786354:DCM786362 DMI786354:DMI786362 DWE786354:DWE786362 EGA786354:EGA786362 EPW786354:EPW786362 EZS786354:EZS786362 FJO786354:FJO786362 FTK786354:FTK786362 GDG786354:GDG786362 GNC786354:GNC786362 GWY786354:GWY786362 HGU786354:HGU786362 HQQ786354:HQQ786362 IAM786354:IAM786362 IKI786354:IKI786362 IUE786354:IUE786362 JEA786354:JEA786362 JNW786354:JNW786362 JXS786354:JXS786362 KHO786354:KHO786362 KRK786354:KRK786362 LBG786354:LBG786362 LLC786354:LLC786362 LUY786354:LUY786362 MEU786354:MEU786362 MOQ786354:MOQ786362 MYM786354:MYM786362 NII786354:NII786362 NSE786354:NSE786362 OCA786354:OCA786362 OLW786354:OLW786362 OVS786354:OVS786362 PFO786354:PFO786362 PPK786354:PPK786362 PZG786354:PZG786362 QJC786354:QJC786362 QSY786354:QSY786362 RCU786354:RCU786362 RMQ786354:RMQ786362 RWM786354:RWM786362 SGI786354:SGI786362 SQE786354:SQE786362 TAA786354:TAA786362 TJW786354:TJW786362 TTS786354:TTS786362 UDO786354:UDO786362 UNK786354:UNK786362 UXG786354:UXG786362 VHC786354:VHC786362 VQY786354:VQY786362 WAU786354:WAU786362 WKQ786354:WKQ786362 WUM786354:WUM786362 B851890:B851898 IA851890:IA851898 RW851890:RW851898 ABS851890:ABS851898 ALO851890:ALO851898 AVK851890:AVK851898 BFG851890:BFG851898 BPC851890:BPC851898 BYY851890:BYY851898 CIU851890:CIU851898 CSQ851890:CSQ851898 DCM851890:DCM851898 DMI851890:DMI851898 DWE851890:DWE851898 EGA851890:EGA851898 EPW851890:EPW851898 EZS851890:EZS851898 FJO851890:FJO851898 FTK851890:FTK851898 GDG851890:GDG851898 GNC851890:GNC851898 GWY851890:GWY851898 HGU851890:HGU851898 HQQ851890:HQQ851898 IAM851890:IAM851898 IKI851890:IKI851898 IUE851890:IUE851898 JEA851890:JEA851898 JNW851890:JNW851898 JXS851890:JXS851898 KHO851890:KHO851898 KRK851890:KRK851898 LBG851890:LBG851898 LLC851890:LLC851898 LUY851890:LUY851898 MEU851890:MEU851898 MOQ851890:MOQ851898 MYM851890:MYM851898 NII851890:NII851898 NSE851890:NSE851898 OCA851890:OCA851898 OLW851890:OLW851898 OVS851890:OVS851898 PFO851890:PFO851898 PPK851890:PPK851898 PZG851890:PZG851898 QJC851890:QJC851898 QSY851890:QSY851898 RCU851890:RCU851898 RMQ851890:RMQ851898 RWM851890:RWM851898 SGI851890:SGI851898 SQE851890:SQE851898 TAA851890:TAA851898 TJW851890:TJW851898 TTS851890:TTS851898 UDO851890:UDO851898 UNK851890:UNK851898 UXG851890:UXG851898 VHC851890:VHC851898 VQY851890:VQY851898 WAU851890:WAU851898 WKQ851890:WKQ851898 WUM851890:WUM851898 B917426:B917434 IA917426:IA917434 RW917426:RW917434 ABS917426:ABS917434 ALO917426:ALO917434 AVK917426:AVK917434 BFG917426:BFG917434 BPC917426:BPC917434 BYY917426:BYY917434 CIU917426:CIU917434 CSQ917426:CSQ917434 DCM917426:DCM917434 DMI917426:DMI917434 DWE917426:DWE917434 EGA917426:EGA917434 EPW917426:EPW917434 EZS917426:EZS917434 FJO917426:FJO917434 FTK917426:FTK917434 GDG917426:GDG917434 GNC917426:GNC917434 GWY917426:GWY917434 HGU917426:HGU917434 HQQ917426:HQQ917434 IAM917426:IAM917434 IKI917426:IKI917434 IUE917426:IUE917434 JEA917426:JEA917434 JNW917426:JNW917434 JXS917426:JXS917434 KHO917426:KHO917434 KRK917426:KRK917434 LBG917426:LBG917434 LLC917426:LLC917434 LUY917426:LUY917434 MEU917426:MEU917434 MOQ917426:MOQ917434 MYM917426:MYM917434 NII917426:NII917434 NSE917426:NSE917434 OCA917426:OCA917434 OLW917426:OLW917434 OVS917426:OVS917434 PFO917426:PFO917434 PPK917426:PPK917434 PZG917426:PZG917434 QJC917426:QJC917434 QSY917426:QSY917434 RCU917426:RCU917434 RMQ917426:RMQ917434 RWM917426:RWM917434 SGI917426:SGI917434 SQE917426:SQE917434 TAA917426:TAA917434 TJW917426:TJW917434 TTS917426:TTS917434 UDO917426:UDO917434 UNK917426:UNK917434 UXG917426:UXG917434 VHC917426:VHC917434 VQY917426:VQY917434 WAU917426:WAU917434 WKQ917426:WKQ917434 WUM917426:WUM917434 B982962:B982970 IA982962:IA982970 RW982962:RW982970 ABS982962:ABS982970 ALO982962:ALO982970 AVK982962:AVK982970 BFG982962:BFG982970 BPC982962:BPC982970 BYY982962:BYY982970 CIU982962:CIU982970 CSQ982962:CSQ982970 DCM982962:DCM982970 DMI982962:DMI982970 DWE982962:DWE982970 EGA982962:EGA982970 EPW982962:EPW982970 EZS982962:EZS982970 FJO982962:FJO982970 FTK982962:FTK982970 GDG982962:GDG982970 GNC982962:GNC982970 GWY982962:GWY982970 HGU982962:HGU982970 HQQ982962:HQQ982970 IAM982962:IAM982970 IKI982962:IKI982970 IUE982962:IUE982970 JEA982962:JEA982970 JNW982962:JNW982970 JXS982962:JXS982970 KHO982962:KHO982970 KRK982962:KRK982970 LBG982962:LBG982970 LLC982962:LLC982970 LUY982962:LUY982970 MEU982962:MEU982970 MOQ982962:MOQ982970 MYM982962:MYM982970 NII982962:NII982970 NSE982962:NSE982970 OCA982962:OCA982970 OLW982962:OLW982970 OVS982962:OVS982970 PFO982962:PFO982970 PPK982962:PPK982970 PZG982962:PZG982970 QJC982962:QJC982970 QSY982962:QSY982970 RCU982962:RCU982970 RMQ982962:RMQ982970 RWM982962:RWM982970 SGI982962:SGI982970 SQE982962:SQE982970 TAA982962:TAA982970 TJW982962:TJW982970 TTS982962:TTS982970 UDO982962:UDO982970 UNK982962:UNK982970 UXG982962:UXG982970 VHC982962:VHC982970 VQY982962:VQY982970 WAU982962:WAU982970 WKQ982962:WKQ982970 WUM982962:WUM982970 B65469:B65477 IA65469:IA65477 RW65469:RW65477 ABS65469:ABS65477 ALO65469:ALO65477 AVK65469:AVK65477 BFG65469:BFG65477 BPC65469:BPC65477 BYY65469:BYY65477 CIU65469:CIU65477 CSQ65469:CSQ65477 DCM65469:DCM65477 DMI65469:DMI65477 DWE65469:DWE65477 EGA65469:EGA65477 EPW65469:EPW65477 EZS65469:EZS65477 FJO65469:FJO65477 FTK65469:FTK65477 GDG65469:GDG65477 GNC65469:GNC65477 GWY65469:GWY65477 HGU65469:HGU65477 HQQ65469:HQQ65477 IAM65469:IAM65477 IKI65469:IKI65477 IUE65469:IUE65477 JEA65469:JEA65477 JNW65469:JNW65477 JXS65469:JXS65477 KHO65469:KHO65477 KRK65469:KRK65477 LBG65469:LBG65477 LLC65469:LLC65477 LUY65469:LUY65477 MEU65469:MEU65477 MOQ65469:MOQ65477 MYM65469:MYM65477 NII65469:NII65477 NSE65469:NSE65477 OCA65469:OCA65477 OLW65469:OLW65477 OVS65469:OVS65477 PFO65469:PFO65477 PPK65469:PPK65477 PZG65469:PZG65477 QJC65469:QJC65477 QSY65469:QSY65477 RCU65469:RCU65477 RMQ65469:RMQ65477 RWM65469:RWM65477 SGI65469:SGI65477 SQE65469:SQE65477 TAA65469:TAA65477 TJW65469:TJW65477 TTS65469:TTS65477 UDO65469:UDO65477 UNK65469:UNK65477 UXG65469:UXG65477 VHC65469:VHC65477 VQY65469:VQY65477 WAU65469:WAU65477 WKQ65469:WKQ65477 WUM65469:WUM65477 B131005:B131013 IA131005:IA131013 RW131005:RW131013 ABS131005:ABS131013 ALO131005:ALO131013 AVK131005:AVK131013 BFG131005:BFG131013 BPC131005:BPC131013 BYY131005:BYY131013 CIU131005:CIU131013 CSQ131005:CSQ131013 DCM131005:DCM131013 DMI131005:DMI131013 DWE131005:DWE131013 EGA131005:EGA131013 EPW131005:EPW131013 EZS131005:EZS131013 FJO131005:FJO131013 FTK131005:FTK131013 GDG131005:GDG131013 GNC131005:GNC131013 GWY131005:GWY131013 HGU131005:HGU131013 HQQ131005:HQQ131013 IAM131005:IAM131013 IKI131005:IKI131013 IUE131005:IUE131013 JEA131005:JEA131013 JNW131005:JNW131013 JXS131005:JXS131013 KHO131005:KHO131013 KRK131005:KRK131013 LBG131005:LBG131013 LLC131005:LLC131013 LUY131005:LUY131013 MEU131005:MEU131013 MOQ131005:MOQ131013 MYM131005:MYM131013 NII131005:NII131013 NSE131005:NSE131013 OCA131005:OCA131013 OLW131005:OLW131013 OVS131005:OVS131013 PFO131005:PFO131013 PPK131005:PPK131013 PZG131005:PZG131013 QJC131005:QJC131013 QSY131005:QSY131013 RCU131005:RCU131013 RMQ131005:RMQ131013 RWM131005:RWM131013 SGI131005:SGI131013 SQE131005:SQE131013 TAA131005:TAA131013 TJW131005:TJW131013 TTS131005:TTS131013 UDO131005:UDO131013 UNK131005:UNK131013 UXG131005:UXG131013 VHC131005:VHC131013 VQY131005:VQY131013 WAU131005:WAU131013 WKQ131005:WKQ131013 WUM131005:WUM131013 B196541:B196549 IA196541:IA196549 RW196541:RW196549 ABS196541:ABS196549 ALO196541:ALO196549 AVK196541:AVK196549 BFG196541:BFG196549 BPC196541:BPC196549 BYY196541:BYY196549 CIU196541:CIU196549 CSQ196541:CSQ196549 DCM196541:DCM196549 DMI196541:DMI196549 DWE196541:DWE196549 EGA196541:EGA196549 EPW196541:EPW196549 EZS196541:EZS196549 FJO196541:FJO196549 FTK196541:FTK196549 GDG196541:GDG196549 GNC196541:GNC196549 GWY196541:GWY196549 HGU196541:HGU196549 HQQ196541:HQQ196549 IAM196541:IAM196549 IKI196541:IKI196549 IUE196541:IUE196549 JEA196541:JEA196549 JNW196541:JNW196549 JXS196541:JXS196549 KHO196541:KHO196549 KRK196541:KRK196549 LBG196541:LBG196549 LLC196541:LLC196549 LUY196541:LUY196549 MEU196541:MEU196549 MOQ196541:MOQ196549 MYM196541:MYM196549 NII196541:NII196549 NSE196541:NSE196549 OCA196541:OCA196549 OLW196541:OLW196549 OVS196541:OVS196549 PFO196541:PFO196549 PPK196541:PPK196549 PZG196541:PZG196549 QJC196541:QJC196549 QSY196541:QSY196549 RCU196541:RCU196549 RMQ196541:RMQ196549 RWM196541:RWM196549 SGI196541:SGI196549 SQE196541:SQE196549 TAA196541:TAA196549 TJW196541:TJW196549 TTS196541:TTS196549 UDO196541:UDO196549 UNK196541:UNK196549 UXG196541:UXG196549 VHC196541:VHC196549 VQY196541:VQY196549 WAU196541:WAU196549 WKQ196541:WKQ196549 WUM196541:WUM196549 B262077:B262085 IA262077:IA262085 RW262077:RW262085 ABS262077:ABS262085 ALO262077:ALO262085 AVK262077:AVK262085 BFG262077:BFG262085 BPC262077:BPC262085 BYY262077:BYY262085 CIU262077:CIU262085 CSQ262077:CSQ262085 DCM262077:DCM262085 DMI262077:DMI262085 DWE262077:DWE262085 EGA262077:EGA262085 EPW262077:EPW262085 EZS262077:EZS262085 FJO262077:FJO262085 FTK262077:FTK262085 GDG262077:GDG262085 GNC262077:GNC262085 GWY262077:GWY262085 HGU262077:HGU262085 HQQ262077:HQQ262085 IAM262077:IAM262085 IKI262077:IKI262085 IUE262077:IUE262085 JEA262077:JEA262085 JNW262077:JNW262085 JXS262077:JXS262085 KHO262077:KHO262085 KRK262077:KRK262085 LBG262077:LBG262085 LLC262077:LLC262085 LUY262077:LUY262085 MEU262077:MEU262085 MOQ262077:MOQ262085 MYM262077:MYM262085 NII262077:NII262085 NSE262077:NSE262085 OCA262077:OCA262085 OLW262077:OLW262085 OVS262077:OVS262085 PFO262077:PFO262085 PPK262077:PPK262085 PZG262077:PZG262085 QJC262077:QJC262085 QSY262077:QSY262085 RCU262077:RCU262085 RMQ262077:RMQ262085 RWM262077:RWM262085 SGI262077:SGI262085 SQE262077:SQE262085 TAA262077:TAA262085 TJW262077:TJW262085 TTS262077:TTS262085 UDO262077:UDO262085 UNK262077:UNK262085 UXG262077:UXG262085 VHC262077:VHC262085 VQY262077:VQY262085 WAU262077:WAU262085 WKQ262077:WKQ262085 WUM262077:WUM262085 B327613:B327621 IA327613:IA327621 RW327613:RW327621 ABS327613:ABS327621 ALO327613:ALO327621 AVK327613:AVK327621 BFG327613:BFG327621 BPC327613:BPC327621 BYY327613:BYY327621 CIU327613:CIU327621 CSQ327613:CSQ327621 DCM327613:DCM327621 DMI327613:DMI327621 DWE327613:DWE327621 EGA327613:EGA327621 EPW327613:EPW327621 EZS327613:EZS327621 FJO327613:FJO327621 FTK327613:FTK327621 GDG327613:GDG327621 GNC327613:GNC327621 GWY327613:GWY327621 HGU327613:HGU327621 HQQ327613:HQQ327621 IAM327613:IAM327621 IKI327613:IKI327621 IUE327613:IUE327621 JEA327613:JEA327621 JNW327613:JNW327621 JXS327613:JXS327621 KHO327613:KHO327621 KRK327613:KRK327621 LBG327613:LBG327621 LLC327613:LLC327621 LUY327613:LUY327621 MEU327613:MEU327621 MOQ327613:MOQ327621 MYM327613:MYM327621 NII327613:NII327621 NSE327613:NSE327621 OCA327613:OCA327621 OLW327613:OLW327621 OVS327613:OVS327621 PFO327613:PFO327621 PPK327613:PPK327621 PZG327613:PZG327621 QJC327613:QJC327621 QSY327613:QSY327621 RCU327613:RCU327621 RMQ327613:RMQ327621 RWM327613:RWM327621 SGI327613:SGI327621 SQE327613:SQE327621 TAA327613:TAA327621 TJW327613:TJW327621 TTS327613:TTS327621 UDO327613:UDO327621 UNK327613:UNK327621 UXG327613:UXG327621 VHC327613:VHC327621 VQY327613:VQY327621 WAU327613:WAU327621 WKQ327613:WKQ327621 WUM327613:WUM327621 B393149:B393157 IA393149:IA393157 RW393149:RW393157 ABS393149:ABS393157 ALO393149:ALO393157 AVK393149:AVK393157 BFG393149:BFG393157 BPC393149:BPC393157 BYY393149:BYY393157 CIU393149:CIU393157 CSQ393149:CSQ393157 DCM393149:DCM393157 DMI393149:DMI393157 DWE393149:DWE393157 EGA393149:EGA393157 EPW393149:EPW393157 EZS393149:EZS393157 FJO393149:FJO393157 FTK393149:FTK393157 GDG393149:GDG393157 GNC393149:GNC393157 GWY393149:GWY393157 HGU393149:HGU393157 HQQ393149:HQQ393157 IAM393149:IAM393157 IKI393149:IKI393157 IUE393149:IUE393157 JEA393149:JEA393157 JNW393149:JNW393157 JXS393149:JXS393157 KHO393149:KHO393157 KRK393149:KRK393157 LBG393149:LBG393157 LLC393149:LLC393157 LUY393149:LUY393157 MEU393149:MEU393157 MOQ393149:MOQ393157 MYM393149:MYM393157 NII393149:NII393157 NSE393149:NSE393157 OCA393149:OCA393157 OLW393149:OLW393157 OVS393149:OVS393157 PFO393149:PFO393157 PPK393149:PPK393157 PZG393149:PZG393157 QJC393149:QJC393157 QSY393149:QSY393157 RCU393149:RCU393157 RMQ393149:RMQ393157 RWM393149:RWM393157 SGI393149:SGI393157 SQE393149:SQE393157 TAA393149:TAA393157 TJW393149:TJW393157 TTS393149:TTS393157 UDO393149:UDO393157 UNK393149:UNK393157 UXG393149:UXG393157 VHC393149:VHC393157 VQY393149:VQY393157 WAU393149:WAU393157 WKQ393149:WKQ393157 WUM393149:WUM393157 B458685:B458693 IA458685:IA458693 RW458685:RW458693 ABS458685:ABS458693 ALO458685:ALO458693 AVK458685:AVK458693 BFG458685:BFG458693 BPC458685:BPC458693 BYY458685:BYY458693 CIU458685:CIU458693 CSQ458685:CSQ458693 DCM458685:DCM458693 DMI458685:DMI458693 DWE458685:DWE458693 EGA458685:EGA458693 EPW458685:EPW458693 EZS458685:EZS458693 FJO458685:FJO458693 FTK458685:FTK458693 GDG458685:GDG458693 GNC458685:GNC458693 GWY458685:GWY458693 HGU458685:HGU458693 HQQ458685:HQQ458693 IAM458685:IAM458693 IKI458685:IKI458693 IUE458685:IUE458693 JEA458685:JEA458693 JNW458685:JNW458693 JXS458685:JXS458693 KHO458685:KHO458693 KRK458685:KRK458693 LBG458685:LBG458693 LLC458685:LLC458693 LUY458685:LUY458693 MEU458685:MEU458693 MOQ458685:MOQ458693 MYM458685:MYM458693 NII458685:NII458693 NSE458685:NSE458693 OCA458685:OCA458693 OLW458685:OLW458693 OVS458685:OVS458693 PFO458685:PFO458693 PPK458685:PPK458693 PZG458685:PZG458693 QJC458685:QJC458693 QSY458685:QSY458693 RCU458685:RCU458693 RMQ458685:RMQ458693 RWM458685:RWM458693 SGI458685:SGI458693 SQE458685:SQE458693 TAA458685:TAA458693 TJW458685:TJW458693 TTS458685:TTS458693 UDO458685:UDO458693 UNK458685:UNK458693 UXG458685:UXG458693 VHC458685:VHC458693 VQY458685:VQY458693 WAU458685:WAU458693 WKQ458685:WKQ458693 WUM458685:WUM458693 B524221:B524229 IA524221:IA524229 RW524221:RW524229 ABS524221:ABS524229 ALO524221:ALO524229 AVK524221:AVK524229 BFG524221:BFG524229 BPC524221:BPC524229 BYY524221:BYY524229 CIU524221:CIU524229 CSQ524221:CSQ524229 DCM524221:DCM524229 DMI524221:DMI524229 DWE524221:DWE524229 EGA524221:EGA524229 EPW524221:EPW524229 EZS524221:EZS524229 FJO524221:FJO524229 FTK524221:FTK524229 GDG524221:GDG524229 GNC524221:GNC524229 GWY524221:GWY524229 HGU524221:HGU524229 HQQ524221:HQQ524229 IAM524221:IAM524229 IKI524221:IKI524229 IUE524221:IUE524229 JEA524221:JEA524229 JNW524221:JNW524229 JXS524221:JXS524229 KHO524221:KHO524229 KRK524221:KRK524229 LBG524221:LBG524229 LLC524221:LLC524229 LUY524221:LUY524229 MEU524221:MEU524229 MOQ524221:MOQ524229 MYM524221:MYM524229 NII524221:NII524229 NSE524221:NSE524229 OCA524221:OCA524229 OLW524221:OLW524229 OVS524221:OVS524229 PFO524221:PFO524229 PPK524221:PPK524229 PZG524221:PZG524229 QJC524221:QJC524229 QSY524221:QSY524229 RCU524221:RCU524229 RMQ524221:RMQ524229 RWM524221:RWM524229 SGI524221:SGI524229 SQE524221:SQE524229 TAA524221:TAA524229 TJW524221:TJW524229 TTS524221:TTS524229 UDO524221:UDO524229 UNK524221:UNK524229 UXG524221:UXG524229 VHC524221:VHC524229 VQY524221:VQY524229 WAU524221:WAU524229 WKQ524221:WKQ524229 WUM524221:WUM524229 B589757:B589765 IA589757:IA589765 RW589757:RW589765 ABS589757:ABS589765 ALO589757:ALO589765 AVK589757:AVK589765 BFG589757:BFG589765 BPC589757:BPC589765 BYY589757:BYY589765 CIU589757:CIU589765 CSQ589757:CSQ589765 DCM589757:DCM589765 DMI589757:DMI589765 DWE589757:DWE589765 EGA589757:EGA589765 EPW589757:EPW589765 EZS589757:EZS589765 FJO589757:FJO589765 FTK589757:FTK589765 GDG589757:GDG589765 GNC589757:GNC589765 GWY589757:GWY589765 HGU589757:HGU589765 HQQ589757:HQQ589765 IAM589757:IAM589765 IKI589757:IKI589765 IUE589757:IUE589765 JEA589757:JEA589765 JNW589757:JNW589765 JXS589757:JXS589765 KHO589757:KHO589765 KRK589757:KRK589765 LBG589757:LBG589765 LLC589757:LLC589765 LUY589757:LUY589765 MEU589757:MEU589765 MOQ589757:MOQ589765 MYM589757:MYM589765 NII589757:NII589765 NSE589757:NSE589765 OCA589757:OCA589765 OLW589757:OLW589765 OVS589757:OVS589765 PFO589757:PFO589765 PPK589757:PPK589765 PZG589757:PZG589765 QJC589757:QJC589765 QSY589757:QSY589765 RCU589757:RCU589765 RMQ589757:RMQ589765 RWM589757:RWM589765 SGI589757:SGI589765 SQE589757:SQE589765 TAA589757:TAA589765 TJW589757:TJW589765 TTS589757:TTS589765 UDO589757:UDO589765 UNK589757:UNK589765 UXG589757:UXG589765 VHC589757:VHC589765 VQY589757:VQY589765 WAU589757:WAU589765 WKQ589757:WKQ589765 WUM589757:WUM589765 B655293:B655301 IA655293:IA655301 RW655293:RW655301 ABS655293:ABS655301 ALO655293:ALO655301 AVK655293:AVK655301 BFG655293:BFG655301 BPC655293:BPC655301 BYY655293:BYY655301 CIU655293:CIU655301 CSQ655293:CSQ655301 DCM655293:DCM655301 DMI655293:DMI655301 DWE655293:DWE655301 EGA655293:EGA655301 EPW655293:EPW655301 EZS655293:EZS655301 FJO655293:FJO655301 FTK655293:FTK655301 GDG655293:GDG655301 GNC655293:GNC655301 GWY655293:GWY655301 HGU655293:HGU655301 HQQ655293:HQQ655301 IAM655293:IAM655301 IKI655293:IKI655301 IUE655293:IUE655301 JEA655293:JEA655301 JNW655293:JNW655301 JXS655293:JXS655301 KHO655293:KHO655301 KRK655293:KRK655301 LBG655293:LBG655301 LLC655293:LLC655301 LUY655293:LUY655301 MEU655293:MEU655301 MOQ655293:MOQ655301 MYM655293:MYM655301 NII655293:NII655301 NSE655293:NSE655301 OCA655293:OCA655301 OLW655293:OLW655301 OVS655293:OVS655301 PFO655293:PFO655301 PPK655293:PPK655301 PZG655293:PZG655301 QJC655293:QJC655301 QSY655293:QSY655301 RCU655293:RCU655301 RMQ655293:RMQ655301 RWM655293:RWM655301 SGI655293:SGI655301 SQE655293:SQE655301 TAA655293:TAA655301 TJW655293:TJW655301 TTS655293:TTS655301 UDO655293:UDO655301 UNK655293:UNK655301 UXG655293:UXG655301 VHC655293:VHC655301 VQY655293:VQY655301 WAU655293:WAU655301 WKQ655293:WKQ655301 WUM655293:WUM655301 B720829:B720837 IA720829:IA720837 RW720829:RW720837 ABS720829:ABS720837 ALO720829:ALO720837 AVK720829:AVK720837 BFG720829:BFG720837 BPC720829:BPC720837 BYY720829:BYY720837 CIU720829:CIU720837 CSQ720829:CSQ720837 DCM720829:DCM720837 DMI720829:DMI720837 DWE720829:DWE720837 EGA720829:EGA720837 EPW720829:EPW720837 EZS720829:EZS720837 FJO720829:FJO720837 FTK720829:FTK720837 GDG720829:GDG720837 GNC720829:GNC720837 GWY720829:GWY720837 HGU720829:HGU720837 HQQ720829:HQQ720837 IAM720829:IAM720837 IKI720829:IKI720837 IUE720829:IUE720837 JEA720829:JEA720837 JNW720829:JNW720837 JXS720829:JXS720837 KHO720829:KHO720837 KRK720829:KRK720837 LBG720829:LBG720837 LLC720829:LLC720837 LUY720829:LUY720837 MEU720829:MEU720837 MOQ720829:MOQ720837 MYM720829:MYM720837 NII720829:NII720837 NSE720829:NSE720837 OCA720829:OCA720837 OLW720829:OLW720837 OVS720829:OVS720837 PFO720829:PFO720837 PPK720829:PPK720837 PZG720829:PZG720837 QJC720829:QJC720837 QSY720829:QSY720837 RCU720829:RCU720837 RMQ720829:RMQ720837 RWM720829:RWM720837 SGI720829:SGI720837 SQE720829:SQE720837 TAA720829:TAA720837 TJW720829:TJW720837 TTS720829:TTS720837 UDO720829:UDO720837 UNK720829:UNK720837 UXG720829:UXG720837 VHC720829:VHC720837 VQY720829:VQY720837 WAU720829:WAU720837 WKQ720829:WKQ720837 WUM720829:WUM720837 B786365:B786373 IA786365:IA786373 RW786365:RW786373 ABS786365:ABS786373 ALO786365:ALO786373 AVK786365:AVK786373 BFG786365:BFG786373 BPC786365:BPC786373 BYY786365:BYY786373 CIU786365:CIU786373 CSQ786365:CSQ786373 DCM786365:DCM786373 DMI786365:DMI786373 DWE786365:DWE786373 EGA786365:EGA786373 EPW786365:EPW786373 EZS786365:EZS786373 FJO786365:FJO786373 FTK786365:FTK786373 GDG786365:GDG786373 GNC786365:GNC786373 GWY786365:GWY786373 HGU786365:HGU786373 HQQ786365:HQQ786373 IAM786365:IAM786373 IKI786365:IKI786373 IUE786365:IUE786373 JEA786365:JEA786373 JNW786365:JNW786373 JXS786365:JXS786373 KHO786365:KHO786373 KRK786365:KRK786373 LBG786365:LBG786373 LLC786365:LLC786373 LUY786365:LUY786373 MEU786365:MEU786373 MOQ786365:MOQ786373 MYM786365:MYM786373 NII786365:NII786373 NSE786365:NSE786373 OCA786365:OCA786373 OLW786365:OLW786373 OVS786365:OVS786373 PFO786365:PFO786373 PPK786365:PPK786373 PZG786365:PZG786373 QJC786365:QJC786373 QSY786365:QSY786373 RCU786365:RCU786373 RMQ786365:RMQ786373 RWM786365:RWM786373 SGI786365:SGI786373 SQE786365:SQE786373 TAA786365:TAA786373 TJW786365:TJW786373 TTS786365:TTS786373 UDO786365:UDO786373 UNK786365:UNK786373 UXG786365:UXG786373 VHC786365:VHC786373 VQY786365:VQY786373 WAU786365:WAU786373 WKQ786365:WKQ786373 WUM786365:WUM786373 B851901:B851909 IA851901:IA851909 RW851901:RW851909 ABS851901:ABS851909 ALO851901:ALO851909 AVK851901:AVK851909 BFG851901:BFG851909 BPC851901:BPC851909 BYY851901:BYY851909 CIU851901:CIU851909 CSQ851901:CSQ851909 DCM851901:DCM851909 DMI851901:DMI851909 DWE851901:DWE851909 EGA851901:EGA851909 EPW851901:EPW851909 EZS851901:EZS851909 FJO851901:FJO851909 FTK851901:FTK851909 GDG851901:GDG851909 GNC851901:GNC851909 GWY851901:GWY851909 HGU851901:HGU851909 HQQ851901:HQQ851909 IAM851901:IAM851909 IKI851901:IKI851909 IUE851901:IUE851909 JEA851901:JEA851909 JNW851901:JNW851909 JXS851901:JXS851909 KHO851901:KHO851909 KRK851901:KRK851909 LBG851901:LBG851909 LLC851901:LLC851909 LUY851901:LUY851909 MEU851901:MEU851909 MOQ851901:MOQ851909 MYM851901:MYM851909 NII851901:NII851909 NSE851901:NSE851909 OCA851901:OCA851909 OLW851901:OLW851909 OVS851901:OVS851909 PFO851901:PFO851909 PPK851901:PPK851909 PZG851901:PZG851909 QJC851901:QJC851909 QSY851901:QSY851909 RCU851901:RCU851909 RMQ851901:RMQ851909 RWM851901:RWM851909 SGI851901:SGI851909 SQE851901:SQE851909 TAA851901:TAA851909 TJW851901:TJW851909 TTS851901:TTS851909 UDO851901:UDO851909 UNK851901:UNK851909 UXG851901:UXG851909 VHC851901:VHC851909 VQY851901:VQY851909 WAU851901:WAU851909 WKQ851901:WKQ851909 WUM851901:WUM851909 B917437:B917445 IA917437:IA917445 RW917437:RW917445 ABS917437:ABS917445 ALO917437:ALO917445 AVK917437:AVK917445 BFG917437:BFG917445 BPC917437:BPC917445 BYY917437:BYY917445 CIU917437:CIU917445 CSQ917437:CSQ917445 DCM917437:DCM917445 DMI917437:DMI917445 DWE917437:DWE917445 EGA917437:EGA917445 EPW917437:EPW917445 EZS917437:EZS917445 FJO917437:FJO917445 FTK917437:FTK917445 GDG917437:GDG917445 GNC917437:GNC917445 GWY917437:GWY917445 HGU917437:HGU917445 HQQ917437:HQQ917445 IAM917437:IAM917445 IKI917437:IKI917445 IUE917437:IUE917445 JEA917437:JEA917445 JNW917437:JNW917445 JXS917437:JXS917445 KHO917437:KHO917445 KRK917437:KRK917445 LBG917437:LBG917445 LLC917437:LLC917445 LUY917437:LUY917445 MEU917437:MEU917445 MOQ917437:MOQ917445 MYM917437:MYM917445 NII917437:NII917445 NSE917437:NSE917445 OCA917437:OCA917445 OLW917437:OLW917445 OVS917437:OVS917445 PFO917437:PFO917445 PPK917437:PPK917445 PZG917437:PZG917445 QJC917437:QJC917445 QSY917437:QSY917445 RCU917437:RCU917445 RMQ917437:RMQ917445 RWM917437:RWM917445 SGI917437:SGI917445 SQE917437:SQE917445 TAA917437:TAA917445 TJW917437:TJW917445 TTS917437:TTS917445 UDO917437:UDO917445 UNK917437:UNK917445 UXG917437:UXG917445 VHC917437:VHC917445 VQY917437:VQY917445 WAU917437:WAU917445 WKQ917437:WKQ917445 WUM917437:WUM917445 B982973:B982981 IA982973:IA982981 RW982973:RW982981 ABS982973:ABS982981 ALO982973:ALO982981 AVK982973:AVK982981 BFG982973:BFG982981 BPC982973:BPC982981 BYY982973:BYY982981 CIU982973:CIU982981 CSQ982973:CSQ982981 DCM982973:DCM982981 DMI982973:DMI982981 DWE982973:DWE982981 EGA982973:EGA982981 EPW982973:EPW982981 EZS982973:EZS982981 FJO982973:FJO982981 FTK982973:FTK982981 GDG982973:GDG982981 GNC982973:GNC982981 GWY982973:GWY982981 HGU982973:HGU982981 HQQ982973:HQQ982981 IAM982973:IAM982981 IKI982973:IKI982981 IUE982973:IUE982981 JEA982973:JEA982981 JNW982973:JNW982981 JXS982973:JXS982981 KHO982973:KHO982981 KRK982973:KRK982981 LBG982973:LBG982981 LLC982973:LLC982981 LUY982973:LUY982981 MEU982973:MEU982981 MOQ982973:MOQ982981 MYM982973:MYM982981 NII982973:NII982981 NSE982973:NSE982981 OCA982973:OCA982981 OLW982973:OLW982981 OVS982973:OVS982981 PFO982973:PFO982981 PPK982973:PPK982981 PZG982973:PZG982981 QJC982973:QJC982981 QSY982973:QSY982981 RCU982973:RCU982981 RMQ982973:RMQ982981 RWM982973:RWM982981 SGI982973:SGI982981 SQE982973:SQE982981 TAA982973:TAA982981 TJW982973:TJW982981 TTS982973:TTS982981 UDO982973:UDO982981 UNK982973:UNK982981 UXG982973:UXG982981 VHC982973:VHC982981 VQY982973:VQY982981 WAU982973:WAU982981 WKQ982973:WKQ982981 B9:B10 WUM9:WUM10 WKQ9:WKQ10 WAU9:WAU10 VQY9:VQY10 VHC9:VHC10 UXG9:UXG10 UNK9:UNK10 UDO9:UDO10 TTS9:TTS10 TJW9:TJW10 TAA9:TAA10 SQE9:SQE10 SGI9:SGI10 RWM9:RWM10 RMQ9:RMQ10 RCU9:RCU10 QSY9:QSY10 QJC9:QJC10 PZG9:PZG10 PPK9:PPK10 PFO9:PFO10 OVS9:OVS10 OLW9:OLW10 OCA9:OCA10 NSE9:NSE10 NII9:NII10 MYM9:MYM10 MOQ9:MOQ10 MEU9:MEU10 LUY9:LUY10 LLC9:LLC10 LBG9:LBG10 KRK9:KRK10 KHO9:KHO10 JXS9:JXS10 JNW9:JNW10 JEA9:JEA10 IUE9:IUE10 IKI9:IKI10 IAM9:IAM10 HQQ9:HQQ10 HGU9:HGU10 GWY9:GWY10 GNC9:GNC10 GDG9:GDG10 FTK9:FTK10 FJO9:FJO10 EZS9:EZS10 EPW9:EPW10 EGA9:EGA10 DWE9:DWE10 DMI9:DMI10 DCM9:DCM10 CSQ9:CSQ10 CIU9:CIU10 BYY9:BYY10 BPC9:BPC10 BFG9:BFG10 AVK9:AVK10 ALO9:ALO10 ABS9:ABS10 RW9:RW10 IA9:IA10" xr:uid="{00000000-0002-0000-0400-000001000000}"/>
    <dataValidation allowBlank="1" showInputMessage="1" showErrorMessage="1" prompt="diligencie la cantidad de unidad de medida del valor unitario" sqref="IB65458:IB65466 RX65458:RX65466 ABT65458:ABT65466 ALP65458:ALP65466 AVL65458:AVL65466 BFH65458:BFH65466 BPD65458:BPD65466 BYZ65458:BYZ65466 CIV65458:CIV65466 CSR65458:CSR65466 DCN65458:DCN65466 DMJ65458:DMJ65466 DWF65458:DWF65466 EGB65458:EGB65466 EPX65458:EPX65466 EZT65458:EZT65466 FJP65458:FJP65466 FTL65458:FTL65466 GDH65458:GDH65466 GND65458:GND65466 GWZ65458:GWZ65466 HGV65458:HGV65466 HQR65458:HQR65466 IAN65458:IAN65466 IKJ65458:IKJ65466 IUF65458:IUF65466 JEB65458:JEB65466 JNX65458:JNX65466 JXT65458:JXT65466 KHP65458:KHP65466 KRL65458:KRL65466 LBH65458:LBH65466 LLD65458:LLD65466 LUZ65458:LUZ65466 MEV65458:MEV65466 MOR65458:MOR65466 MYN65458:MYN65466 NIJ65458:NIJ65466 NSF65458:NSF65466 OCB65458:OCB65466 OLX65458:OLX65466 OVT65458:OVT65466 PFP65458:PFP65466 PPL65458:PPL65466 PZH65458:PZH65466 QJD65458:QJD65466 QSZ65458:QSZ65466 RCV65458:RCV65466 RMR65458:RMR65466 RWN65458:RWN65466 SGJ65458:SGJ65466 SQF65458:SQF65466 TAB65458:TAB65466 TJX65458:TJX65466 TTT65458:TTT65466 UDP65458:UDP65466 UNL65458:UNL65466 UXH65458:UXH65466 VHD65458:VHD65466 VQZ65458:VQZ65466 WAV65458:WAV65466 WKR65458:WKR65466 WUN65458:WUN65466 IB130994:IB131002 RX130994:RX131002 ABT130994:ABT131002 ALP130994:ALP131002 AVL130994:AVL131002 BFH130994:BFH131002 BPD130994:BPD131002 BYZ130994:BYZ131002 CIV130994:CIV131002 CSR130994:CSR131002 DCN130994:DCN131002 DMJ130994:DMJ131002 DWF130994:DWF131002 EGB130994:EGB131002 EPX130994:EPX131002 EZT130994:EZT131002 FJP130994:FJP131002 FTL130994:FTL131002 GDH130994:GDH131002 GND130994:GND131002 GWZ130994:GWZ131002 HGV130994:HGV131002 HQR130994:HQR131002 IAN130994:IAN131002 IKJ130994:IKJ131002 IUF130994:IUF131002 JEB130994:JEB131002 JNX130994:JNX131002 JXT130994:JXT131002 KHP130994:KHP131002 KRL130994:KRL131002 LBH130994:LBH131002 LLD130994:LLD131002 LUZ130994:LUZ131002 MEV130994:MEV131002 MOR130994:MOR131002 MYN130994:MYN131002 NIJ130994:NIJ131002 NSF130994:NSF131002 OCB130994:OCB131002 OLX130994:OLX131002 OVT130994:OVT131002 PFP130994:PFP131002 PPL130994:PPL131002 PZH130994:PZH131002 QJD130994:QJD131002 QSZ130994:QSZ131002 RCV130994:RCV131002 RMR130994:RMR131002 RWN130994:RWN131002 SGJ130994:SGJ131002 SQF130994:SQF131002 TAB130994:TAB131002 TJX130994:TJX131002 TTT130994:TTT131002 UDP130994:UDP131002 UNL130994:UNL131002 UXH130994:UXH131002 VHD130994:VHD131002 VQZ130994:VQZ131002 WAV130994:WAV131002 WKR130994:WKR131002 WUN130994:WUN131002 IB196530:IB196538 RX196530:RX196538 ABT196530:ABT196538 ALP196530:ALP196538 AVL196530:AVL196538 BFH196530:BFH196538 BPD196530:BPD196538 BYZ196530:BYZ196538 CIV196530:CIV196538 CSR196530:CSR196538 DCN196530:DCN196538 DMJ196530:DMJ196538 DWF196530:DWF196538 EGB196530:EGB196538 EPX196530:EPX196538 EZT196530:EZT196538 FJP196530:FJP196538 FTL196530:FTL196538 GDH196530:GDH196538 GND196530:GND196538 GWZ196530:GWZ196538 HGV196530:HGV196538 HQR196530:HQR196538 IAN196530:IAN196538 IKJ196530:IKJ196538 IUF196530:IUF196538 JEB196530:JEB196538 JNX196530:JNX196538 JXT196530:JXT196538 KHP196530:KHP196538 KRL196530:KRL196538 LBH196530:LBH196538 LLD196530:LLD196538 LUZ196530:LUZ196538 MEV196530:MEV196538 MOR196530:MOR196538 MYN196530:MYN196538 NIJ196530:NIJ196538 NSF196530:NSF196538 OCB196530:OCB196538 OLX196530:OLX196538 OVT196530:OVT196538 PFP196530:PFP196538 PPL196530:PPL196538 PZH196530:PZH196538 QJD196530:QJD196538 QSZ196530:QSZ196538 RCV196530:RCV196538 RMR196530:RMR196538 RWN196530:RWN196538 SGJ196530:SGJ196538 SQF196530:SQF196538 TAB196530:TAB196538 TJX196530:TJX196538 TTT196530:TTT196538 UDP196530:UDP196538 UNL196530:UNL196538 UXH196530:UXH196538 VHD196530:VHD196538 VQZ196530:VQZ196538 WAV196530:WAV196538 WKR196530:WKR196538 WUN196530:WUN196538 IB262066:IB262074 RX262066:RX262074 ABT262066:ABT262074 ALP262066:ALP262074 AVL262066:AVL262074 BFH262066:BFH262074 BPD262066:BPD262074 BYZ262066:BYZ262074 CIV262066:CIV262074 CSR262066:CSR262074 DCN262066:DCN262074 DMJ262066:DMJ262074 DWF262066:DWF262074 EGB262066:EGB262074 EPX262066:EPX262074 EZT262066:EZT262074 FJP262066:FJP262074 FTL262066:FTL262074 GDH262066:GDH262074 GND262066:GND262074 GWZ262066:GWZ262074 HGV262066:HGV262074 HQR262066:HQR262074 IAN262066:IAN262074 IKJ262066:IKJ262074 IUF262066:IUF262074 JEB262066:JEB262074 JNX262066:JNX262074 JXT262066:JXT262074 KHP262066:KHP262074 KRL262066:KRL262074 LBH262066:LBH262074 LLD262066:LLD262074 LUZ262066:LUZ262074 MEV262066:MEV262074 MOR262066:MOR262074 MYN262066:MYN262074 NIJ262066:NIJ262074 NSF262066:NSF262074 OCB262066:OCB262074 OLX262066:OLX262074 OVT262066:OVT262074 PFP262066:PFP262074 PPL262066:PPL262074 PZH262066:PZH262074 QJD262066:QJD262074 QSZ262066:QSZ262074 RCV262066:RCV262074 RMR262066:RMR262074 RWN262066:RWN262074 SGJ262066:SGJ262074 SQF262066:SQF262074 TAB262066:TAB262074 TJX262066:TJX262074 TTT262066:TTT262074 UDP262066:UDP262074 UNL262066:UNL262074 UXH262066:UXH262074 VHD262066:VHD262074 VQZ262066:VQZ262074 WAV262066:WAV262074 WKR262066:WKR262074 WUN262066:WUN262074 IB327602:IB327610 RX327602:RX327610 ABT327602:ABT327610 ALP327602:ALP327610 AVL327602:AVL327610 BFH327602:BFH327610 BPD327602:BPD327610 BYZ327602:BYZ327610 CIV327602:CIV327610 CSR327602:CSR327610 DCN327602:DCN327610 DMJ327602:DMJ327610 DWF327602:DWF327610 EGB327602:EGB327610 EPX327602:EPX327610 EZT327602:EZT327610 FJP327602:FJP327610 FTL327602:FTL327610 GDH327602:GDH327610 GND327602:GND327610 GWZ327602:GWZ327610 HGV327602:HGV327610 HQR327602:HQR327610 IAN327602:IAN327610 IKJ327602:IKJ327610 IUF327602:IUF327610 JEB327602:JEB327610 JNX327602:JNX327610 JXT327602:JXT327610 KHP327602:KHP327610 KRL327602:KRL327610 LBH327602:LBH327610 LLD327602:LLD327610 LUZ327602:LUZ327610 MEV327602:MEV327610 MOR327602:MOR327610 MYN327602:MYN327610 NIJ327602:NIJ327610 NSF327602:NSF327610 OCB327602:OCB327610 OLX327602:OLX327610 OVT327602:OVT327610 PFP327602:PFP327610 PPL327602:PPL327610 PZH327602:PZH327610 QJD327602:QJD327610 QSZ327602:QSZ327610 RCV327602:RCV327610 RMR327602:RMR327610 RWN327602:RWN327610 SGJ327602:SGJ327610 SQF327602:SQF327610 TAB327602:TAB327610 TJX327602:TJX327610 TTT327602:TTT327610 UDP327602:UDP327610 UNL327602:UNL327610 UXH327602:UXH327610 VHD327602:VHD327610 VQZ327602:VQZ327610 WAV327602:WAV327610 WKR327602:WKR327610 WUN327602:WUN327610 IB393138:IB393146 RX393138:RX393146 ABT393138:ABT393146 ALP393138:ALP393146 AVL393138:AVL393146 BFH393138:BFH393146 BPD393138:BPD393146 BYZ393138:BYZ393146 CIV393138:CIV393146 CSR393138:CSR393146 DCN393138:DCN393146 DMJ393138:DMJ393146 DWF393138:DWF393146 EGB393138:EGB393146 EPX393138:EPX393146 EZT393138:EZT393146 FJP393138:FJP393146 FTL393138:FTL393146 GDH393138:GDH393146 GND393138:GND393146 GWZ393138:GWZ393146 HGV393138:HGV393146 HQR393138:HQR393146 IAN393138:IAN393146 IKJ393138:IKJ393146 IUF393138:IUF393146 JEB393138:JEB393146 JNX393138:JNX393146 JXT393138:JXT393146 KHP393138:KHP393146 KRL393138:KRL393146 LBH393138:LBH393146 LLD393138:LLD393146 LUZ393138:LUZ393146 MEV393138:MEV393146 MOR393138:MOR393146 MYN393138:MYN393146 NIJ393138:NIJ393146 NSF393138:NSF393146 OCB393138:OCB393146 OLX393138:OLX393146 OVT393138:OVT393146 PFP393138:PFP393146 PPL393138:PPL393146 PZH393138:PZH393146 QJD393138:QJD393146 QSZ393138:QSZ393146 RCV393138:RCV393146 RMR393138:RMR393146 RWN393138:RWN393146 SGJ393138:SGJ393146 SQF393138:SQF393146 TAB393138:TAB393146 TJX393138:TJX393146 TTT393138:TTT393146 UDP393138:UDP393146 UNL393138:UNL393146 UXH393138:UXH393146 VHD393138:VHD393146 VQZ393138:VQZ393146 WAV393138:WAV393146 WKR393138:WKR393146 WUN393138:WUN393146 IB458674:IB458682 RX458674:RX458682 ABT458674:ABT458682 ALP458674:ALP458682 AVL458674:AVL458682 BFH458674:BFH458682 BPD458674:BPD458682 BYZ458674:BYZ458682 CIV458674:CIV458682 CSR458674:CSR458682 DCN458674:DCN458682 DMJ458674:DMJ458682 DWF458674:DWF458682 EGB458674:EGB458682 EPX458674:EPX458682 EZT458674:EZT458682 FJP458674:FJP458682 FTL458674:FTL458682 GDH458674:GDH458682 GND458674:GND458682 GWZ458674:GWZ458682 HGV458674:HGV458682 HQR458674:HQR458682 IAN458674:IAN458682 IKJ458674:IKJ458682 IUF458674:IUF458682 JEB458674:JEB458682 JNX458674:JNX458682 JXT458674:JXT458682 KHP458674:KHP458682 KRL458674:KRL458682 LBH458674:LBH458682 LLD458674:LLD458682 LUZ458674:LUZ458682 MEV458674:MEV458682 MOR458674:MOR458682 MYN458674:MYN458682 NIJ458674:NIJ458682 NSF458674:NSF458682 OCB458674:OCB458682 OLX458674:OLX458682 OVT458674:OVT458682 PFP458674:PFP458682 PPL458674:PPL458682 PZH458674:PZH458682 QJD458674:QJD458682 QSZ458674:QSZ458682 RCV458674:RCV458682 RMR458674:RMR458682 RWN458674:RWN458682 SGJ458674:SGJ458682 SQF458674:SQF458682 TAB458674:TAB458682 TJX458674:TJX458682 TTT458674:TTT458682 UDP458674:UDP458682 UNL458674:UNL458682 UXH458674:UXH458682 VHD458674:VHD458682 VQZ458674:VQZ458682 WAV458674:WAV458682 WKR458674:WKR458682 WUN458674:WUN458682 IB524210:IB524218 RX524210:RX524218 ABT524210:ABT524218 ALP524210:ALP524218 AVL524210:AVL524218 BFH524210:BFH524218 BPD524210:BPD524218 BYZ524210:BYZ524218 CIV524210:CIV524218 CSR524210:CSR524218 DCN524210:DCN524218 DMJ524210:DMJ524218 DWF524210:DWF524218 EGB524210:EGB524218 EPX524210:EPX524218 EZT524210:EZT524218 FJP524210:FJP524218 FTL524210:FTL524218 GDH524210:GDH524218 GND524210:GND524218 GWZ524210:GWZ524218 HGV524210:HGV524218 HQR524210:HQR524218 IAN524210:IAN524218 IKJ524210:IKJ524218 IUF524210:IUF524218 JEB524210:JEB524218 JNX524210:JNX524218 JXT524210:JXT524218 KHP524210:KHP524218 KRL524210:KRL524218 LBH524210:LBH524218 LLD524210:LLD524218 LUZ524210:LUZ524218 MEV524210:MEV524218 MOR524210:MOR524218 MYN524210:MYN524218 NIJ524210:NIJ524218 NSF524210:NSF524218 OCB524210:OCB524218 OLX524210:OLX524218 OVT524210:OVT524218 PFP524210:PFP524218 PPL524210:PPL524218 PZH524210:PZH524218 QJD524210:QJD524218 QSZ524210:QSZ524218 RCV524210:RCV524218 RMR524210:RMR524218 RWN524210:RWN524218 SGJ524210:SGJ524218 SQF524210:SQF524218 TAB524210:TAB524218 TJX524210:TJX524218 TTT524210:TTT524218 UDP524210:UDP524218 UNL524210:UNL524218 UXH524210:UXH524218 VHD524210:VHD524218 VQZ524210:VQZ524218 WAV524210:WAV524218 WKR524210:WKR524218 WUN524210:WUN524218 IB589746:IB589754 RX589746:RX589754 ABT589746:ABT589754 ALP589746:ALP589754 AVL589746:AVL589754 BFH589746:BFH589754 BPD589746:BPD589754 BYZ589746:BYZ589754 CIV589746:CIV589754 CSR589746:CSR589754 DCN589746:DCN589754 DMJ589746:DMJ589754 DWF589746:DWF589754 EGB589746:EGB589754 EPX589746:EPX589754 EZT589746:EZT589754 FJP589746:FJP589754 FTL589746:FTL589754 GDH589746:GDH589754 GND589746:GND589754 GWZ589746:GWZ589754 HGV589746:HGV589754 HQR589746:HQR589754 IAN589746:IAN589754 IKJ589746:IKJ589754 IUF589746:IUF589754 JEB589746:JEB589754 JNX589746:JNX589754 JXT589746:JXT589754 KHP589746:KHP589754 KRL589746:KRL589754 LBH589746:LBH589754 LLD589746:LLD589754 LUZ589746:LUZ589754 MEV589746:MEV589754 MOR589746:MOR589754 MYN589746:MYN589754 NIJ589746:NIJ589754 NSF589746:NSF589754 OCB589746:OCB589754 OLX589746:OLX589754 OVT589746:OVT589754 PFP589746:PFP589754 PPL589746:PPL589754 PZH589746:PZH589754 QJD589746:QJD589754 QSZ589746:QSZ589754 RCV589746:RCV589754 RMR589746:RMR589754 RWN589746:RWN589754 SGJ589746:SGJ589754 SQF589746:SQF589754 TAB589746:TAB589754 TJX589746:TJX589754 TTT589746:TTT589754 UDP589746:UDP589754 UNL589746:UNL589754 UXH589746:UXH589754 VHD589746:VHD589754 VQZ589746:VQZ589754 WAV589746:WAV589754 WKR589746:WKR589754 WUN589746:WUN589754 IB655282:IB655290 RX655282:RX655290 ABT655282:ABT655290 ALP655282:ALP655290 AVL655282:AVL655290 BFH655282:BFH655290 BPD655282:BPD655290 BYZ655282:BYZ655290 CIV655282:CIV655290 CSR655282:CSR655290 DCN655282:DCN655290 DMJ655282:DMJ655290 DWF655282:DWF655290 EGB655282:EGB655290 EPX655282:EPX655290 EZT655282:EZT655290 FJP655282:FJP655290 FTL655282:FTL655290 GDH655282:GDH655290 GND655282:GND655290 GWZ655282:GWZ655290 HGV655282:HGV655290 HQR655282:HQR655290 IAN655282:IAN655290 IKJ655282:IKJ655290 IUF655282:IUF655290 JEB655282:JEB655290 JNX655282:JNX655290 JXT655282:JXT655290 KHP655282:KHP655290 KRL655282:KRL655290 LBH655282:LBH655290 LLD655282:LLD655290 LUZ655282:LUZ655290 MEV655282:MEV655290 MOR655282:MOR655290 MYN655282:MYN655290 NIJ655282:NIJ655290 NSF655282:NSF655290 OCB655282:OCB655290 OLX655282:OLX655290 OVT655282:OVT655290 PFP655282:PFP655290 PPL655282:PPL655290 PZH655282:PZH655290 QJD655282:QJD655290 QSZ655282:QSZ655290 RCV655282:RCV655290 RMR655282:RMR655290 RWN655282:RWN655290 SGJ655282:SGJ655290 SQF655282:SQF655290 TAB655282:TAB655290 TJX655282:TJX655290 TTT655282:TTT655290 UDP655282:UDP655290 UNL655282:UNL655290 UXH655282:UXH655290 VHD655282:VHD655290 VQZ655282:VQZ655290 WAV655282:WAV655290 WKR655282:WKR655290 WUN655282:WUN655290 IB720818:IB720826 RX720818:RX720826 ABT720818:ABT720826 ALP720818:ALP720826 AVL720818:AVL720826 BFH720818:BFH720826 BPD720818:BPD720826 BYZ720818:BYZ720826 CIV720818:CIV720826 CSR720818:CSR720826 DCN720818:DCN720826 DMJ720818:DMJ720826 DWF720818:DWF720826 EGB720818:EGB720826 EPX720818:EPX720826 EZT720818:EZT720826 FJP720818:FJP720826 FTL720818:FTL720826 GDH720818:GDH720826 GND720818:GND720826 GWZ720818:GWZ720826 HGV720818:HGV720826 HQR720818:HQR720826 IAN720818:IAN720826 IKJ720818:IKJ720826 IUF720818:IUF720826 JEB720818:JEB720826 JNX720818:JNX720826 JXT720818:JXT720826 KHP720818:KHP720826 KRL720818:KRL720826 LBH720818:LBH720826 LLD720818:LLD720826 LUZ720818:LUZ720826 MEV720818:MEV720826 MOR720818:MOR720826 MYN720818:MYN720826 NIJ720818:NIJ720826 NSF720818:NSF720826 OCB720818:OCB720826 OLX720818:OLX720826 OVT720818:OVT720826 PFP720818:PFP720826 PPL720818:PPL720826 PZH720818:PZH720826 QJD720818:QJD720826 QSZ720818:QSZ720826 RCV720818:RCV720826 RMR720818:RMR720826 RWN720818:RWN720826 SGJ720818:SGJ720826 SQF720818:SQF720826 TAB720818:TAB720826 TJX720818:TJX720826 TTT720818:TTT720826 UDP720818:UDP720826 UNL720818:UNL720826 UXH720818:UXH720826 VHD720818:VHD720826 VQZ720818:VQZ720826 WAV720818:WAV720826 WKR720818:WKR720826 WUN720818:WUN720826 IB786354:IB786362 RX786354:RX786362 ABT786354:ABT786362 ALP786354:ALP786362 AVL786354:AVL786362 BFH786354:BFH786362 BPD786354:BPD786362 BYZ786354:BYZ786362 CIV786354:CIV786362 CSR786354:CSR786362 DCN786354:DCN786362 DMJ786354:DMJ786362 DWF786354:DWF786362 EGB786354:EGB786362 EPX786354:EPX786362 EZT786354:EZT786362 FJP786354:FJP786362 FTL786354:FTL786362 GDH786354:GDH786362 GND786354:GND786362 GWZ786354:GWZ786362 HGV786354:HGV786362 HQR786354:HQR786362 IAN786354:IAN786362 IKJ786354:IKJ786362 IUF786354:IUF786362 JEB786354:JEB786362 JNX786354:JNX786362 JXT786354:JXT786362 KHP786354:KHP786362 KRL786354:KRL786362 LBH786354:LBH786362 LLD786354:LLD786362 LUZ786354:LUZ786362 MEV786354:MEV786362 MOR786354:MOR786362 MYN786354:MYN786362 NIJ786354:NIJ786362 NSF786354:NSF786362 OCB786354:OCB786362 OLX786354:OLX786362 OVT786354:OVT786362 PFP786354:PFP786362 PPL786354:PPL786362 PZH786354:PZH786362 QJD786354:QJD786362 QSZ786354:QSZ786362 RCV786354:RCV786362 RMR786354:RMR786362 RWN786354:RWN786362 SGJ786354:SGJ786362 SQF786354:SQF786362 TAB786354:TAB786362 TJX786354:TJX786362 TTT786354:TTT786362 UDP786354:UDP786362 UNL786354:UNL786362 UXH786354:UXH786362 VHD786354:VHD786362 VQZ786354:VQZ786362 WAV786354:WAV786362 WKR786354:WKR786362 WUN786354:WUN786362 IB851890:IB851898 RX851890:RX851898 ABT851890:ABT851898 ALP851890:ALP851898 AVL851890:AVL851898 BFH851890:BFH851898 BPD851890:BPD851898 BYZ851890:BYZ851898 CIV851890:CIV851898 CSR851890:CSR851898 DCN851890:DCN851898 DMJ851890:DMJ851898 DWF851890:DWF851898 EGB851890:EGB851898 EPX851890:EPX851898 EZT851890:EZT851898 FJP851890:FJP851898 FTL851890:FTL851898 GDH851890:GDH851898 GND851890:GND851898 GWZ851890:GWZ851898 HGV851890:HGV851898 HQR851890:HQR851898 IAN851890:IAN851898 IKJ851890:IKJ851898 IUF851890:IUF851898 JEB851890:JEB851898 JNX851890:JNX851898 JXT851890:JXT851898 KHP851890:KHP851898 KRL851890:KRL851898 LBH851890:LBH851898 LLD851890:LLD851898 LUZ851890:LUZ851898 MEV851890:MEV851898 MOR851890:MOR851898 MYN851890:MYN851898 NIJ851890:NIJ851898 NSF851890:NSF851898 OCB851890:OCB851898 OLX851890:OLX851898 OVT851890:OVT851898 PFP851890:PFP851898 PPL851890:PPL851898 PZH851890:PZH851898 QJD851890:QJD851898 QSZ851890:QSZ851898 RCV851890:RCV851898 RMR851890:RMR851898 RWN851890:RWN851898 SGJ851890:SGJ851898 SQF851890:SQF851898 TAB851890:TAB851898 TJX851890:TJX851898 TTT851890:TTT851898 UDP851890:UDP851898 UNL851890:UNL851898 UXH851890:UXH851898 VHD851890:VHD851898 VQZ851890:VQZ851898 WAV851890:WAV851898 WKR851890:WKR851898 WUN851890:WUN851898 IB917426:IB917434 RX917426:RX917434 ABT917426:ABT917434 ALP917426:ALP917434 AVL917426:AVL917434 BFH917426:BFH917434 BPD917426:BPD917434 BYZ917426:BYZ917434 CIV917426:CIV917434 CSR917426:CSR917434 DCN917426:DCN917434 DMJ917426:DMJ917434 DWF917426:DWF917434 EGB917426:EGB917434 EPX917426:EPX917434 EZT917426:EZT917434 FJP917426:FJP917434 FTL917426:FTL917434 GDH917426:GDH917434 GND917426:GND917434 GWZ917426:GWZ917434 HGV917426:HGV917434 HQR917426:HQR917434 IAN917426:IAN917434 IKJ917426:IKJ917434 IUF917426:IUF917434 JEB917426:JEB917434 JNX917426:JNX917434 JXT917426:JXT917434 KHP917426:KHP917434 KRL917426:KRL917434 LBH917426:LBH917434 LLD917426:LLD917434 LUZ917426:LUZ917434 MEV917426:MEV917434 MOR917426:MOR917434 MYN917426:MYN917434 NIJ917426:NIJ917434 NSF917426:NSF917434 OCB917426:OCB917434 OLX917426:OLX917434 OVT917426:OVT917434 PFP917426:PFP917434 PPL917426:PPL917434 PZH917426:PZH917434 QJD917426:QJD917434 QSZ917426:QSZ917434 RCV917426:RCV917434 RMR917426:RMR917434 RWN917426:RWN917434 SGJ917426:SGJ917434 SQF917426:SQF917434 TAB917426:TAB917434 TJX917426:TJX917434 TTT917426:TTT917434 UDP917426:UDP917434 UNL917426:UNL917434 UXH917426:UXH917434 VHD917426:VHD917434 VQZ917426:VQZ917434 WAV917426:WAV917434 WKR917426:WKR917434 WUN917426:WUN917434 IB982962:IB982970 RX982962:RX982970 ABT982962:ABT982970 ALP982962:ALP982970 AVL982962:AVL982970 BFH982962:BFH982970 BPD982962:BPD982970 BYZ982962:BYZ982970 CIV982962:CIV982970 CSR982962:CSR982970 DCN982962:DCN982970 DMJ982962:DMJ982970 DWF982962:DWF982970 EGB982962:EGB982970 EPX982962:EPX982970 EZT982962:EZT982970 FJP982962:FJP982970 FTL982962:FTL982970 GDH982962:GDH982970 GND982962:GND982970 GWZ982962:GWZ982970 HGV982962:HGV982970 HQR982962:HQR982970 IAN982962:IAN982970 IKJ982962:IKJ982970 IUF982962:IUF982970 JEB982962:JEB982970 JNX982962:JNX982970 JXT982962:JXT982970 KHP982962:KHP982970 KRL982962:KRL982970 LBH982962:LBH982970 LLD982962:LLD982970 LUZ982962:LUZ982970 MEV982962:MEV982970 MOR982962:MOR982970 MYN982962:MYN982970 NIJ982962:NIJ982970 NSF982962:NSF982970 OCB982962:OCB982970 OLX982962:OLX982970 OVT982962:OVT982970 PFP982962:PFP982970 PPL982962:PPL982970 PZH982962:PZH982970 QJD982962:QJD982970 QSZ982962:QSZ982970 RCV982962:RCV982970 RMR982962:RMR982970 RWN982962:RWN982970 SGJ982962:SGJ982970 SQF982962:SQF982970 TAB982962:TAB982970 TJX982962:TJX982970 TTT982962:TTT982970 UDP982962:UDP982970 UNL982962:UNL982970 UXH982962:UXH982970 VHD982962:VHD982970 VQZ982962:VQZ982970 WAV982962:WAV982970 WKR982962:WKR982970 WUN982962:WUN982970 IB65469:IB65477 RX65469:RX65477 ABT65469:ABT65477 ALP65469:ALP65477 AVL65469:AVL65477 BFH65469:BFH65477 BPD65469:BPD65477 BYZ65469:BYZ65477 CIV65469:CIV65477 CSR65469:CSR65477 DCN65469:DCN65477 DMJ65469:DMJ65477 DWF65469:DWF65477 EGB65469:EGB65477 EPX65469:EPX65477 EZT65469:EZT65477 FJP65469:FJP65477 FTL65469:FTL65477 GDH65469:GDH65477 GND65469:GND65477 GWZ65469:GWZ65477 HGV65469:HGV65477 HQR65469:HQR65477 IAN65469:IAN65477 IKJ65469:IKJ65477 IUF65469:IUF65477 JEB65469:JEB65477 JNX65469:JNX65477 JXT65469:JXT65477 KHP65469:KHP65477 KRL65469:KRL65477 LBH65469:LBH65477 LLD65469:LLD65477 LUZ65469:LUZ65477 MEV65469:MEV65477 MOR65469:MOR65477 MYN65469:MYN65477 NIJ65469:NIJ65477 NSF65469:NSF65477 OCB65469:OCB65477 OLX65469:OLX65477 OVT65469:OVT65477 PFP65469:PFP65477 PPL65469:PPL65477 PZH65469:PZH65477 QJD65469:QJD65477 QSZ65469:QSZ65477 RCV65469:RCV65477 RMR65469:RMR65477 RWN65469:RWN65477 SGJ65469:SGJ65477 SQF65469:SQF65477 TAB65469:TAB65477 TJX65469:TJX65477 TTT65469:TTT65477 UDP65469:UDP65477 UNL65469:UNL65477 UXH65469:UXH65477 VHD65469:VHD65477 VQZ65469:VQZ65477 WAV65469:WAV65477 WKR65469:WKR65477 WUN65469:WUN65477 IB131005:IB131013 RX131005:RX131013 ABT131005:ABT131013 ALP131005:ALP131013 AVL131005:AVL131013 BFH131005:BFH131013 BPD131005:BPD131013 BYZ131005:BYZ131013 CIV131005:CIV131013 CSR131005:CSR131013 DCN131005:DCN131013 DMJ131005:DMJ131013 DWF131005:DWF131013 EGB131005:EGB131013 EPX131005:EPX131013 EZT131005:EZT131013 FJP131005:FJP131013 FTL131005:FTL131013 GDH131005:GDH131013 GND131005:GND131013 GWZ131005:GWZ131013 HGV131005:HGV131013 HQR131005:HQR131013 IAN131005:IAN131013 IKJ131005:IKJ131013 IUF131005:IUF131013 JEB131005:JEB131013 JNX131005:JNX131013 JXT131005:JXT131013 KHP131005:KHP131013 KRL131005:KRL131013 LBH131005:LBH131013 LLD131005:LLD131013 LUZ131005:LUZ131013 MEV131005:MEV131013 MOR131005:MOR131013 MYN131005:MYN131013 NIJ131005:NIJ131013 NSF131005:NSF131013 OCB131005:OCB131013 OLX131005:OLX131013 OVT131005:OVT131013 PFP131005:PFP131013 PPL131005:PPL131013 PZH131005:PZH131013 QJD131005:QJD131013 QSZ131005:QSZ131013 RCV131005:RCV131013 RMR131005:RMR131013 RWN131005:RWN131013 SGJ131005:SGJ131013 SQF131005:SQF131013 TAB131005:TAB131013 TJX131005:TJX131013 TTT131005:TTT131013 UDP131005:UDP131013 UNL131005:UNL131013 UXH131005:UXH131013 VHD131005:VHD131013 VQZ131005:VQZ131013 WAV131005:WAV131013 WKR131005:WKR131013 WUN131005:WUN131013 IB196541:IB196549 RX196541:RX196549 ABT196541:ABT196549 ALP196541:ALP196549 AVL196541:AVL196549 BFH196541:BFH196549 BPD196541:BPD196549 BYZ196541:BYZ196549 CIV196541:CIV196549 CSR196541:CSR196549 DCN196541:DCN196549 DMJ196541:DMJ196549 DWF196541:DWF196549 EGB196541:EGB196549 EPX196541:EPX196549 EZT196541:EZT196549 FJP196541:FJP196549 FTL196541:FTL196549 GDH196541:GDH196549 GND196541:GND196549 GWZ196541:GWZ196549 HGV196541:HGV196549 HQR196541:HQR196549 IAN196541:IAN196549 IKJ196541:IKJ196549 IUF196541:IUF196549 JEB196541:JEB196549 JNX196541:JNX196549 JXT196541:JXT196549 KHP196541:KHP196549 KRL196541:KRL196549 LBH196541:LBH196549 LLD196541:LLD196549 LUZ196541:LUZ196549 MEV196541:MEV196549 MOR196541:MOR196549 MYN196541:MYN196549 NIJ196541:NIJ196549 NSF196541:NSF196549 OCB196541:OCB196549 OLX196541:OLX196549 OVT196541:OVT196549 PFP196541:PFP196549 PPL196541:PPL196549 PZH196541:PZH196549 QJD196541:QJD196549 QSZ196541:QSZ196549 RCV196541:RCV196549 RMR196541:RMR196549 RWN196541:RWN196549 SGJ196541:SGJ196549 SQF196541:SQF196549 TAB196541:TAB196549 TJX196541:TJX196549 TTT196541:TTT196549 UDP196541:UDP196549 UNL196541:UNL196549 UXH196541:UXH196549 VHD196541:VHD196549 VQZ196541:VQZ196549 WAV196541:WAV196549 WKR196541:WKR196549 WUN196541:WUN196549 IB262077:IB262085 RX262077:RX262085 ABT262077:ABT262085 ALP262077:ALP262085 AVL262077:AVL262085 BFH262077:BFH262085 BPD262077:BPD262085 BYZ262077:BYZ262085 CIV262077:CIV262085 CSR262077:CSR262085 DCN262077:DCN262085 DMJ262077:DMJ262085 DWF262077:DWF262085 EGB262077:EGB262085 EPX262077:EPX262085 EZT262077:EZT262085 FJP262077:FJP262085 FTL262077:FTL262085 GDH262077:GDH262085 GND262077:GND262085 GWZ262077:GWZ262085 HGV262077:HGV262085 HQR262077:HQR262085 IAN262077:IAN262085 IKJ262077:IKJ262085 IUF262077:IUF262085 JEB262077:JEB262085 JNX262077:JNX262085 JXT262077:JXT262085 KHP262077:KHP262085 KRL262077:KRL262085 LBH262077:LBH262085 LLD262077:LLD262085 LUZ262077:LUZ262085 MEV262077:MEV262085 MOR262077:MOR262085 MYN262077:MYN262085 NIJ262077:NIJ262085 NSF262077:NSF262085 OCB262077:OCB262085 OLX262077:OLX262085 OVT262077:OVT262085 PFP262077:PFP262085 PPL262077:PPL262085 PZH262077:PZH262085 QJD262077:QJD262085 QSZ262077:QSZ262085 RCV262077:RCV262085 RMR262077:RMR262085 RWN262077:RWN262085 SGJ262077:SGJ262085 SQF262077:SQF262085 TAB262077:TAB262085 TJX262077:TJX262085 TTT262077:TTT262085 UDP262077:UDP262085 UNL262077:UNL262085 UXH262077:UXH262085 VHD262077:VHD262085 VQZ262077:VQZ262085 WAV262077:WAV262085 WKR262077:WKR262085 WUN262077:WUN262085 IB327613:IB327621 RX327613:RX327621 ABT327613:ABT327621 ALP327613:ALP327621 AVL327613:AVL327621 BFH327613:BFH327621 BPD327613:BPD327621 BYZ327613:BYZ327621 CIV327613:CIV327621 CSR327613:CSR327621 DCN327613:DCN327621 DMJ327613:DMJ327621 DWF327613:DWF327621 EGB327613:EGB327621 EPX327613:EPX327621 EZT327613:EZT327621 FJP327613:FJP327621 FTL327613:FTL327621 GDH327613:GDH327621 GND327613:GND327621 GWZ327613:GWZ327621 HGV327613:HGV327621 HQR327613:HQR327621 IAN327613:IAN327621 IKJ327613:IKJ327621 IUF327613:IUF327621 JEB327613:JEB327621 JNX327613:JNX327621 JXT327613:JXT327621 KHP327613:KHP327621 KRL327613:KRL327621 LBH327613:LBH327621 LLD327613:LLD327621 LUZ327613:LUZ327621 MEV327613:MEV327621 MOR327613:MOR327621 MYN327613:MYN327621 NIJ327613:NIJ327621 NSF327613:NSF327621 OCB327613:OCB327621 OLX327613:OLX327621 OVT327613:OVT327621 PFP327613:PFP327621 PPL327613:PPL327621 PZH327613:PZH327621 QJD327613:QJD327621 QSZ327613:QSZ327621 RCV327613:RCV327621 RMR327613:RMR327621 RWN327613:RWN327621 SGJ327613:SGJ327621 SQF327613:SQF327621 TAB327613:TAB327621 TJX327613:TJX327621 TTT327613:TTT327621 UDP327613:UDP327621 UNL327613:UNL327621 UXH327613:UXH327621 VHD327613:VHD327621 VQZ327613:VQZ327621 WAV327613:WAV327621 WKR327613:WKR327621 WUN327613:WUN327621 IB393149:IB393157 RX393149:RX393157 ABT393149:ABT393157 ALP393149:ALP393157 AVL393149:AVL393157 BFH393149:BFH393157 BPD393149:BPD393157 BYZ393149:BYZ393157 CIV393149:CIV393157 CSR393149:CSR393157 DCN393149:DCN393157 DMJ393149:DMJ393157 DWF393149:DWF393157 EGB393149:EGB393157 EPX393149:EPX393157 EZT393149:EZT393157 FJP393149:FJP393157 FTL393149:FTL393157 GDH393149:GDH393157 GND393149:GND393157 GWZ393149:GWZ393157 HGV393149:HGV393157 HQR393149:HQR393157 IAN393149:IAN393157 IKJ393149:IKJ393157 IUF393149:IUF393157 JEB393149:JEB393157 JNX393149:JNX393157 JXT393149:JXT393157 KHP393149:KHP393157 KRL393149:KRL393157 LBH393149:LBH393157 LLD393149:LLD393157 LUZ393149:LUZ393157 MEV393149:MEV393157 MOR393149:MOR393157 MYN393149:MYN393157 NIJ393149:NIJ393157 NSF393149:NSF393157 OCB393149:OCB393157 OLX393149:OLX393157 OVT393149:OVT393157 PFP393149:PFP393157 PPL393149:PPL393157 PZH393149:PZH393157 QJD393149:QJD393157 QSZ393149:QSZ393157 RCV393149:RCV393157 RMR393149:RMR393157 RWN393149:RWN393157 SGJ393149:SGJ393157 SQF393149:SQF393157 TAB393149:TAB393157 TJX393149:TJX393157 TTT393149:TTT393157 UDP393149:UDP393157 UNL393149:UNL393157 UXH393149:UXH393157 VHD393149:VHD393157 VQZ393149:VQZ393157 WAV393149:WAV393157 WKR393149:WKR393157 WUN393149:WUN393157 IB458685:IB458693 RX458685:RX458693 ABT458685:ABT458693 ALP458685:ALP458693 AVL458685:AVL458693 BFH458685:BFH458693 BPD458685:BPD458693 BYZ458685:BYZ458693 CIV458685:CIV458693 CSR458685:CSR458693 DCN458685:DCN458693 DMJ458685:DMJ458693 DWF458685:DWF458693 EGB458685:EGB458693 EPX458685:EPX458693 EZT458685:EZT458693 FJP458685:FJP458693 FTL458685:FTL458693 GDH458685:GDH458693 GND458685:GND458693 GWZ458685:GWZ458693 HGV458685:HGV458693 HQR458685:HQR458693 IAN458685:IAN458693 IKJ458685:IKJ458693 IUF458685:IUF458693 JEB458685:JEB458693 JNX458685:JNX458693 JXT458685:JXT458693 KHP458685:KHP458693 KRL458685:KRL458693 LBH458685:LBH458693 LLD458685:LLD458693 LUZ458685:LUZ458693 MEV458685:MEV458693 MOR458685:MOR458693 MYN458685:MYN458693 NIJ458685:NIJ458693 NSF458685:NSF458693 OCB458685:OCB458693 OLX458685:OLX458693 OVT458685:OVT458693 PFP458685:PFP458693 PPL458685:PPL458693 PZH458685:PZH458693 QJD458685:QJD458693 QSZ458685:QSZ458693 RCV458685:RCV458693 RMR458685:RMR458693 RWN458685:RWN458693 SGJ458685:SGJ458693 SQF458685:SQF458693 TAB458685:TAB458693 TJX458685:TJX458693 TTT458685:TTT458693 UDP458685:UDP458693 UNL458685:UNL458693 UXH458685:UXH458693 VHD458685:VHD458693 VQZ458685:VQZ458693 WAV458685:WAV458693 WKR458685:WKR458693 WUN458685:WUN458693 IB524221:IB524229 RX524221:RX524229 ABT524221:ABT524229 ALP524221:ALP524229 AVL524221:AVL524229 BFH524221:BFH524229 BPD524221:BPD524229 BYZ524221:BYZ524229 CIV524221:CIV524229 CSR524221:CSR524229 DCN524221:DCN524229 DMJ524221:DMJ524229 DWF524221:DWF524229 EGB524221:EGB524229 EPX524221:EPX524229 EZT524221:EZT524229 FJP524221:FJP524229 FTL524221:FTL524229 GDH524221:GDH524229 GND524221:GND524229 GWZ524221:GWZ524229 HGV524221:HGV524229 HQR524221:HQR524229 IAN524221:IAN524229 IKJ524221:IKJ524229 IUF524221:IUF524229 JEB524221:JEB524229 JNX524221:JNX524229 JXT524221:JXT524229 KHP524221:KHP524229 KRL524221:KRL524229 LBH524221:LBH524229 LLD524221:LLD524229 LUZ524221:LUZ524229 MEV524221:MEV524229 MOR524221:MOR524229 MYN524221:MYN524229 NIJ524221:NIJ524229 NSF524221:NSF524229 OCB524221:OCB524229 OLX524221:OLX524229 OVT524221:OVT524229 PFP524221:PFP524229 PPL524221:PPL524229 PZH524221:PZH524229 QJD524221:QJD524229 QSZ524221:QSZ524229 RCV524221:RCV524229 RMR524221:RMR524229 RWN524221:RWN524229 SGJ524221:SGJ524229 SQF524221:SQF524229 TAB524221:TAB524229 TJX524221:TJX524229 TTT524221:TTT524229 UDP524221:UDP524229 UNL524221:UNL524229 UXH524221:UXH524229 VHD524221:VHD524229 VQZ524221:VQZ524229 WAV524221:WAV524229 WKR524221:WKR524229 WUN524221:WUN524229 IB589757:IB589765 RX589757:RX589765 ABT589757:ABT589765 ALP589757:ALP589765 AVL589757:AVL589765 BFH589757:BFH589765 BPD589757:BPD589765 BYZ589757:BYZ589765 CIV589757:CIV589765 CSR589757:CSR589765 DCN589757:DCN589765 DMJ589757:DMJ589765 DWF589757:DWF589765 EGB589757:EGB589765 EPX589757:EPX589765 EZT589757:EZT589765 FJP589757:FJP589765 FTL589757:FTL589765 GDH589757:GDH589765 GND589757:GND589765 GWZ589757:GWZ589765 HGV589757:HGV589765 HQR589757:HQR589765 IAN589757:IAN589765 IKJ589757:IKJ589765 IUF589757:IUF589765 JEB589757:JEB589765 JNX589757:JNX589765 JXT589757:JXT589765 KHP589757:KHP589765 KRL589757:KRL589765 LBH589757:LBH589765 LLD589757:LLD589765 LUZ589757:LUZ589765 MEV589757:MEV589765 MOR589757:MOR589765 MYN589757:MYN589765 NIJ589757:NIJ589765 NSF589757:NSF589765 OCB589757:OCB589765 OLX589757:OLX589765 OVT589757:OVT589765 PFP589757:PFP589765 PPL589757:PPL589765 PZH589757:PZH589765 QJD589757:QJD589765 QSZ589757:QSZ589765 RCV589757:RCV589765 RMR589757:RMR589765 RWN589757:RWN589765 SGJ589757:SGJ589765 SQF589757:SQF589765 TAB589757:TAB589765 TJX589757:TJX589765 TTT589757:TTT589765 UDP589757:UDP589765 UNL589757:UNL589765 UXH589757:UXH589765 VHD589757:VHD589765 VQZ589757:VQZ589765 WAV589757:WAV589765 WKR589757:WKR589765 WUN589757:WUN589765 IB655293:IB655301 RX655293:RX655301 ABT655293:ABT655301 ALP655293:ALP655301 AVL655293:AVL655301 BFH655293:BFH655301 BPD655293:BPD655301 BYZ655293:BYZ655301 CIV655293:CIV655301 CSR655293:CSR655301 DCN655293:DCN655301 DMJ655293:DMJ655301 DWF655293:DWF655301 EGB655293:EGB655301 EPX655293:EPX655301 EZT655293:EZT655301 FJP655293:FJP655301 FTL655293:FTL655301 GDH655293:GDH655301 GND655293:GND655301 GWZ655293:GWZ655301 HGV655293:HGV655301 HQR655293:HQR655301 IAN655293:IAN655301 IKJ655293:IKJ655301 IUF655293:IUF655301 JEB655293:JEB655301 JNX655293:JNX655301 JXT655293:JXT655301 KHP655293:KHP655301 KRL655293:KRL655301 LBH655293:LBH655301 LLD655293:LLD655301 LUZ655293:LUZ655301 MEV655293:MEV655301 MOR655293:MOR655301 MYN655293:MYN655301 NIJ655293:NIJ655301 NSF655293:NSF655301 OCB655293:OCB655301 OLX655293:OLX655301 OVT655293:OVT655301 PFP655293:PFP655301 PPL655293:PPL655301 PZH655293:PZH655301 QJD655293:QJD655301 QSZ655293:QSZ655301 RCV655293:RCV655301 RMR655293:RMR655301 RWN655293:RWN655301 SGJ655293:SGJ655301 SQF655293:SQF655301 TAB655293:TAB655301 TJX655293:TJX655301 TTT655293:TTT655301 UDP655293:UDP655301 UNL655293:UNL655301 UXH655293:UXH655301 VHD655293:VHD655301 VQZ655293:VQZ655301 WAV655293:WAV655301 WKR655293:WKR655301 WUN655293:WUN655301 IB720829:IB720837 RX720829:RX720837 ABT720829:ABT720837 ALP720829:ALP720837 AVL720829:AVL720837 BFH720829:BFH720837 BPD720829:BPD720837 BYZ720829:BYZ720837 CIV720829:CIV720837 CSR720829:CSR720837 DCN720829:DCN720837 DMJ720829:DMJ720837 DWF720829:DWF720837 EGB720829:EGB720837 EPX720829:EPX720837 EZT720829:EZT720837 FJP720829:FJP720837 FTL720829:FTL720837 GDH720829:GDH720837 GND720829:GND720837 GWZ720829:GWZ720837 HGV720829:HGV720837 HQR720829:HQR720837 IAN720829:IAN720837 IKJ720829:IKJ720837 IUF720829:IUF720837 JEB720829:JEB720837 JNX720829:JNX720837 JXT720829:JXT720837 KHP720829:KHP720837 KRL720829:KRL720837 LBH720829:LBH720837 LLD720829:LLD720837 LUZ720829:LUZ720837 MEV720829:MEV720837 MOR720829:MOR720837 MYN720829:MYN720837 NIJ720829:NIJ720837 NSF720829:NSF720837 OCB720829:OCB720837 OLX720829:OLX720837 OVT720829:OVT720837 PFP720829:PFP720837 PPL720829:PPL720837 PZH720829:PZH720837 QJD720829:QJD720837 QSZ720829:QSZ720837 RCV720829:RCV720837 RMR720829:RMR720837 RWN720829:RWN720837 SGJ720829:SGJ720837 SQF720829:SQF720837 TAB720829:TAB720837 TJX720829:TJX720837 TTT720829:TTT720837 UDP720829:UDP720837 UNL720829:UNL720837 UXH720829:UXH720837 VHD720829:VHD720837 VQZ720829:VQZ720837 WAV720829:WAV720837 WKR720829:WKR720837 WUN720829:WUN720837 IB786365:IB786373 RX786365:RX786373 ABT786365:ABT786373 ALP786365:ALP786373 AVL786365:AVL786373 BFH786365:BFH786373 BPD786365:BPD786373 BYZ786365:BYZ786373 CIV786365:CIV786373 CSR786365:CSR786373 DCN786365:DCN786373 DMJ786365:DMJ786373 DWF786365:DWF786373 EGB786365:EGB786373 EPX786365:EPX786373 EZT786365:EZT786373 FJP786365:FJP786373 FTL786365:FTL786373 GDH786365:GDH786373 GND786365:GND786373 GWZ786365:GWZ786373 HGV786365:HGV786373 HQR786365:HQR786373 IAN786365:IAN786373 IKJ786365:IKJ786373 IUF786365:IUF786373 JEB786365:JEB786373 JNX786365:JNX786373 JXT786365:JXT786373 KHP786365:KHP786373 KRL786365:KRL786373 LBH786365:LBH786373 LLD786365:LLD786373 LUZ786365:LUZ786373 MEV786365:MEV786373 MOR786365:MOR786373 MYN786365:MYN786373 NIJ786365:NIJ786373 NSF786365:NSF786373 OCB786365:OCB786373 OLX786365:OLX786373 OVT786365:OVT786373 PFP786365:PFP786373 PPL786365:PPL786373 PZH786365:PZH786373 QJD786365:QJD786373 QSZ786365:QSZ786373 RCV786365:RCV786373 RMR786365:RMR786373 RWN786365:RWN786373 SGJ786365:SGJ786373 SQF786365:SQF786373 TAB786365:TAB786373 TJX786365:TJX786373 TTT786365:TTT786373 UDP786365:UDP786373 UNL786365:UNL786373 UXH786365:UXH786373 VHD786365:VHD786373 VQZ786365:VQZ786373 WAV786365:WAV786373 WKR786365:WKR786373 WUN786365:WUN786373 IB851901:IB851909 RX851901:RX851909 ABT851901:ABT851909 ALP851901:ALP851909 AVL851901:AVL851909 BFH851901:BFH851909 BPD851901:BPD851909 BYZ851901:BYZ851909 CIV851901:CIV851909 CSR851901:CSR851909 DCN851901:DCN851909 DMJ851901:DMJ851909 DWF851901:DWF851909 EGB851901:EGB851909 EPX851901:EPX851909 EZT851901:EZT851909 FJP851901:FJP851909 FTL851901:FTL851909 GDH851901:GDH851909 GND851901:GND851909 GWZ851901:GWZ851909 HGV851901:HGV851909 HQR851901:HQR851909 IAN851901:IAN851909 IKJ851901:IKJ851909 IUF851901:IUF851909 JEB851901:JEB851909 JNX851901:JNX851909 JXT851901:JXT851909 KHP851901:KHP851909 KRL851901:KRL851909 LBH851901:LBH851909 LLD851901:LLD851909 LUZ851901:LUZ851909 MEV851901:MEV851909 MOR851901:MOR851909 MYN851901:MYN851909 NIJ851901:NIJ851909 NSF851901:NSF851909 OCB851901:OCB851909 OLX851901:OLX851909 OVT851901:OVT851909 PFP851901:PFP851909 PPL851901:PPL851909 PZH851901:PZH851909 QJD851901:QJD851909 QSZ851901:QSZ851909 RCV851901:RCV851909 RMR851901:RMR851909 RWN851901:RWN851909 SGJ851901:SGJ851909 SQF851901:SQF851909 TAB851901:TAB851909 TJX851901:TJX851909 TTT851901:TTT851909 UDP851901:UDP851909 UNL851901:UNL851909 UXH851901:UXH851909 VHD851901:VHD851909 VQZ851901:VQZ851909 WAV851901:WAV851909 WKR851901:WKR851909 WUN851901:WUN851909 IB917437:IB917445 RX917437:RX917445 ABT917437:ABT917445 ALP917437:ALP917445 AVL917437:AVL917445 BFH917437:BFH917445 BPD917437:BPD917445 BYZ917437:BYZ917445 CIV917437:CIV917445 CSR917437:CSR917445 DCN917437:DCN917445 DMJ917437:DMJ917445 DWF917437:DWF917445 EGB917437:EGB917445 EPX917437:EPX917445 EZT917437:EZT917445 FJP917437:FJP917445 FTL917437:FTL917445 GDH917437:GDH917445 GND917437:GND917445 GWZ917437:GWZ917445 HGV917437:HGV917445 HQR917437:HQR917445 IAN917437:IAN917445 IKJ917437:IKJ917445 IUF917437:IUF917445 JEB917437:JEB917445 JNX917437:JNX917445 JXT917437:JXT917445 KHP917437:KHP917445 KRL917437:KRL917445 LBH917437:LBH917445 LLD917437:LLD917445 LUZ917437:LUZ917445 MEV917437:MEV917445 MOR917437:MOR917445 MYN917437:MYN917445 NIJ917437:NIJ917445 NSF917437:NSF917445 OCB917437:OCB917445 OLX917437:OLX917445 OVT917437:OVT917445 PFP917437:PFP917445 PPL917437:PPL917445 PZH917437:PZH917445 QJD917437:QJD917445 QSZ917437:QSZ917445 RCV917437:RCV917445 RMR917437:RMR917445 RWN917437:RWN917445 SGJ917437:SGJ917445 SQF917437:SQF917445 TAB917437:TAB917445 TJX917437:TJX917445 TTT917437:TTT917445 UDP917437:UDP917445 UNL917437:UNL917445 UXH917437:UXH917445 VHD917437:VHD917445 VQZ917437:VQZ917445 WAV917437:WAV917445 WKR917437:WKR917445 WUN917437:WUN917445 IB982973:IB982981 RX982973:RX982981 ABT982973:ABT982981 ALP982973:ALP982981 AVL982973:AVL982981 BFH982973:BFH982981 BPD982973:BPD982981 BYZ982973:BYZ982981 CIV982973:CIV982981 CSR982973:CSR982981 DCN982973:DCN982981 DMJ982973:DMJ982981 DWF982973:DWF982981 EGB982973:EGB982981 EPX982973:EPX982981 EZT982973:EZT982981 FJP982973:FJP982981 FTL982973:FTL982981 GDH982973:GDH982981 GND982973:GND982981 GWZ982973:GWZ982981 HGV982973:HGV982981 HQR982973:HQR982981 IAN982973:IAN982981 IKJ982973:IKJ982981 IUF982973:IUF982981 JEB982973:JEB982981 JNX982973:JNX982981 JXT982973:JXT982981 KHP982973:KHP982981 KRL982973:KRL982981 LBH982973:LBH982981 LLD982973:LLD982981 LUZ982973:LUZ982981 MEV982973:MEV982981 MOR982973:MOR982981 MYN982973:MYN982981 NIJ982973:NIJ982981 NSF982973:NSF982981 OCB982973:OCB982981 OLX982973:OLX982981 OVT982973:OVT982981 PFP982973:PFP982981 PPL982973:PPL982981 PZH982973:PZH982981 QJD982973:QJD982981 QSZ982973:QSZ982981 RCV982973:RCV982981 RMR982973:RMR982981 RWN982973:RWN982981 SGJ982973:SGJ982981 SQF982973:SQF982981 TAB982973:TAB982981 TJX982973:TJX982981 TTT982973:TTT982981 UDP982973:UDP982981 UNL982973:UNL982981 UXH982973:UXH982981 VHD982973:VHD982981 VQZ982973:VQZ982981 WAV982973:WAV982981 WKR982973:WKR982981 WUN982973:WUN982981 C9:C10 WUN9:WUN10 WKR9:WKR10 WAV9:WAV10 VQZ9:VQZ10 VHD9:VHD10 UXH9:UXH10 UNL9:UNL10 UDP9:UDP10 TTT9:TTT10 TJX9:TJX10 TAB9:TAB10 SQF9:SQF10 SGJ9:SGJ10 RWN9:RWN10 RMR9:RMR10 RCV9:RCV10 QSZ9:QSZ10 QJD9:QJD10 PZH9:PZH10 PPL9:PPL10 PFP9:PFP10 OVT9:OVT10 OLX9:OLX10 OCB9:OCB10 NSF9:NSF10 NIJ9:NIJ10 MYN9:MYN10 MOR9:MOR10 MEV9:MEV10 LUZ9:LUZ10 LLD9:LLD10 LBH9:LBH10 KRL9:KRL10 KHP9:KHP10 JXT9:JXT10 JNX9:JNX10 JEB9:JEB10 IUF9:IUF10 IKJ9:IKJ10 IAN9:IAN10 HQR9:HQR10 HGV9:HGV10 GWZ9:GWZ10 GND9:GND10 GDH9:GDH10 FTL9:FTL10 FJP9:FJP10 EZT9:EZT10 EPX9:EPX10 EGB9:EGB10 DWF9:DWF10 DMJ9:DMJ10 DCN9:DCN10 CSR9:CSR10 CIV9:CIV10 BYZ9:BYZ10 BPD9:BPD10 BFH9:BFH10 AVL9:AVL10 ALP9:ALP10 ABT9:ABT10 RX9:RX10 IB9:IB10" xr:uid="{00000000-0002-0000-0400-000002000000}"/>
    <dataValidation allowBlank="1" showInputMessage="1" showErrorMessage="1" prompt="traer el valor definido en la hoja &quot;honorarios Corporativos&quot;" sqref="WUO982973:WUO982981 C65458:C65466 IC65458:IC65466 RY65458:RY65466 ABU65458:ABU65466 ALQ65458:ALQ65466 AVM65458:AVM65466 BFI65458:BFI65466 BPE65458:BPE65466 BZA65458:BZA65466 CIW65458:CIW65466 CSS65458:CSS65466 DCO65458:DCO65466 DMK65458:DMK65466 DWG65458:DWG65466 EGC65458:EGC65466 EPY65458:EPY65466 EZU65458:EZU65466 FJQ65458:FJQ65466 FTM65458:FTM65466 GDI65458:GDI65466 GNE65458:GNE65466 GXA65458:GXA65466 HGW65458:HGW65466 HQS65458:HQS65466 IAO65458:IAO65466 IKK65458:IKK65466 IUG65458:IUG65466 JEC65458:JEC65466 JNY65458:JNY65466 JXU65458:JXU65466 KHQ65458:KHQ65466 KRM65458:KRM65466 LBI65458:LBI65466 LLE65458:LLE65466 LVA65458:LVA65466 MEW65458:MEW65466 MOS65458:MOS65466 MYO65458:MYO65466 NIK65458:NIK65466 NSG65458:NSG65466 OCC65458:OCC65466 OLY65458:OLY65466 OVU65458:OVU65466 PFQ65458:PFQ65466 PPM65458:PPM65466 PZI65458:PZI65466 QJE65458:QJE65466 QTA65458:QTA65466 RCW65458:RCW65466 RMS65458:RMS65466 RWO65458:RWO65466 SGK65458:SGK65466 SQG65458:SQG65466 TAC65458:TAC65466 TJY65458:TJY65466 TTU65458:TTU65466 UDQ65458:UDQ65466 UNM65458:UNM65466 UXI65458:UXI65466 VHE65458:VHE65466 VRA65458:VRA65466 WAW65458:WAW65466 WKS65458:WKS65466 WUO65458:WUO65466 C130994:C131002 IC130994:IC131002 RY130994:RY131002 ABU130994:ABU131002 ALQ130994:ALQ131002 AVM130994:AVM131002 BFI130994:BFI131002 BPE130994:BPE131002 BZA130994:BZA131002 CIW130994:CIW131002 CSS130994:CSS131002 DCO130994:DCO131002 DMK130994:DMK131002 DWG130994:DWG131002 EGC130994:EGC131002 EPY130994:EPY131002 EZU130994:EZU131002 FJQ130994:FJQ131002 FTM130994:FTM131002 GDI130994:GDI131002 GNE130994:GNE131002 GXA130994:GXA131002 HGW130994:HGW131002 HQS130994:HQS131002 IAO130994:IAO131002 IKK130994:IKK131002 IUG130994:IUG131002 JEC130994:JEC131002 JNY130994:JNY131002 JXU130994:JXU131002 KHQ130994:KHQ131002 KRM130994:KRM131002 LBI130994:LBI131002 LLE130994:LLE131002 LVA130994:LVA131002 MEW130994:MEW131002 MOS130994:MOS131002 MYO130994:MYO131002 NIK130994:NIK131002 NSG130994:NSG131002 OCC130994:OCC131002 OLY130994:OLY131002 OVU130994:OVU131002 PFQ130994:PFQ131002 PPM130994:PPM131002 PZI130994:PZI131002 QJE130994:QJE131002 QTA130994:QTA131002 RCW130994:RCW131002 RMS130994:RMS131002 RWO130994:RWO131002 SGK130994:SGK131002 SQG130994:SQG131002 TAC130994:TAC131002 TJY130994:TJY131002 TTU130994:TTU131002 UDQ130994:UDQ131002 UNM130994:UNM131002 UXI130994:UXI131002 VHE130994:VHE131002 VRA130994:VRA131002 WAW130994:WAW131002 WKS130994:WKS131002 WUO130994:WUO131002 C196530:C196538 IC196530:IC196538 RY196530:RY196538 ABU196530:ABU196538 ALQ196530:ALQ196538 AVM196530:AVM196538 BFI196530:BFI196538 BPE196530:BPE196538 BZA196530:BZA196538 CIW196530:CIW196538 CSS196530:CSS196538 DCO196530:DCO196538 DMK196530:DMK196538 DWG196530:DWG196538 EGC196530:EGC196538 EPY196530:EPY196538 EZU196530:EZU196538 FJQ196530:FJQ196538 FTM196530:FTM196538 GDI196530:GDI196538 GNE196530:GNE196538 GXA196530:GXA196538 HGW196530:HGW196538 HQS196530:HQS196538 IAO196530:IAO196538 IKK196530:IKK196538 IUG196530:IUG196538 JEC196530:JEC196538 JNY196530:JNY196538 JXU196530:JXU196538 KHQ196530:KHQ196538 KRM196530:KRM196538 LBI196530:LBI196538 LLE196530:LLE196538 LVA196530:LVA196538 MEW196530:MEW196538 MOS196530:MOS196538 MYO196530:MYO196538 NIK196530:NIK196538 NSG196530:NSG196538 OCC196530:OCC196538 OLY196530:OLY196538 OVU196530:OVU196538 PFQ196530:PFQ196538 PPM196530:PPM196538 PZI196530:PZI196538 QJE196530:QJE196538 QTA196530:QTA196538 RCW196530:RCW196538 RMS196530:RMS196538 RWO196530:RWO196538 SGK196530:SGK196538 SQG196530:SQG196538 TAC196530:TAC196538 TJY196530:TJY196538 TTU196530:TTU196538 UDQ196530:UDQ196538 UNM196530:UNM196538 UXI196530:UXI196538 VHE196530:VHE196538 VRA196530:VRA196538 WAW196530:WAW196538 WKS196530:WKS196538 WUO196530:WUO196538 C262066:C262074 IC262066:IC262074 RY262066:RY262074 ABU262066:ABU262074 ALQ262066:ALQ262074 AVM262066:AVM262074 BFI262066:BFI262074 BPE262066:BPE262074 BZA262066:BZA262074 CIW262066:CIW262074 CSS262066:CSS262074 DCO262066:DCO262074 DMK262066:DMK262074 DWG262066:DWG262074 EGC262066:EGC262074 EPY262066:EPY262074 EZU262066:EZU262074 FJQ262066:FJQ262074 FTM262066:FTM262074 GDI262066:GDI262074 GNE262066:GNE262074 GXA262066:GXA262074 HGW262066:HGW262074 HQS262066:HQS262074 IAO262066:IAO262074 IKK262066:IKK262074 IUG262066:IUG262074 JEC262066:JEC262074 JNY262066:JNY262074 JXU262066:JXU262074 KHQ262066:KHQ262074 KRM262066:KRM262074 LBI262066:LBI262074 LLE262066:LLE262074 LVA262066:LVA262074 MEW262066:MEW262074 MOS262066:MOS262074 MYO262066:MYO262074 NIK262066:NIK262074 NSG262066:NSG262074 OCC262066:OCC262074 OLY262066:OLY262074 OVU262066:OVU262074 PFQ262066:PFQ262074 PPM262066:PPM262074 PZI262066:PZI262074 QJE262066:QJE262074 QTA262066:QTA262074 RCW262066:RCW262074 RMS262066:RMS262074 RWO262066:RWO262074 SGK262066:SGK262074 SQG262066:SQG262074 TAC262066:TAC262074 TJY262066:TJY262074 TTU262066:TTU262074 UDQ262066:UDQ262074 UNM262066:UNM262074 UXI262066:UXI262074 VHE262066:VHE262074 VRA262066:VRA262074 WAW262066:WAW262074 WKS262066:WKS262074 WUO262066:WUO262074 C327602:C327610 IC327602:IC327610 RY327602:RY327610 ABU327602:ABU327610 ALQ327602:ALQ327610 AVM327602:AVM327610 BFI327602:BFI327610 BPE327602:BPE327610 BZA327602:BZA327610 CIW327602:CIW327610 CSS327602:CSS327610 DCO327602:DCO327610 DMK327602:DMK327610 DWG327602:DWG327610 EGC327602:EGC327610 EPY327602:EPY327610 EZU327602:EZU327610 FJQ327602:FJQ327610 FTM327602:FTM327610 GDI327602:GDI327610 GNE327602:GNE327610 GXA327602:GXA327610 HGW327602:HGW327610 HQS327602:HQS327610 IAO327602:IAO327610 IKK327602:IKK327610 IUG327602:IUG327610 JEC327602:JEC327610 JNY327602:JNY327610 JXU327602:JXU327610 KHQ327602:KHQ327610 KRM327602:KRM327610 LBI327602:LBI327610 LLE327602:LLE327610 LVA327602:LVA327610 MEW327602:MEW327610 MOS327602:MOS327610 MYO327602:MYO327610 NIK327602:NIK327610 NSG327602:NSG327610 OCC327602:OCC327610 OLY327602:OLY327610 OVU327602:OVU327610 PFQ327602:PFQ327610 PPM327602:PPM327610 PZI327602:PZI327610 QJE327602:QJE327610 QTA327602:QTA327610 RCW327602:RCW327610 RMS327602:RMS327610 RWO327602:RWO327610 SGK327602:SGK327610 SQG327602:SQG327610 TAC327602:TAC327610 TJY327602:TJY327610 TTU327602:TTU327610 UDQ327602:UDQ327610 UNM327602:UNM327610 UXI327602:UXI327610 VHE327602:VHE327610 VRA327602:VRA327610 WAW327602:WAW327610 WKS327602:WKS327610 WUO327602:WUO327610 C393138:C393146 IC393138:IC393146 RY393138:RY393146 ABU393138:ABU393146 ALQ393138:ALQ393146 AVM393138:AVM393146 BFI393138:BFI393146 BPE393138:BPE393146 BZA393138:BZA393146 CIW393138:CIW393146 CSS393138:CSS393146 DCO393138:DCO393146 DMK393138:DMK393146 DWG393138:DWG393146 EGC393138:EGC393146 EPY393138:EPY393146 EZU393138:EZU393146 FJQ393138:FJQ393146 FTM393138:FTM393146 GDI393138:GDI393146 GNE393138:GNE393146 GXA393138:GXA393146 HGW393138:HGW393146 HQS393138:HQS393146 IAO393138:IAO393146 IKK393138:IKK393146 IUG393138:IUG393146 JEC393138:JEC393146 JNY393138:JNY393146 JXU393138:JXU393146 KHQ393138:KHQ393146 KRM393138:KRM393146 LBI393138:LBI393146 LLE393138:LLE393146 LVA393138:LVA393146 MEW393138:MEW393146 MOS393138:MOS393146 MYO393138:MYO393146 NIK393138:NIK393146 NSG393138:NSG393146 OCC393138:OCC393146 OLY393138:OLY393146 OVU393138:OVU393146 PFQ393138:PFQ393146 PPM393138:PPM393146 PZI393138:PZI393146 QJE393138:QJE393146 QTA393138:QTA393146 RCW393138:RCW393146 RMS393138:RMS393146 RWO393138:RWO393146 SGK393138:SGK393146 SQG393138:SQG393146 TAC393138:TAC393146 TJY393138:TJY393146 TTU393138:TTU393146 UDQ393138:UDQ393146 UNM393138:UNM393146 UXI393138:UXI393146 VHE393138:VHE393146 VRA393138:VRA393146 WAW393138:WAW393146 WKS393138:WKS393146 WUO393138:WUO393146 C458674:C458682 IC458674:IC458682 RY458674:RY458682 ABU458674:ABU458682 ALQ458674:ALQ458682 AVM458674:AVM458682 BFI458674:BFI458682 BPE458674:BPE458682 BZA458674:BZA458682 CIW458674:CIW458682 CSS458674:CSS458682 DCO458674:DCO458682 DMK458674:DMK458682 DWG458674:DWG458682 EGC458674:EGC458682 EPY458674:EPY458682 EZU458674:EZU458682 FJQ458674:FJQ458682 FTM458674:FTM458682 GDI458674:GDI458682 GNE458674:GNE458682 GXA458674:GXA458682 HGW458674:HGW458682 HQS458674:HQS458682 IAO458674:IAO458682 IKK458674:IKK458682 IUG458674:IUG458682 JEC458674:JEC458682 JNY458674:JNY458682 JXU458674:JXU458682 KHQ458674:KHQ458682 KRM458674:KRM458682 LBI458674:LBI458682 LLE458674:LLE458682 LVA458674:LVA458682 MEW458674:MEW458682 MOS458674:MOS458682 MYO458674:MYO458682 NIK458674:NIK458682 NSG458674:NSG458682 OCC458674:OCC458682 OLY458674:OLY458682 OVU458674:OVU458682 PFQ458674:PFQ458682 PPM458674:PPM458682 PZI458674:PZI458682 QJE458674:QJE458682 QTA458674:QTA458682 RCW458674:RCW458682 RMS458674:RMS458682 RWO458674:RWO458682 SGK458674:SGK458682 SQG458674:SQG458682 TAC458674:TAC458682 TJY458674:TJY458682 TTU458674:TTU458682 UDQ458674:UDQ458682 UNM458674:UNM458682 UXI458674:UXI458682 VHE458674:VHE458682 VRA458674:VRA458682 WAW458674:WAW458682 WKS458674:WKS458682 WUO458674:WUO458682 C524210:C524218 IC524210:IC524218 RY524210:RY524218 ABU524210:ABU524218 ALQ524210:ALQ524218 AVM524210:AVM524218 BFI524210:BFI524218 BPE524210:BPE524218 BZA524210:BZA524218 CIW524210:CIW524218 CSS524210:CSS524218 DCO524210:DCO524218 DMK524210:DMK524218 DWG524210:DWG524218 EGC524210:EGC524218 EPY524210:EPY524218 EZU524210:EZU524218 FJQ524210:FJQ524218 FTM524210:FTM524218 GDI524210:GDI524218 GNE524210:GNE524218 GXA524210:GXA524218 HGW524210:HGW524218 HQS524210:HQS524218 IAO524210:IAO524218 IKK524210:IKK524218 IUG524210:IUG524218 JEC524210:JEC524218 JNY524210:JNY524218 JXU524210:JXU524218 KHQ524210:KHQ524218 KRM524210:KRM524218 LBI524210:LBI524218 LLE524210:LLE524218 LVA524210:LVA524218 MEW524210:MEW524218 MOS524210:MOS524218 MYO524210:MYO524218 NIK524210:NIK524218 NSG524210:NSG524218 OCC524210:OCC524218 OLY524210:OLY524218 OVU524210:OVU524218 PFQ524210:PFQ524218 PPM524210:PPM524218 PZI524210:PZI524218 QJE524210:QJE524218 QTA524210:QTA524218 RCW524210:RCW524218 RMS524210:RMS524218 RWO524210:RWO524218 SGK524210:SGK524218 SQG524210:SQG524218 TAC524210:TAC524218 TJY524210:TJY524218 TTU524210:TTU524218 UDQ524210:UDQ524218 UNM524210:UNM524218 UXI524210:UXI524218 VHE524210:VHE524218 VRA524210:VRA524218 WAW524210:WAW524218 WKS524210:WKS524218 WUO524210:WUO524218 C589746:C589754 IC589746:IC589754 RY589746:RY589754 ABU589746:ABU589754 ALQ589746:ALQ589754 AVM589746:AVM589754 BFI589746:BFI589754 BPE589746:BPE589754 BZA589746:BZA589754 CIW589746:CIW589754 CSS589746:CSS589754 DCO589746:DCO589754 DMK589746:DMK589754 DWG589746:DWG589754 EGC589746:EGC589754 EPY589746:EPY589754 EZU589746:EZU589754 FJQ589746:FJQ589754 FTM589746:FTM589754 GDI589746:GDI589754 GNE589746:GNE589754 GXA589746:GXA589754 HGW589746:HGW589754 HQS589746:HQS589754 IAO589746:IAO589754 IKK589746:IKK589754 IUG589746:IUG589754 JEC589746:JEC589754 JNY589746:JNY589754 JXU589746:JXU589754 KHQ589746:KHQ589754 KRM589746:KRM589754 LBI589746:LBI589754 LLE589746:LLE589754 LVA589746:LVA589754 MEW589746:MEW589754 MOS589746:MOS589754 MYO589746:MYO589754 NIK589746:NIK589754 NSG589746:NSG589754 OCC589746:OCC589754 OLY589746:OLY589754 OVU589746:OVU589754 PFQ589746:PFQ589754 PPM589746:PPM589754 PZI589746:PZI589754 QJE589746:QJE589754 QTA589746:QTA589754 RCW589746:RCW589754 RMS589746:RMS589754 RWO589746:RWO589754 SGK589746:SGK589754 SQG589746:SQG589754 TAC589746:TAC589754 TJY589746:TJY589754 TTU589746:TTU589754 UDQ589746:UDQ589754 UNM589746:UNM589754 UXI589746:UXI589754 VHE589746:VHE589754 VRA589746:VRA589754 WAW589746:WAW589754 WKS589746:WKS589754 WUO589746:WUO589754 C655282:C655290 IC655282:IC655290 RY655282:RY655290 ABU655282:ABU655290 ALQ655282:ALQ655290 AVM655282:AVM655290 BFI655282:BFI655290 BPE655282:BPE655290 BZA655282:BZA655290 CIW655282:CIW655290 CSS655282:CSS655290 DCO655282:DCO655290 DMK655282:DMK655290 DWG655282:DWG655290 EGC655282:EGC655290 EPY655282:EPY655290 EZU655282:EZU655290 FJQ655282:FJQ655290 FTM655282:FTM655290 GDI655282:GDI655290 GNE655282:GNE655290 GXA655282:GXA655290 HGW655282:HGW655290 HQS655282:HQS655290 IAO655282:IAO655290 IKK655282:IKK655290 IUG655282:IUG655290 JEC655282:JEC655290 JNY655282:JNY655290 JXU655282:JXU655290 KHQ655282:KHQ655290 KRM655282:KRM655290 LBI655282:LBI655290 LLE655282:LLE655290 LVA655282:LVA655290 MEW655282:MEW655290 MOS655282:MOS655290 MYO655282:MYO655290 NIK655282:NIK655290 NSG655282:NSG655290 OCC655282:OCC655290 OLY655282:OLY655290 OVU655282:OVU655290 PFQ655282:PFQ655290 PPM655282:PPM655290 PZI655282:PZI655290 QJE655282:QJE655290 QTA655282:QTA655290 RCW655282:RCW655290 RMS655282:RMS655290 RWO655282:RWO655290 SGK655282:SGK655290 SQG655282:SQG655290 TAC655282:TAC655290 TJY655282:TJY655290 TTU655282:TTU655290 UDQ655282:UDQ655290 UNM655282:UNM655290 UXI655282:UXI655290 VHE655282:VHE655290 VRA655282:VRA655290 WAW655282:WAW655290 WKS655282:WKS655290 WUO655282:WUO655290 C720818:C720826 IC720818:IC720826 RY720818:RY720826 ABU720818:ABU720826 ALQ720818:ALQ720826 AVM720818:AVM720826 BFI720818:BFI720826 BPE720818:BPE720826 BZA720818:BZA720826 CIW720818:CIW720826 CSS720818:CSS720826 DCO720818:DCO720826 DMK720818:DMK720826 DWG720818:DWG720826 EGC720818:EGC720826 EPY720818:EPY720826 EZU720818:EZU720826 FJQ720818:FJQ720826 FTM720818:FTM720826 GDI720818:GDI720826 GNE720818:GNE720826 GXA720818:GXA720826 HGW720818:HGW720826 HQS720818:HQS720826 IAO720818:IAO720826 IKK720818:IKK720826 IUG720818:IUG720826 JEC720818:JEC720826 JNY720818:JNY720826 JXU720818:JXU720826 KHQ720818:KHQ720826 KRM720818:KRM720826 LBI720818:LBI720826 LLE720818:LLE720826 LVA720818:LVA720826 MEW720818:MEW720826 MOS720818:MOS720826 MYO720818:MYO720826 NIK720818:NIK720826 NSG720818:NSG720826 OCC720818:OCC720826 OLY720818:OLY720826 OVU720818:OVU720826 PFQ720818:PFQ720826 PPM720818:PPM720826 PZI720818:PZI720826 QJE720818:QJE720826 QTA720818:QTA720826 RCW720818:RCW720826 RMS720818:RMS720826 RWO720818:RWO720826 SGK720818:SGK720826 SQG720818:SQG720826 TAC720818:TAC720826 TJY720818:TJY720826 TTU720818:TTU720826 UDQ720818:UDQ720826 UNM720818:UNM720826 UXI720818:UXI720826 VHE720818:VHE720826 VRA720818:VRA720826 WAW720818:WAW720826 WKS720818:WKS720826 WUO720818:WUO720826 C786354:C786362 IC786354:IC786362 RY786354:RY786362 ABU786354:ABU786362 ALQ786354:ALQ786362 AVM786354:AVM786362 BFI786354:BFI786362 BPE786354:BPE786362 BZA786354:BZA786362 CIW786354:CIW786362 CSS786354:CSS786362 DCO786354:DCO786362 DMK786354:DMK786362 DWG786354:DWG786362 EGC786354:EGC786362 EPY786354:EPY786362 EZU786354:EZU786362 FJQ786354:FJQ786362 FTM786354:FTM786362 GDI786354:GDI786362 GNE786354:GNE786362 GXA786354:GXA786362 HGW786354:HGW786362 HQS786354:HQS786362 IAO786354:IAO786362 IKK786354:IKK786362 IUG786354:IUG786362 JEC786354:JEC786362 JNY786354:JNY786362 JXU786354:JXU786362 KHQ786354:KHQ786362 KRM786354:KRM786362 LBI786354:LBI786362 LLE786354:LLE786362 LVA786354:LVA786362 MEW786354:MEW786362 MOS786354:MOS786362 MYO786354:MYO786362 NIK786354:NIK786362 NSG786354:NSG786362 OCC786354:OCC786362 OLY786354:OLY786362 OVU786354:OVU786362 PFQ786354:PFQ786362 PPM786354:PPM786362 PZI786354:PZI786362 QJE786354:QJE786362 QTA786354:QTA786362 RCW786354:RCW786362 RMS786354:RMS786362 RWO786354:RWO786362 SGK786354:SGK786362 SQG786354:SQG786362 TAC786354:TAC786362 TJY786354:TJY786362 TTU786354:TTU786362 UDQ786354:UDQ786362 UNM786354:UNM786362 UXI786354:UXI786362 VHE786354:VHE786362 VRA786354:VRA786362 WAW786354:WAW786362 WKS786354:WKS786362 WUO786354:WUO786362 C851890:C851898 IC851890:IC851898 RY851890:RY851898 ABU851890:ABU851898 ALQ851890:ALQ851898 AVM851890:AVM851898 BFI851890:BFI851898 BPE851890:BPE851898 BZA851890:BZA851898 CIW851890:CIW851898 CSS851890:CSS851898 DCO851890:DCO851898 DMK851890:DMK851898 DWG851890:DWG851898 EGC851890:EGC851898 EPY851890:EPY851898 EZU851890:EZU851898 FJQ851890:FJQ851898 FTM851890:FTM851898 GDI851890:GDI851898 GNE851890:GNE851898 GXA851890:GXA851898 HGW851890:HGW851898 HQS851890:HQS851898 IAO851890:IAO851898 IKK851890:IKK851898 IUG851890:IUG851898 JEC851890:JEC851898 JNY851890:JNY851898 JXU851890:JXU851898 KHQ851890:KHQ851898 KRM851890:KRM851898 LBI851890:LBI851898 LLE851890:LLE851898 LVA851890:LVA851898 MEW851890:MEW851898 MOS851890:MOS851898 MYO851890:MYO851898 NIK851890:NIK851898 NSG851890:NSG851898 OCC851890:OCC851898 OLY851890:OLY851898 OVU851890:OVU851898 PFQ851890:PFQ851898 PPM851890:PPM851898 PZI851890:PZI851898 QJE851890:QJE851898 QTA851890:QTA851898 RCW851890:RCW851898 RMS851890:RMS851898 RWO851890:RWO851898 SGK851890:SGK851898 SQG851890:SQG851898 TAC851890:TAC851898 TJY851890:TJY851898 TTU851890:TTU851898 UDQ851890:UDQ851898 UNM851890:UNM851898 UXI851890:UXI851898 VHE851890:VHE851898 VRA851890:VRA851898 WAW851890:WAW851898 WKS851890:WKS851898 WUO851890:WUO851898 C917426:C917434 IC917426:IC917434 RY917426:RY917434 ABU917426:ABU917434 ALQ917426:ALQ917434 AVM917426:AVM917434 BFI917426:BFI917434 BPE917426:BPE917434 BZA917426:BZA917434 CIW917426:CIW917434 CSS917426:CSS917434 DCO917426:DCO917434 DMK917426:DMK917434 DWG917426:DWG917434 EGC917426:EGC917434 EPY917426:EPY917434 EZU917426:EZU917434 FJQ917426:FJQ917434 FTM917426:FTM917434 GDI917426:GDI917434 GNE917426:GNE917434 GXA917426:GXA917434 HGW917426:HGW917434 HQS917426:HQS917434 IAO917426:IAO917434 IKK917426:IKK917434 IUG917426:IUG917434 JEC917426:JEC917434 JNY917426:JNY917434 JXU917426:JXU917434 KHQ917426:KHQ917434 KRM917426:KRM917434 LBI917426:LBI917434 LLE917426:LLE917434 LVA917426:LVA917434 MEW917426:MEW917434 MOS917426:MOS917434 MYO917426:MYO917434 NIK917426:NIK917434 NSG917426:NSG917434 OCC917426:OCC917434 OLY917426:OLY917434 OVU917426:OVU917434 PFQ917426:PFQ917434 PPM917426:PPM917434 PZI917426:PZI917434 QJE917426:QJE917434 QTA917426:QTA917434 RCW917426:RCW917434 RMS917426:RMS917434 RWO917426:RWO917434 SGK917426:SGK917434 SQG917426:SQG917434 TAC917426:TAC917434 TJY917426:TJY917434 TTU917426:TTU917434 UDQ917426:UDQ917434 UNM917426:UNM917434 UXI917426:UXI917434 VHE917426:VHE917434 VRA917426:VRA917434 WAW917426:WAW917434 WKS917426:WKS917434 WUO917426:WUO917434 C982962:C982970 IC982962:IC982970 RY982962:RY982970 ABU982962:ABU982970 ALQ982962:ALQ982970 AVM982962:AVM982970 BFI982962:BFI982970 BPE982962:BPE982970 BZA982962:BZA982970 CIW982962:CIW982970 CSS982962:CSS982970 DCO982962:DCO982970 DMK982962:DMK982970 DWG982962:DWG982970 EGC982962:EGC982970 EPY982962:EPY982970 EZU982962:EZU982970 FJQ982962:FJQ982970 FTM982962:FTM982970 GDI982962:GDI982970 GNE982962:GNE982970 GXA982962:GXA982970 HGW982962:HGW982970 HQS982962:HQS982970 IAO982962:IAO982970 IKK982962:IKK982970 IUG982962:IUG982970 JEC982962:JEC982970 JNY982962:JNY982970 JXU982962:JXU982970 KHQ982962:KHQ982970 KRM982962:KRM982970 LBI982962:LBI982970 LLE982962:LLE982970 LVA982962:LVA982970 MEW982962:MEW982970 MOS982962:MOS982970 MYO982962:MYO982970 NIK982962:NIK982970 NSG982962:NSG982970 OCC982962:OCC982970 OLY982962:OLY982970 OVU982962:OVU982970 PFQ982962:PFQ982970 PPM982962:PPM982970 PZI982962:PZI982970 QJE982962:QJE982970 QTA982962:QTA982970 RCW982962:RCW982970 RMS982962:RMS982970 RWO982962:RWO982970 SGK982962:SGK982970 SQG982962:SQG982970 TAC982962:TAC982970 TJY982962:TJY982970 TTU982962:TTU982970 UDQ982962:UDQ982970 UNM982962:UNM982970 UXI982962:UXI982970 VHE982962:VHE982970 VRA982962:VRA982970 WAW982962:WAW982970 WKS982962:WKS982970 WUO982962:WUO982970 C65469:C65477 IC65469:IC65477 RY65469:RY65477 ABU65469:ABU65477 ALQ65469:ALQ65477 AVM65469:AVM65477 BFI65469:BFI65477 BPE65469:BPE65477 BZA65469:BZA65477 CIW65469:CIW65477 CSS65469:CSS65477 DCO65469:DCO65477 DMK65469:DMK65477 DWG65469:DWG65477 EGC65469:EGC65477 EPY65469:EPY65477 EZU65469:EZU65477 FJQ65469:FJQ65477 FTM65469:FTM65477 GDI65469:GDI65477 GNE65469:GNE65477 GXA65469:GXA65477 HGW65469:HGW65477 HQS65469:HQS65477 IAO65469:IAO65477 IKK65469:IKK65477 IUG65469:IUG65477 JEC65469:JEC65477 JNY65469:JNY65477 JXU65469:JXU65477 KHQ65469:KHQ65477 KRM65469:KRM65477 LBI65469:LBI65477 LLE65469:LLE65477 LVA65469:LVA65477 MEW65469:MEW65477 MOS65469:MOS65477 MYO65469:MYO65477 NIK65469:NIK65477 NSG65469:NSG65477 OCC65469:OCC65477 OLY65469:OLY65477 OVU65469:OVU65477 PFQ65469:PFQ65477 PPM65469:PPM65477 PZI65469:PZI65477 QJE65469:QJE65477 QTA65469:QTA65477 RCW65469:RCW65477 RMS65469:RMS65477 RWO65469:RWO65477 SGK65469:SGK65477 SQG65469:SQG65477 TAC65469:TAC65477 TJY65469:TJY65477 TTU65469:TTU65477 UDQ65469:UDQ65477 UNM65469:UNM65477 UXI65469:UXI65477 VHE65469:VHE65477 VRA65469:VRA65477 WAW65469:WAW65477 WKS65469:WKS65477 WUO65469:WUO65477 C131005:C131013 IC131005:IC131013 RY131005:RY131013 ABU131005:ABU131013 ALQ131005:ALQ131013 AVM131005:AVM131013 BFI131005:BFI131013 BPE131005:BPE131013 BZA131005:BZA131013 CIW131005:CIW131013 CSS131005:CSS131013 DCO131005:DCO131013 DMK131005:DMK131013 DWG131005:DWG131013 EGC131005:EGC131013 EPY131005:EPY131013 EZU131005:EZU131013 FJQ131005:FJQ131013 FTM131005:FTM131013 GDI131005:GDI131013 GNE131005:GNE131013 GXA131005:GXA131013 HGW131005:HGW131013 HQS131005:HQS131013 IAO131005:IAO131013 IKK131005:IKK131013 IUG131005:IUG131013 JEC131005:JEC131013 JNY131005:JNY131013 JXU131005:JXU131013 KHQ131005:KHQ131013 KRM131005:KRM131013 LBI131005:LBI131013 LLE131005:LLE131013 LVA131005:LVA131013 MEW131005:MEW131013 MOS131005:MOS131013 MYO131005:MYO131013 NIK131005:NIK131013 NSG131005:NSG131013 OCC131005:OCC131013 OLY131005:OLY131013 OVU131005:OVU131013 PFQ131005:PFQ131013 PPM131005:PPM131013 PZI131005:PZI131013 QJE131005:QJE131013 QTA131005:QTA131013 RCW131005:RCW131013 RMS131005:RMS131013 RWO131005:RWO131013 SGK131005:SGK131013 SQG131005:SQG131013 TAC131005:TAC131013 TJY131005:TJY131013 TTU131005:TTU131013 UDQ131005:UDQ131013 UNM131005:UNM131013 UXI131005:UXI131013 VHE131005:VHE131013 VRA131005:VRA131013 WAW131005:WAW131013 WKS131005:WKS131013 WUO131005:WUO131013 C196541:C196549 IC196541:IC196549 RY196541:RY196549 ABU196541:ABU196549 ALQ196541:ALQ196549 AVM196541:AVM196549 BFI196541:BFI196549 BPE196541:BPE196549 BZA196541:BZA196549 CIW196541:CIW196549 CSS196541:CSS196549 DCO196541:DCO196549 DMK196541:DMK196549 DWG196541:DWG196549 EGC196541:EGC196549 EPY196541:EPY196549 EZU196541:EZU196549 FJQ196541:FJQ196549 FTM196541:FTM196549 GDI196541:GDI196549 GNE196541:GNE196549 GXA196541:GXA196549 HGW196541:HGW196549 HQS196541:HQS196549 IAO196541:IAO196549 IKK196541:IKK196549 IUG196541:IUG196549 JEC196541:JEC196549 JNY196541:JNY196549 JXU196541:JXU196549 KHQ196541:KHQ196549 KRM196541:KRM196549 LBI196541:LBI196549 LLE196541:LLE196549 LVA196541:LVA196549 MEW196541:MEW196549 MOS196541:MOS196549 MYO196541:MYO196549 NIK196541:NIK196549 NSG196541:NSG196549 OCC196541:OCC196549 OLY196541:OLY196549 OVU196541:OVU196549 PFQ196541:PFQ196549 PPM196541:PPM196549 PZI196541:PZI196549 QJE196541:QJE196549 QTA196541:QTA196549 RCW196541:RCW196549 RMS196541:RMS196549 RWO196541:RWO196549 SGK196541:SGK196549 SQG196541:SQG196549 TAC196541:TAC196549 TJY196541:TJY196549 TTU196541:TTU196549 UDQ196541:UDQ196549 UNM196541:UNM196549 UXI196541:UXI196549 VHE196541:VHE196549 VRA196541:VRA196549 WAW196541:WAW196549 WKS196541:WKS196549 WUO196541:WUO196549 C262077:C262085 IC262077:IC262085 RY262077:RY262085 ABU262077:ABU262085 ALQ262077:ALQ262085 AVM262077:AVM262085 BFI262077:BFI262085 BPE262077:BPE262085 BZA262077:BZA262085 CIW262077:CIW262085 CSS262077:CSS262085 DCO262077:DCO262085 DMK262077:DMK262085 DWG262077:DWG262085 EGC262077:EGC262085 EPY262077:EPY262085 EZU262077:EZU262085 FJQ262077:FJQ262085 FTM262077:FTM262085 GDI262077:GDI262085 GNE262077:GNE262085 GXA262077:GXA262085 HGW262077:HGW262085 HQS262077:HQS262085 IAO262077:IAO262085 IKK262077:IKK262085 IUG262077:IUG262085 JEC262077:JEC262085 JNY262077:JNY262085 JXU262077:JXU262085 KHQ262077:KHQ262085 KRM262077:KRM262085 LBI262077:LBI262085 LLE262077:LLE262085 LVA262077:LVA262085 MEW262077:MEW262085 MOS262077:MOS262085 MYO262077:MYO262085 NIK262077:NIK262085 NSG262077:NSG262085 OCC262077:OCC262085 OLY262077:OLY262085 OVU262077:OVU262085 PFQ262077:PFQ262085 PPM262077:PPM262085 PZI262077:PZI262085 QJE262077:QJE262085 QTA262077:QTA262085 RCW262077:RCW262085 RMS262077:RMS262085 RWO262077:RWO262085 SGK262077:SGK262085 SQG262077:SQG262085 TAC262077:TAC262085 TJY262077:TJY262085 TTU262077:TTU262085 UDQ262077:UDQ262085 UNM262077:UNM262085 UXI262077:UXI262085 VHE262077:VHE262085 VRA262077:VRA262085 WAW262077:WAW262085 WKS262077:WKS262085 WUO262077:WUO262085 C327613:C327621 IC327613:IC327621 RY327613:RY327621 ABU327613:ABU327621 ALQ327613:ALQ327621 AVM327613:AVM327621 BFI327613:BFI327621 BPE327613:BPE327621 BZA327613:BZA327621 CIW327613:CIW327621 CSS327613:CSS327621 DCO327613:DCO327621 DMK327613:DMK327621 DWG327613:DWG327621 EGC327613:EGC327621 EPY327613:EPY327621 EZU327613:EZU327621 FJQ327613:FJQ327621 FTM327613:FTM327621 GDI327613:GDI327621 GNE327613:GNE327621 GXA327613:GXA327621 HGW327613:HGW327621 HQS327613:HQS327621 IAO327613:IAO327621 IKK327613:IKK327621 IUG327613:IUG327621 JEC327613:JEC327621 JNY327613:JNY327621 JXU327613:JXU327621 KHQ327613:KHQ327621 KRM327613:KRM327621 LBI327613:LBI327621 LLE327613:LLE327621 LVA327613:LVA327621 MEW327613:MEW327621 MOS327613:MOS327621 MYO327613:MYO327621 NIK327613:NIK327621 NSG327613:NSG327621 OCC327613:OCC327621 OLY327613:OLY327621 OVU327613:OVU327621 PFQ327613:PFQ327621 PPM327613:PPM327621 PZI327613:PZI327621 QJE327613:QJE327621 QTA327613:QTA327621 RCW327613:RCW327621 RMS327613:RMS327621 RWO327613:RWO327621 SGK327613:SGK327621 SQG327613:SQG327621 TAC327613:TAC327621 TJY327613:TJY327621 TTU327613:TTU327621 UDQ327613:UDQ327621 UNM327613:UNM327621 UXI327613:UXI327621 VHE327613:VHE327621 VRA327613:VRA327621 WAW327613:WAW327621 WKS327613:WKS327621 WUO327613:WUO327621 C393149:C393157 IC393149:IC393157 RY393149:RY393157 ABU393149:ABU393157 ALQ393149:ALQ393157 AVM393149:AVM393157 BFI393149:BFI393157 BPE393149:BPE393157 BZA393149:BZA393157 CIW393149:CIW393157 CSS393149:CSS393157 DCO393149:DCO393157 DMK393149:DMK393157 DWG393149:DWG393157 EGC393149:EGC393157 EPY393149:EPY393157 EZU393149:EZU393157 FJQ393149:FJQ393157 FTM393149:FTM393157 GDI393149:GDI393157 GNE393149:GNE393157 GXA393149:GXA393157 HGW393149:HGW393157 HQS393149:HQS393157 IAO393149:IAO393157 IKK393149:IKK393157 IUG393149:IUG393157 JEC393149:JEC393157 JNY393149:JNY393157 JXU393149:JXU393157 KHQ393149:KHQ393157 KRM393149:KRM393157 LBI393149:LBI393157 LLE393149:LLE393157 LVA393149:LVA393157 MEW393149:MEW393157 MOS393149:MOS393157 MYO393149:MYO393157 NIK393149:NIK393157 NSG393149:NSG393157 OCC393149:OCC393157 OLY393149:OLY393157 OVU393149:OVU393157 PFQ393149:PFQ393157 PPM393149:PPM393157 PZI393149:PZI393157 QJE393149:QJE393157 QTA393149:QTA393157 RCW393149:RCW393157 RMS393149:RMS393157 RWO393149:RWO393157 SGK393149:SGK393157 SQG393149:SQG393157 TAC393149:TAC393157 TJY393149:TJY393157 TTU393149:TTU393157 UDQ393149:UDQ393157 UNM393149:UNM393157 UXI393149:UXI393157 VHE393149:VHE393157 VRA393149:VRA393157 WAW393149:WAW393157 WKS393149:WKS393157 WUO393149:WUO393157 C458685:C458693 IC458685:IC458693 RY458685:RY458693 ABU458685:ABU458693 ALQ458685:ALQ458693 AVM458685:AVM458693 BFI458685:BFI458693 BPE458685:BPE458693 BZA458685:BZA458693 CIW458685:CIW458693 CSS458685:CSS458693 DCO458685:DCO458693 DMK458685:DMK458693 DWG458685:DWG458693 EGC458685:EGC458693 EPY458685:EPY458693 EZU458685:EZU458693 FJQ458685:FJQ458693 FTM458685:FTM458693 GDI458685:GDI458693 GNE458685:GNE458693 GXA458685:GXA458693 HGW458685:HGW458693 HQS458685:HQS458693 IAO458685:IAO458693 IKK458685:IKK458693 IUG458685:IUG458693 JEC458685:JEC458693 JNY458685:JNY458693 JXU458685:JXU458693 KHQ458685:KHQ458693 KRM458685:KRM458693 LBI458685:LBI458693 LLE458685:LLE458693 LVA458685:LVA458693 MEW458685:MEW458693 MOS458685:MOS458693 MYO458685:MYO458693 NIK458685:NIK458693 NSG458685:NSG458693 OCC458685:OCC458693 OLY458685:OLY458693 OVU458685:OVU458693 PFQ458685:PFQ458693 PPM458685:PPM458693 PZI458685:PZI458693 QJE458685:QJE458693 QTA458685:QTA458693 RCW458685:RCW458693 RMS458685:RMS458693 RWO458685:RWO458693 SGK458685:SGK458693 SQG458685:SQG458693 TAC458685:TAC458693 TJY458685:TJY458693 TTU458685:TTU458693 UDQ458685:UDQ458693 UNM458685:UNM458693 UXI458685:UXI458693 VHE458685:VHE458693 VRA458685:VRA458693 WAW458685:WAW458693 WKS458685:WKS458693 WUO458685:WUO458693 C524221:C524229 IC524221:IC524229 RY524221:RY524229 ABU524221:ABU524229 ALQ524221:ALQ524229 AVM524221:AVM524229 BFI524221:BFI524229 BPE524221:BPE524229 BZA524221:BZA524229 CIW524221:CIW524229 CSS524221:CSS524229 DCO524221:DCO524229 DMK524221:DMK524229 DWG524221:DWG524229 EGC524221:EGC524229 EPY524221:EPY524229 EZU524221:EZU524229 FJQ524221:FJQ524229 FTM524221:FTM524229 GDI524221:GDI524229 GNE524221:GNE524229 GXA524221:GXA524229 HGW524221:HGW524229 HQS524221:HQS524229 IAO524221:IAO524229 IKK524221:IKK524229 IUG524221:IUG524229 JEC524221:JEC524229 JNY524221:JNY524229 JXU524221:JXU524229 KHQ524221:KHQ524229 KRM524221:KRM524229 LBI524221:LBI524229 LLE524221:LLE524229 LVA524221:LVA524229 MEW524221:MEW524229 MOS524221:MOS524229 MYO524221:MYO524229 NIK524221:NIK524229 NSG524221:NSG524229 OCC524221:OCC524229 OLY524221:OLY524229 OVU524221:OVU524229 PFQ524221:PFQ524229 PPM524221:PPM524229 PZI524221:PZI524229 QJE524221:QJE524229 QTA524221:QTA524229 RCW524221:RCW524229 RMS524221:RMS524229 RWO524221:RWO524229 SGK524221:SGK524229 SQG524221:SQG524229 TAC524221:TAC524229 TJY524221:TJY524229 TTU524221:TTU524229 UDQ524221:UDQ524229 UNM524221:UNM524229 UXI524221:UXI524229 VHE524221:VHE524229 VRA524221:VRA524229 WAW524221:WAW524229 WKS524221:WKS524229 WUO524221:WUO524229 C589757:C589765 IC589757:IC589765 RY589757:RY589765 ABU589757:ABU589765 ALQ589757:ALQ589765 AVM589757:AVM589765 BFI589757:BFI589765 BPE589757:BPE589765 BZA589757:BZA589765 CIW589757:CIW589765 CSS589757:CSS589765 DCO589757:DCO589765 DMK589757:DMK589765 DWG589757:DWG589765 EGC589757:EGC589765 EPY589757:EPY589765 EZU589757:EZU589765 FJQ589757:FJQ589765 FTM589757:FTM589765 GDI589757:GDI589765 GNE589757:GNE589765 GXA589757:GXA589765 HGW589757:HGW589765 HQS589757:HQS589765 IAO589757:IAO589765 IKK589757:IKK589765 IUG589757:IUG589765 JEC589757:JEC589765 JNY589757:JNY589765 JXU589757:JXU589765 KHQ589757:KHQ589765 KRM589757:KRM589765 LBI589757:LBI589765 LLE589757:LLE589765 LVA589757:LVA589765 MEW589757:MEW589765 MOS589757:MOS589765 MYO589757:MYO589765 NIK589757:NIK589765 NSG589757:NSG589765 OCC589757:OCC589765 OLY589757:OLY589765 OVU589757:OVU589765 PFQ589757:PFQ589765 PPM589757:PPM589765 PZI589757:PZI589765 QJE589757:QJE589765 QTA589757:QTA589765 RCW589757:RCW589765 RMS589757:RMS589765 RWO589757:RWO589765 SGK589757:SGK589765 SQG589757:SQG589765 TAC589757:TAC589765 TJY589757:TJY589765 TTU589757:TTU589765 UDQ589757:UDQ589765 UNM589757:UNM589765 UXI589757:UXI589765 VHE589757:VHE589765 VRA589757:VRA589765 WAW589757:WAW589765 WKS589757:WKS589765 WUO589757:WUO589765 C655293:C655301 IC655293:IC655301 RY655293:RY655301 ABU655293:ABU655301 ALQ655293:ALQ655301 AVM655293:AVM655301 BFI655293:BFI655301 BPE655293:BPE655301 BZA655293:BZA655301 CIW655293:CIW655301 CSS655293:CSS655301 DCO655293:DCO655301 DMK655293:DMK655301 DWG655293:DWG655301 EGC655293:EGC655301 EPY655293:EPY655301 EZU655293:EZU655301 FJQ655293:FJQ655301 FTM655293:FTM655301 GDI655293:GDI655301 GNE655293:GNE655301 GXA655293:GXA655301 HGW655293:HGW655301 HQS655293:HQS655301 IAO655293:IAO655301 IKK655293:IKK655301 IUG655293:IUG655301 JEC655293:JEC655301 JNY655293:JNY655301 JXU655293:JXU655301 KHQ655293:KHQ655301 KRM655293:KRM655301 LBI655293:LBI655301 LLE655293:LLE655301 LVA655293:LVA655301 MEW655293:MEW655301 MOS655293:MOS655301 MYO655293:MYO655301 NIK655293:NIK655301 NSG655293:NSG655301 OCC655293:OCC655301 OLY655293:OLY655301 OVU655293:OVU655301 PFQ655293:PFQ655301 PPM655293:PPM655301 PZI655293:PZI655301 QJE655293:QJE655301 QTA655293:QTA655301 RCW655293:RCW655301 RMS655293:RMS655301 RWO655293:RWO655301 SGK655293:SGK655301 SQG655293:SQG655301 TAC655293:TAC655301 TJY655293:TJY655301 TTU655293:TTU655301 UDQ655293:UDQ655301 UNM655293:UNM655301 UXI655293:UXI655301 VHE655293:VHE655301 VRA655293:VRA655301 WAW655293:WAW655301 WKS655293:WKS655301 WUO655293:WUO655301 C720829:C720837 IC720829:IC720837 RY720829:RY720837 ABU720829:ABU720837 ALQ720829:ALQ720837 AVM720829:AVM720837 BFI720829:BFI720837 BPE720829:BPE720837 BZA720829:BZA720837 CIW720829:CIW720837 CSS720829:CSS720837 DCO720829:DCO720837 DMK720829:DMK720837 DWG720829:DWG720837 EGC720829:EGC720837 EPY720829:EPY720837 EZU720829:EZU720837 FJQ720829:FJQ720837 FTM720829:FTM720837 GDI720829:GDI720837 GNE720829:GNE720837 GXA720829:GXA720837 HGW720829:HGW720837 HQS720829:HQS720837 IAO720829:IAO720837 IKK720829:IKK720837 IUG720829:IUG720837 JEC720829:JEC720837 JNY720829:JNY720837 JXU720829:JXU720837 KHQ720829:KHQ720837 KRM720829:KRM720837 LBI720829:LBI720837 LLE720829:LLE720837 LVA720829:LVA720837 MEW720829:MEW720837 MOS720829:MOS720837 MYO720829:MYO720837 NIK720829:NIK720837 NSG720829:NSG720837 OCC720829:OCC720837 OLY720829:OLY720837 OVU720829:OVU720837 PFQ720829:PFQ720837 PPM720829:PPM720837 PZI720829:PZI720837 QJE720829:QJE720837 QTA720829:QTA720837 RCW720829:RCW720837 RMS720829:RMS720837 RWO720829:RWO720837 SGK720829:SGK720837 SQG720829:SQG720837 TAC720829:TAC720837 TJY720829:TJY720837 TTU720829:TTU720837 UDQ720829:UDQ720837 UNM720829:UNM720837 UXI720829:UXI720837 VHE720829:VHE720837 VRA720829:VRA720837 WAW720829:WAW720837 WKS720829:WKS720837 WUO720829:WUO720837 C786365:C786373 IC786365:IC786373 RY786365:RY786373 ABU786365:ABU786373 ALQ786365:ALQ786373 AVM786365:AVM786373 BFI786365:BFI786373 BPE786365:BPE786373 BZA786365:BZA786373 CIW786365:CIW786373 CSS786365:CSS786373 DCO786365:DCO786373 DMK786365:DMK786373 DWG786365:DWG786373 EGC786365:EGC786373 EPY786365:EPY786373 EZU786365:EZU786373 FJQ786365:FJQ786373 FTM786365:FTM786373 GDI786365:GDI786373 GNE786365:GNE786373 GXA786365:GXA786373 HGW786365:HGW786373 HQS786365:HQS786373 IAO786365:IAO786373 IKK786365:IKK786373 IUG786365:IUG786373 JEC786365:JEC786373 JNY786365:JNY786373 JXU786365:JXU786373 KHQ786365:KHQ786373 KRM786365:KRM786373 LBI786365:LBI786373 LLE786365:LLE786373 LVA786365:LVA786373 MEW786365:MEW786373 MOS786365:MOS786373 MYO786365:MYO786373 NIK786365:NIK786373 NSG786365:NSG786373 OCC786365:OCC786373 OLY786365:OLY786373 OVU786365:OVU786373 PFQ786365:PFQ786373 PPM786365:PPM786373 PZI786365:PZI786373 QJE786365:QJE786373 QTA786365:QTA786373 RCW786365:RCW786373 RMS786365:RMS786373 RWO786365:RWO786373 SGK786365:SGK786373 SQG786365:SQG786373 TAC786365:TAC786373 TJY786365:TJY786373 TTU786365:TTU786373 UDQ786365:UDQ786373 UNM786365:UNM786373 UXI786365:UXI786373 VHE786365:VHE786373 VRA786365:VRA786373 WAW786365:WAW786373 WKS786365:WKS786373 WUO786365:WUO786373 C851901:C851909 IC851901:IC851909 RY851901:RY851909 ABU851901:ABU851909 ALQ851901:ALQ851909 AVM851901:AVM851909 BFI851901:BFI851909 BPE851901:BPE851909 BZA851901:BZA851909 CIW851901:CIW851909 CSS851901:CSS851909 DCO851901:DCO851909 DMK851901:DMK851909 DWG851901:DWG851909 EGC851901:EGC851909 EPY851901:EPY851909 EZU851901:EZU851909 FJQ851901:FJQ851909 FTM851901:FTM851909 GDI851901:GDI851909 GNE851901:GNE851909 GXA851901:GXA851909 HGW851901:HGW851909 HQS851901:HQS851909 IAO851901:IAO851909 IKK851901:IKK851909 IUG851901:IUG851909 JEC851901:JEC851909 JNY851901:JNY851909 JXU851901:JXU851909 KHQ851901:KHQ851909 KRM851901:KRM851909 LBI851901:LBI851909 LLE851901:LLE851909 LVA851901:LVA851909 MEW851901:MEW851909 MOS851901:MOS851909 MYO851901:MYO851909 NIK851901:NIK851909 NSG851901:NSG851909 OCC851901:OCC851909 OLY851901:OLY851909 OVU851901:OVU851909 PFQ851901:PFQ851909 PPM851901:PPM851909 PZI851901:PZI851909 QJE851901:QJE851909 QTA851901:QTA851909 RCW851901:RCW851909 RMS851901:RMS851909 RWO851901:RWO851909 SGK851901:SGK851909 SQG851901:SQG851909 TAC851901:TAC851909 TJY851901:TJY851909 TTU851901:TTU851909 UDQ851901:UDQ851909 UNM851901:UNM851909 UXI851901:UXI851909 VHE851901:VHE851909 VRA851901:VRA851909 WAW851901:WAW851909 WKS851901:WKS851909 WUO851901:WUO851909 C917437:C917445 IC917437:IC917445 RY917437:RY917445 ABU917437:ABU917445 ALQ917437:ALQ917445 AVM917437:AVM917445 BFI917437:BFI917445 BPE917437:BPE917445 BZA917437:BZA917445 CIW917437:CIW917445 CSS917437:CSS917445 DCO917437:DCO917445 DMK917437:DMK917445 DWG917437:DWG917445 EGC917437:EGC917445 EPY917437:EPY917445 EZU917437:EZU917445 FJQ917437:FJQ917445 FTM917437:FTM917445 GDI917437:GDI917445 GNE917437:GNE917445 GXA917437:GXA917445 HGW917437:HGW917445 HQS917437:HQS917445 IAO917437:IAO917445 IKK917437:IKK917445 IUG917437:IUG917445 JEC917437:JEC917445 JNY917437:JNY917445 JXU917437:JXU917445 KHQ917437:KHQ917445 KRM917437:KRM917445 LBI917437:LBI917445 LLE917437:LLE917445 LVA917437:LVA917445 MEW917437:MEW917445 MOS917437:MOS917445 MYO917437:MYO917445 NIK917437:NIK917445 NSG917437:NSG917445 OCC917437:OCC917445 OLY917437:OLY917445 OVU917437:OVU917445 PFQ917437:PFQ917445 PPM917437:PPM917445 PZI917437:PZI917445 QJE917437:QJE917445 QTA917437:QTA917445 RCW917437:RCW917445 RMS917437:RMS917445 RWO917437:RWO917445 SGK917437:SGK917445 SQG917437:SQG917445 TAC917437:TAC917445 TJY917437:TJY917445 TTU917437:TTU917445 UDQ917437:UDQ917445 UNM917437:UNM917445 UXI917437:UXI917445 VHE917437:VHE917445 VRA917437:VRA917445 WAW917437:WAW917445 WKS917437:WKS917445 WUO917437:WUO917445 C982973:C982981 IC982973:IC982981 RY982973:RY982981 ABU982973:ABU982981 ALQ982973:ALQ982981 AVM982973:AVM982981 BFI982973:BFI982981 BPE982973:BPE982981 BZA982973:BZA982981 CIW982973:CIW982981 CSS982973:CSS982981 DCO982973:DCO982981 DMK982973:DMK982981 DWG982973:DWG982981 EGC982973:EGC982981 EPY982973:EPY982981 EZU982973:EZU982981 FJQ982973:FJQ982981 FTM982973:FTM982981 GDI982973:GDI982981 GNE982973:GNE982981 GXA982973:GXA982981 HGW982973:HGW982981 HQS982973:HQS982981 IAO982973:IAO982981 IKK982973:IKK982981 IUG982973:IUG982981 JEC982973:JEC982981 JNY982973:JNY982981 JXU982973:JXU982981 KHQ982973:KHQ982981 KRM982973:KRM982981 LBI982973:LBI982981 LLE982973:LLE982981 LVA982973:LVA982981 MEW982973:MEW982981 MOS982973:MOS982981 MYO982973:MYO982981 NIK982973:NIK982981 NSG982973:NSG982981 OCC982973:OCC982981 OLY982973:OLY982981 OVU982973:OVU982981 PFQ982973:PFQ982981 PPM982973:PPM982981 PZI982973:PZI982981 QJE982973:QJE982981 QTA982973:QTA982981 RCW982973:RCW982981 RMS982973:RMS982981 RWO982973:RWO982981 SGK982973:SGK982981 SQG982973:SQG982981 TAC982973:TAC982981 TJY982973:TJY982981 TTU982973:TTU982981 UDQ982973:UDQ982981 UNM982973:UNM982981 UXI982973:UXI982981 VHE982973:VHE982981 VRA982973:VRA982981 WAW982973:WAW982981 WKS982973:WKS982981 WUO9:WUO10 WKS9:WKS10 WAW9:WAW10 VRA9:VRA10 VHE9:VHE10 UXI9:UXI10 UNM9:UNM10 UDQ9:UDQ10 TTU9:TTU10 TJY9:TJY10 TAC9:TAC10 SQG9:SQG10 SGK9:SGK10 RWO9:RWO10 RMS9:RMS10 RCW9:RCW10 QTA9:QTA10 QJE9:QJE10 PZI9:PZI10 PPM9:PPM10 PFQ9:PFQ10 OVU9:OVU10 OLY9:OLY10 OCC9:OCC10 NSG9:NSG10 NIK9:NIK10 MYO9:MYO10 MOS9:MOS10 MEW9:MEW10 LVA9:LVA10 LLE9:LLE10 LBI9:LBI10 KRM9:KRM10 KHQ9:KHQ10 JXU9:JXU10 JNY9:JNY10 JEC9:JEC10 IUG9:IUG10 IKK9:IKK10 IAO9:IAO10 HQS9:HQS10 HGW9:HGW10 GXA9:GXA10 GNE9:GNE10 GDI9:GDI10 FTM9:FTM10 FJQ9:FJQ10 EZU9:EZU10 EPY9:EPY10 EGC9:EGC10 DWG9:DWG10 DMK9:DMK10 DCO9:DCO10 CSS9:CSS10 CIW9:CIW10 BZA9:BZA10 BPE9:BPE10 BFI9:BFI10 AVM9:AVM10 ALQ9:ALQ10 ABU9:ABU10 RY9:RY10 IC9:IC10" xr:uid="{00000000-0002-0000-0400-000003000000}"/>
    <dataValidation allowBlank="1" showInputMessage="1" showErrorMessage="1" prompt="ingrese el valor del Factor Prestacional asignado para el personal." sqref="WUP982973:WUP982981 D65458:E65466 ID65458:ID65466 RZ65458:RZ65466 ABV65458:ABV65466 ALR65458:ALR65466 AVN65458:AVN65466 BFJ65458:BFJ65466 BPF65458:BPF65466 BZB65458:BZB65466 CIX65458:CIX65466 CST65458:CST65466 DCP65458:DCP65466 DML65458:DML65466 DWH65458:DWH65466 EGD65458:EGD65466 EPZ65458:EPZ65466 EZV65458:EZV65466 FJR65458:FJR65466 FTN65458:FTN65466 GDJ65458:GDJ65466 GNF65458:GNF65466 GXB65458:GXB65466 HGX65458:HGX65466 HQT65458:HQT65466 IAP65458:IAP65466 IKL65458:IKL65466 IUH65458:IUH65466 JED65458:JED65466 JNZ65458:JNZ65466 JXV65458:JXV65466 KHR65458:KHR65466 KRN65458:KRN65466 LBJ65458:LBJ65466 LLF65458:LLF65466 LVB65458:LVB65466 MEX65458:MEX65466 MOT65458:MOT65466 MYP65458:MYP65466 NIL65458:NIL65466 NSH65458:NSH65466 OCD65458:OCD65466 OLZ65458:OLZ65466 OVV65458:OVV65466 PFR65458:PFR65466 PPN65458:PPN65466 PZJ65458:PZJ65466 QJF65458:QJF65466 QTB65458:QTB65466 RCX65458:RCX65466 RMT65458:RMT65466 RWP65458:RWP65466 SGL65458:SGL65466 SQH65458:SQH65466 TAD65458:TAD65466 TJZ65458:TJZ65466 TTV65458:TTV65466 UDR65458:UDR65466 UNN65458:UNN65466 UXJ65458:UXJ65466 VHF65458:VHF65466 VRB65458:VRB65466 WAX65458:WAX65466 WKT65458:WKT65466 WUP65458:WUP65466 D130994:E131002 ID130994:ID131002 RZ130994:RZ131002 ABV130994:ABV131002 ALR130994:ALR131002 AVN130994:AVN131002 BFJ130994:BFJ131002 BPF130994:BPF131002 BZB130994:BZB131002 CIX130994:CIX131002 CST130994:CST131002 DCP130994:DCP131002 DML130994:DML131002 DWH130994:DWH131002 EGD130994:EGD131002 EPZ130994:EPZ131002 EZV130994:EZV131002 FJR130994:FJR131002 FTN130994:FTN131002 GDJ130994:GDJ131002 GNF130994:GNF131002 GXB130994:GXB131002 HGX130994:HGX131002 HQT130994:HQT131002 IAP130994:IAP131002 IKL130994:IKL131002 IUH130994:IUH131002 JED130994:JED131002 JNZ130994:JNZ131002 JXV130994:JXV131002 KHR130994:KHR131002 KRN130994:KRN131002 LBJ130994:LBJ131002 LLF130994:LLF131002 LVB130994:LVB131002 MEX130994:MEX131002 MOT130994:MOT131002 MYP130994:MYP131002 NIL130994:NIL131002 NSH130994:NSH131002 OCD130994:OCD131002 OLZ130994:OLZ131002 OVV130994:OVV131002 PFR130994:PFR131002 PPN130994:PPN131002 PZJ130994:PZJ131002 QJF130994:QJF131002 QTB130994:QTB131002 RCX130994:RCX131002 RMT130994:RMT131002 RWP130994:RWP131002 SGL130994:SGL131002 SQH130994:SQH131002 TAD130994:TAD131002 TJZ130994:TJZ131002 TTV130994:TTV131002 UDR130994:UDR131002 UNN130994:UNN131002 UXJ130994:UXJ131002 VHF130994:VHF131002 VRB130994:VRB131002 WAX130994:WAX131002 WKT130994:WKT131002 WUP130994:WUP131002 D196530:E196538 ID196530:ID196538 RZ196530:RZ196538 ABV196530:ABV196538 ALR196530:ALR196538 AVN196530:AVN196538 BFJ196530:BFJ196538 BPF196530:BPF196538 BZB196530:BZB196538 CIX196530:CIX196538 CST196530:CST196538 DCP196530:DCP196538 DML196530:DML196538 DWH196530:DWH196538 EGD196530:EGD196538 EPZ196530:EPZ196538 EZV196530:EZV196538 FJR196530:FJR196538 FTN196530:FTN196538 GDJ196530:GDJ196538 GNF196530:GNF196538 GXB196530:GXB196538 HGX196530:HGX196538 HQT196530:HQT196538 IAP196530:IAP196538 IKL196530:IKL196538 IUH196530:IUH196538 JED196530:JED196538 JNZ196530:JNZ196538 JXV196530:JXV196538 KHR196530:KHR196538 KRN196530:KRN196538 LBJ196530:LBJ196538 LLF196530:LLF196538 LVB196530:LVB196538 MEX196530:MEX196538 MOT196530:MOT196538 MYP196530:MYP196538 NIL196530:NIL196538 NSH196530:NSH196538 OCD196530:OCD196538 OLZ196530:OLZ196538 OVV196530:OVV196538 PFR196530:PFR196538 PPN196530:PPN196538 PZJ196530:PZJ196538 QJF196530:QJF196538 QTB196530:QTB196538 RCX196530:RCX196538 RMT196530:RMT196538 RWP196530:RWP196538 SGL196530:SGL196538 SQH196530:SQH196538 TAD196530:TAD196538 TJZ196530:TJZ196538 TTV196530:TTV196538 UDR196530:UDR196538 UNN196530:UNN196538 UXJ196530:UXJ196538 VHF196530:VHF196538 VRB196530:VRB196538 WAX196530:WAX196538 WKT196530:WKT196538 WUP196530:WUP196538 D262066:E262074 ID262066:ID262074 RZ262066:RZ262074 ABV262066:ABV262074 ALR262066:ALR262074 AVN262066:AVN262074 BFJ262066:BFJ262074 BPF262066:BPF262074 BZB262066:BZB262074 CIX262066:CIX262074 CST262066:CST262074 DCP262066:DCP262074 DML262066:DML262074 DWH262066:DWH262074 EGD262066:EGD262074 EPZ262066:EPZ262074 EZV262066:EZV262074 FJR262066:FJR262074 FTN262066:FTN262074 GDJ262066:GDJ262074 GNF262066:GNF262074 GXB262066:GXB262074 HGX262066:HGX262074 HQT262066:HQT262074 IAP262066:IAP262074 IKL262066:IKL262074 IUH262066:IUH262074 JED262066:JED262074 JNZ262066:JNZ262074 JXV262066:JXV262074 KHR262066:KHR262074 KRN262066:KRN262074 LBJ262066:LBJ262074 LLF262066:LLF262074 LVB262066:LVB262074 MEX262066:MEX262074 MOT262066:MOT262074 MYP262066:MYP262074 NIL262066:NIL262074 NSH262066:NSH262074 OCD262066:OCD262074 OLZ262066:OLZ262074 OVV262066:OVV262074 PFR262066:PFR262074 PPN262066:PPN262074 PZJ262066:PZJ262074 QJF262066:QJF262074 QTB262066:QTB262074 RCX262066:RCX262074 RMT262066:RMT262074 RWP262066:RWP262074 SGL262066:SGL262074 SQH262066:SQH262074 TAD262066:TAD262074 TJZ262066:TJZ262074 TTV262066:TTV262074 UDR262066:UDR262074 UNN262066:UNN262074 UXJ262066:UXJ262074 VHF262066:VHF262074 VRB262066:VRB262074 WAX262066:WAX262074 WKT262066:WKT262074 WUP262066:WUP262074 D327602:E327610 ID327602:ID327610 RZ327602:RZ327610 ABV327602:ABV327610 ALR327602:ALR327610 AVN327602:AVN327610 BFJ327602:BFJ327610 BPF327602:BPF327610 BZB327602:BZB327610 CIX327602:CIX327610 CST327602:CST327610 DCP327602:DCP327610 DML327602:DML327610 DWH327602:DWH327610 EGD327602:EGD327610 EPZ327602:EPZ327610 EZV327602:EZV327610 FJR327602:FJR327610 FTN327602:FTN327610 GDJ327602:GDJ327610 GNF327602:GNF327610 GXB327602:GXB327610 HGX327602:HGX327610 HQT327602:HQT327610 IAP327602:IAP327610 IKL327602:IKL327610 IUH327602:IUH327610 JED327602:JED327610 JNZ327602:JNZ327610 JXV327602:JXV327610 KHR327602:KHR327610 KRN327602:KRN327610 LBJ327602:LBJ327610 LLF327602:LLF327610 LVB327602:LVB327610 MEX327602:MEX327610 MOT327602:MOT327610 MYP327602:MYP327610 NIL327602:NIL327610 NSH327602:NSH327610 OCD327602:OCD327610 OLZ327602:OLZ327610 OVV327602:OVV327610 PFR327602:PFR327610 PPN327602:PPN327610 PZJ327602:PZJ327610 QJF327602:QJF327610 QTB327602:QTB327610 RCX327602:RCX327610 RMT327602:RMT327610 RWP327602:RWP327610 SGL327602:SGL327610 SQH327602:SQH327610 TAD327602:TAD327610 TJZ327602:TJZ327610 TTV327602:TTV327610 UDR327602:UDR327610 UNN327602:UNN327610 UXJ327602:UXJ327610 VHF327602:VHF327610 VRB327602:VRB327610 WAX327602:WAX327610 WKT327602:WKT327610 WUP327602:WUP327610 D393138:E393146 ID393138:ID393146 RZ393138:RZ393146 ABV393138:ABV393146 ALR393138:ALR393146 AVN393138:AVN393146 BFJ393138:BFJ393146 BPF393138:BPF393146 BZB393138:BZB393146 CIX393138:CIX393146 CST393138:CST393146 DCP393138:DCP393146 DML393138:DML393146 DWH393138:DWH393146 EGD393138:EGD393146 EPZ393138:EPZ393146 EZV393138:EZV393146 FJR393138:FJR393146 FTN393138:FTN393146 GDJ393138:GDJ393146 GNF393138:GNF393146 GXB393138:GXB393146 HGX393138:HGX393146 HQT393138:HQT393146 IAP393138:IAP393146 IKL393138:IKL393146 IUH393138:IUH393146 JED393138:JED393146 JNZ393138:JNZ393146 JXV393138:JXV393146 KHR393138:KHR393146 KRN393138:KRN393146 LBJ393138:LBJ393146 LLF393138:LLF393146 LVB393138:LVB393146 MEX393138:MEX393146 MOT393138:MOT393146 MYP393138:MYP393146 NIL393138:NIL393146 NSH393138:NSH393146 OCD393138:OCD393146 OLZ393138:OLZ393146 OVV393138:OVV393146 PFR393138:PFR393146 PPN393138:PPN393146 PZJ393138:PZJ393146 QJF393138:QJF393146 QTB393138:QTB393146 RCX393138:RCX393146 RMT393138:RMT393146 RWP393138:RWP393146 SGL393138:SGL393146 SQH393138:SQH393146 TAD393138:TAD393146 TJZ393138:TJZ393146 TTV393138:TTV393146 UDR393138:UDR393146 UNN393138:UNN393146 UXJ393138:UXJ393146 VHF393138:VHF393146 VRB393138:VRB393146 WAX393138:WAX393146 WKT393138:WKT393146 WUP393138:WUP393146 D458674:E458682 ID458674:ID458682 RZ458674:RZ458682 ABV458674:ABV458682 ALR458674:ALR458682 AVN458674:AVN458682 BFJ458674:BFJ458682 BPF458674:BPF458682 BZB458674:BZB458682 CIX458674:CIX458682 CST458674:CST458682 DCP458674:DCP458682 DML458674:DML458682 DWH458674:DWH458682 EGD458674:EGD458682 EPZ458674:EPZ458682 EZV458674:EZV458682 FJR458674:FJR458682 FTN458674:FTN458682 GDJ458674:GDJ458682 GNF458674:GNF458682 GXB458674:GXB458682 HGX458674:HGX458682 HQT458674:HQT458682 IAP458674:IAP458682 IKL458674:IKL458682 IUH458674:IUH458682 JED458674:JED458682 JNZ458674:JNZ458682 JXV458674:JXV458682 KHR458674:KHR458682 KRN458674:KRN458682 LBJ458674:LBJ458682 LLF458674:LLF458682 LVB458674:LVB458682 MEX458674:MEX458682 MOT458674:MOT458682 MYP458674:MYP458682 NIL458674:NIL458682 NSH458674:NSH458682 OCD458674:OCD458682 OLZ458674:OLZ458682 OVV458674:OVV458682 PFR458674:PFR458682 PPN458674:PPN458682 PZJ458674:PZJ458682 QJF458674:QJF458682 QTB458674:QTB458682 RCX458674:RCX458682 RMT458674:RMT458682 RWP458674:RWP458682 SGL458674:SGL458682 SQH458674:SQH458682 TAD458674:TAD458682 TJZ458674:TJZ458682 TTV458674:TTV458682 UDR458674:UDR458682 UNN458674:UNN458682 UXJ458674:UXJ458682 VHF458674:VHF458682 VRB458674:VRB458682 WAX458674:WAX458682 WKT458674:WKT458682 WUP458674:WUP458682 D524210:E524218 ID524210:ID524218 RZ524210:RZ524218 ABV524210:ABV524218 ALR524210:ALR524218 AVN524210:AVN524218 BFJ524210:BFJ524218 BPF524210:BPF524218 BZB524210:BZB524218 CIX524210:CIX524218 CST524210:CST524218 DCP524210:DCP524218 DML524210:DML524218 DWH524210:DWH524218 EGD524210:EGD524218 EPZ524210:EPZ524218 EZV524210:EZV524218 FJR524210:FJR524218 FTN524210:FTN524218 GDJ524210:GDJ524218 GNF524210:GNF524218 GXB524210:GXB524218 HGX524210:HGX524218 HQT524210:HQT524218 IAP524210:IAP524218 IKL524210:IKL524218 IUH524210:IUH524218 JED524210:JED524218 JNZ524210:JNZ524218 JXV524210:JXV524218 KHR524210:KHR524218 KRN524210:KRN524218 LBJ524210:LBJ524218 LLF524210:LLF524218 LVB524210:LVB524218 MEX524210:MEX524218 MOT524210:MOT524218 MYP524210:MYP524218 NIL524210:NIL524218 NSH524210:NSH524218 OCD524210:OCD524218 OLZ524210:OLZ524218 OVV524210:OVV524218 PFR524210:PFR524218 PPN524210:PPN524218 PZJ524210:PZJ524218 QJF524210:QJF524218 QTB524210:QTB524218 RCX524210:RCX524218 RMT524210:RMT524218 RWP524210:RWP524218 SGL524210:SGL524218 SQH524210:SQH524218 TAD524210:TAD524218 TJZ524210:TJZ524218 TTV524210:TTV524218 UDR524210:UDR524218 UNN524210:UNN524218 UXJ524210:UXJ524218 VHF524210:VHF524218 VRB524210:VRB524218 WAX524210:WAX524218 WKT524210:WKT524218 WUP524210:WUP524218 D589746:E589754 ID589746:ID589754 RZ589746:RZ589754 ABV589746:ABV589754 ALR589746:ALR589754 AVN589746:AVN589754 BFJ589746:BFJ589754 BPF589746:BPF589754 BZB589746:BZB589754 CIX589746:CIX589754 CST589746:CST589754 DCP589746:DCP589754 DML589746:DML589754 DWH589746:DWH589754 EGD589746:EGD589754 EPZ589746:EPZ589754 EZV589746:EZV589754 FJR589746:FJR589754 FTN589746:FTN589754 GDJ589746:GDJ589754 GNF589746:GNF589754 GXB589746:GXB589754 HGX589746:HGX589754 HQT589746:HQT589754 IAP589746:IAP589754 IKL589746:IKL589754 IUH589746:IUH589754 JED589746:JED589754 JNZ589746:JNZ589754 JXV589746:JXV589754 KHR589746:KHR589754 KRN589746:KRN589754 LBJ589746:LBJ589754 LLF589746:LLF589754 LVB589746:LVB589754 MEX589746:MEX589754 MOT589746:MOT589754 MYP589746:MYP589754 NIL589746:NIL589754 NSH589746:NSH589754 OCD589746:OCD589754 OLZ589746:OLZ589754 OVV589746:OVV589754 PFR589746:PFR589754 PPN589746:PPN589754 PZJ589746:PZJ589754 QJF589746:QJF589754 QTB589746:QTB589754 RCX589746:RCX589754 RMT589746:RMT589754 RWP589746:RWP589754 SGL589746:SGL589754 SQH589746:SQH589754 TAD589746:TAD589754 TJZ589746:TJZ589754 TTV589746:TTV589754 UDR589746:UDR589754 UNN589746:UNN589754 UXJ589746:UXJ589754 VHF589746:VHF589754 VRB589746:VRB589754 WAX589746:WAX589754 WKT589746:WKT589754 WUP589746:WUP589754 D655282:E655290 ID655282:ID655290 RZ655282:RZ655290 ABV655282:ABV655290 ALR655282:ALR655290 AVN655282:AVN655290 BFJ655282:BFJ655290 BPF655282:BPF655290 BZB655282:BZB655290 CIX655282:CIX655290 CST655282:CST655290 DCP655282:DCP655290 DML655282:DML655290 DWH655282:DWH655290 EGD655282:EGD655290 EPZ655282:EPZ655290 EZV655282:EZV655290 FJR655282:FJR655290 FTN655282:FTN655290 GDJ655282:GDJ655290 GNF655282:GNF655290 GXB655282:GXB655290 HGX655282:HGX655290 HQT655282:HQT655290 IAP655282:IAP655290 IKL655282:IKL655290 IUH655282:IUH655290 JED655282:JED655290 JNZ655282:JNZ655290 JXV655282:JXV655290 KHR655282:KHR655290 KRN655282:KRN655290 LBJ655282:LBJ655290 LLF655282:LLF655290 LVB655282:LVB655290 MEX655282:MEX655290 MOT655282:MOT655290 MYP655282:MYP655290 NIL655282:NIL655290 NSH655282:NSH655290 OCD655282:OCD655290 OLZ655282:OLZ655290 OVV655282:OVV655290 PFR655282:PFR655290 PPN655282:PPN655290 PZJ655282:PZJ655290 QJF655282:QJF655290 QTB655282:QTB655290 RCX655282:RCX655290 RMT655282:RMT655290 RWP655282:RWP655290 SGL655282:SGL655290 SQH655282:SQH655290 TAD655282:TAD655290 TJZ655282:TJZ655290 TTV655282:TTV655290 UDR655282:UDR655290 UNN655282:UNN655290 UXJ655282:UXJ655290 VHF655282:VHF655290 VRB655282:VRB655290 WAX655282:WAX655290 WKT655282:WKT655290 WUP655282:WUP655290 D720818:E720826 ID720818:ID720826 RZ720818:RZ720826 ABV720818:ABV720826 ALR720818:ALR720826 AVN720818:AVN720826 BFJ720818:BFJ720826 BPF720818:BPF720826 BZB720818:BZB720826 CIX720818:CIX720826 CST720818:CST720826 DCP720818:DCP720826 DML720818:DML720826 DWH720818:DWH720826 EGD720818:EGD720826 EPZ720818:EPZ720826 EZV720818:EZV720826 FJR720818:FJR720826 FTN720818:FTN720826 GDJ720818:GDJ720826 GNF720818:GNF720826 GXB720818:GXB720826 HGX720818:HGX720826 HQT720818:HQT720826 IAP720818:IAP720826 IKL720818:IKL720826 IUH720818:IUH720826 JED720818:JED720826 JNZ720818:JNZ720826 JXV720818:JXV720826 KHR720818:KHR720826 KRN720818:KRN720826 LBJ720818:LBJ720826 LLF720818:LLF720826 LVB720818:LVB720826 MEX720818:MEX720826 MOT720818:MOT720826 MYP720818:MYP720826 NIL720818:NIL720826 NSH720818:NSH720826 OCD720818:OCD720826 OLZ720818:OLZ720826 OVV720818:OVV720826 PFR720818:PFR720826 PPN720818:PPN720826 PZJ720818:PZJ720826 QJF720818:QJF720826 QTB720818:QTB720826 RCX720818:RCX720826 RMT720818:RMT720826 RWP720818:RWP720826 SGL720818:SGL720826 SQH720818:SQH720826 TAD720818:TAD720826 TJZ720818:TJZ720826 TTV720818:TTV720826 UDR720818:UDR720826 UNN720818:UNN720826 UXJ720818:UXJ720826 VHF720818:VHF720826 VRB720818:VRB720826 WAX720818:WAX720826 WKT720818:WKT720826 WUP720818:WUP720826 D786354:E786362 ID786354:ID786362 RZ786354:RZ786362 ABV786354:ABV786362 ALR786354:ALR786362 AVN786354:AVN786362 BFJ786354:BFJ786362 BPF786354:BPF786362 BZB786354:BZB786362 CIX786354:CIX786362 CST786354:CST786362 DCP786354:DCP786362 DML786354:DML786362 DWH786354:DWH786362 EGD786354:EGD786362 EPZ786354:EPZ786362 EZV786354:EZV786362 FJR786354:FJR786362 FTN786354:FTN786362 GDJ786354:GDJ786362 GNF786354:GNF786362 GXB786354:GXB786362 HGX786354:HGX786362 HQT786354:HQT786362 IAP786354:IAP786362 IKL786354:IKL786362 IUH786354:IUH786362 JED786354:JED786362 JNZ786354:JNZ786362 JXV786354:JXV786362 KHR786354:KHR786362 KRN786354:KRN786362 LBJ786354:LBJ786362 LLF786354:LLF786362 LVB786354:LVB786362 MEX786354:MEX786362 MOT786354:MOT786362 MYP786354:MYP786362 NIL786354:NIL786362 NSH786354:NSH786362 OCD786354:OCD786362 OLZ786354:OLZ786362 OVV786354:OVV786362 PFR786354:PFR786362 PPN786354:PPN786362 PZJ786354:PZJ786362 QJF786354:QJF786362 QTB786354:QTB786362 RCX786354:RCX786362 RMT786354:RMT786362 RWP786354:RWP786362 SGL786354:SGL786362 SQH786354:SQH786362 TAD786354:TAD786362 TJZ786354:TJZ786362 TTV786354:TTV786362 UDR786354:UDR786362 UNN786354:UNN786362 UXJ786354:UXJ786362 VHF786354:VHF786362 VRB786354:VRB786362 WAX786354:WAX786362 WKT786354:WKT786362 WUP786354:WUP786362 D851890:E851898 ID851890:ID851898 RZ851890:RZ851898 ABV851890:ABV851898 ALR851890:ALR851898 AVN851890:AVN851898 BFJ851890:BFJ851898 BPF851890:BPF851898 BZB851890:BZB851898 CIX851890:CIX851898 CST851890:CST851898 DCP851890:DCP851898 DML851890:DML851898 DWH851890:DWH851898 EGD851890:EGD851898 EPZ851890:EPZ851898 EZV851890:EZV851898 FJR851890:FJR851898 FTN851890:FTN851898 GDJ851890:GDJ851898 GNF851890:GNF851898 GXB851890:GXB851898 HGX851890:HGX851898 HQT851890:HQT851898 IAP851890:IAP851898 IKL851890:IKL851898 IUH851890:IUH851898 JED851890:JED851898 JNZ851890:JNZ851898 JXV851890:JXV851898 KHR851890:KHR851898 KRN851890:KRN851898 LBJ851890:LBJ851898 LLF851890:LLF851898 LVB851890:LVB851898 MEX851890:MEX851898 MOT851890:MOT851898 MYP851890:MYP851898 NIL851890:NIL851898 NSH851890:NSH851898 OCD851890:OCD851898 OLZ851890:OLZ851898 OVV851890:OVV851898 PFR851890:PFR851898 PPN851890:PPN851898 PZJ851890:PZJ851898 QJF851890:QJF851898 QTB851890:QTB851898 RCX851890:RCX851898 RMT851890:RMT851898 RWP851890:RWP851898 SGL851890:SGL851898 SQH851890:SQH851898 TAD851890:TAD851898 TJZ851890:TJZ851898 TTV851890:TTV851898 UDR851890:UDR851898 UNN851890:UNN851898 UXJ851890:UXJ851898 VHF851890:VHF851898 VRB851890:VRB851898 WAX851890:WAX851898 WKT851890:WKT851898 WUP851890:WUP851898 D917426:E917434 ID917426:ID917434 RZ917426:RZ917434 ABV917426:ABV917434 ALR917426:ALR917434 AVN917426:AVN917434 BFJ917426:BFJ917434 BPF917426:BPF917434 BZB917426:BZB917434 CIX917426:CIX917434 CST917426:CST917434 DCP917426:DCP917434 DML917426:DML917434 DWH917426:DWH917434 EGD917426:EGD917434 EPZ917426:EPZ917434 EZV917426:EZV917434 FJR917426:FJR917434 FTN917426:FTN917434 GDJ917426:GDJ917434 GNF917426:GNF917434 GXB917426:GXB917434 HGX917426:HGX917434 HQT917426:HQT917434 IAP917426:IAP917434 IKL917426:IKL917434 IUH917426:IUH917434 JED917426:JED917434 JNZ917426:JNZ917434 JXV917426:JXV917434 KHR917426:KHR917434 KRN917426:KRN917434 LBJ917426:LBJ917434 LLF917426:LLF917434 LVB917426:LVB917434 MEX917426:MEX917434 MOT917426:MOT917434 MYP917426:MYP917434 NIL917426:NIL917434 NSH917426:NSH917434 OCD917426:OCD917434 OLZ917426:OLZ917434 OVV917426:OVV917434 PFR917426:PFR917434 PPN917426:PPN917434 PZJ917426:PZJ917434 QJF917426:QJF917434 QTB917426:QTB917434 RCX917426:RCX917434 RMT917426:RMT917434 RWP917426:RWP917434 SGL917426:SGL917434 SQH917426:SQH917434 TAD917426:TAD917434 TJZ917426:TJZ917434 TTV917426:TTV917434 UDR917426:UDR917434 UNN917426:UNN917434 UXJ917426:UXJ917434 VHF917426:VHF917434 VRB917426:VRB917434 WAX917426:WAX917434 WKT917426:WKT917434 WUP917426:WUP917434 D982962:E982970 ID982962:ID982970 RZ982962:RZ982970 ABV982962:ABV982970 ALR982962:ALR982970 AVN982962:AVN982970 BFJ982962:BFJ982970 BPF982962:BPF982970 BZB982962:BZB982970 CIX982962:CIX982970 CST982962:CST982970 DCP982962:DCP982970 DML982962:DML982970 DWH982962:DWH982970 EGD982962:EGD982970 EPZ982962:EPZ982970 EZV982962:EZV982970 FJR982962:FJR982970 FTN982962:FTN982970 GDJ982962:GDJ982970 GNF982962:GNF982970 GXB982962:GXB982970 HGX982962:HGX982970 HQT982962:HQT982970 IAP982962:IAP982970 IKL982962:IKL982970 IUH982962:IUH982970 JED982962:JED982970 JNZ982962:JNZ982970 JXV982962:JXV982970 KHR982962:KHR982970 KRN982962:KRN982970 LBJ982962:LBJ982970 LLF982962:LLF982970 LVB982962:LVB982970 MEX982962:MEX982970 MOT982962:MOT982970 MYP982962:MYP982970 NIL982962:NIL982970 NSH982962:NSH982970 OCD982962:OCD982970 OLZ982962:OLZ982970 OVV982962:OVV982970 PFR982962:PFR982970 PPN982962:PPN982970 PZJ982962:PZJ982970 QJF982962:QJF982970 QTB982962:QTB982970 RCX982962:RCX982970 RMT982962:RMT982970 RWP982962:RWP982970 SGL982962:SGL982970 SQH982962:SQH982970 TAD982962:TAD982970 TJZ982962:TJZ982970 TTV982962:TTV982970 UDR982962:UDR982970 UNN982962:UNN982970 UXJ982962:UXJ982970 VHF982962:VHF982970 VRB982962:VRB982970 WAX982962:WAX982970 WKT982962:WKT982970 WUP982962:WUP982970 D65469:E65477 ID65469:ID65477 RZ65469:RZ65477 ABV65469:ABV65477 ALR65469:ALR65477 AVN65469:AVN65477 BFJ65469:BFJ65477 BPF65469:BPF65477 BZB65469:BZB65477 CIX65469:CIX65477 CST65469:CST65477 DCP65469:DCP65477 DML65469:DML65477 DWH65469:DWH65477 EGD65469:EGD65477 EPZ65469:EPZ65477 EZV65469:EZV65477 FJR65469:FJR65477 FTN65469:FTN65477 GDJ65469:GDJ65477 GNF65469:GNF65477 GXB65469:GXB65477 HGX65469:HGX65477 HQT65469:HQT65477 IAP65469:IAP65477 IKL65469:IKL65477 IUH65469:IUH65477 JED65469:JED65477 JNZ65469:JNZ65477 JXV65469:JXV65477 KHR65469:KHR65477 KRN65469:KRN65477 LBJ65469:LBJ65477 LLF65469:LLF65477 LVB65469:LVB65477 MEX65469:MEX65477 MOT65469:MOT65477 MYP65469:MYP65477 NIL65469:NIL65477 NSH65469:NSH65477 OCD65469:OCD65477 OLZ65469:OLZ65477 OVV65469:OVV65477 PFR65469:PFR65477 PPN65469:PPN65477 PZJ65469:PZJ65477 QJF65469:QJF65477 QTB65469:QTB65477 RCX65469:RCX65477 RMT65469:RMT65477 RWP65469:RWP65477 SGL65469:SGL65477 SQH65469:SQH65477 TAD65469:TAD65477 TJZ65469:TJZ65477 TTV65469:TTV65477 UDR65469:UDR65477 UNN65469:UNN65477 UXJ65469:UXJ65477 VHF65469:VHF65477 VRB65469:VRB65477 WAX65469:WAX65477 WKT65469:WKT65477 WUP65469:WUP65477 D131005:E131013 ID131005:ID131013 RZ131005:RZ131013 ABV131005:ABV131013 ALR131005:ALR131013 AVN131005:AVN131013 BFJ131005:BFJ131013 BPF131005:BPF131013 BZB131005:BZB131013 CIX131005:CIX131013 CST131005:CST131013 DCP131005:DCP131013 DML131005:DML131013 DWH131005:DWH131013 EGD131005:EGD131013 EPZ131005:EPZ131013 EZV131005:EZV131013 FJR131005:FJR131013 FTN131005:FTN131013 GDJ131005:GDJ131013 GNF131005:GNF131013 GXB131005:GXB131013 HGX131005:HGX131013 HQT131005:HQT131013 IAP131005:IAP131013 IKL131005:IKL131013 IUH131005:IUH131013 JED131005:JED131013 JNZ131005:JNZ131013 JXV131005:JXV131013 KHR131005:KHR131013 KRN131005:KRN131013 LBJ131005:LBJ131013 LLF131005:LLF131013 LVB131005:LVB131013 MEX131005:MEX131013 MOT131005:MOT131013 MYP131005:MYP131013 NIL131005:NIL131013 NSH131005:NSH131013 OCD131005:OCD131013 OLZ131005:OLZ131013 OVV131005:OVV131013 PFR131005:PFR131013 PPN131005:PPN131013 PZJ131005:PZJ131013 QJF131005:QJF131013 QTB131005:QTB131013 RCX131005:RCX131013 RMT131005:RMT131013 RWP131005:RWP131013 SGL131005:SGL131013 SQH131005:SQH131013 TAD131005:TAD131013 TJZ131005:TJZ131013 TTV131005:TTV131013 UDR131005:UDR131013 UNN131005:UNN131013 UXJ131005:UXJ131013 VHF131005:VHF131013 VRB131005:VRB131013 WAX131005:WAX131013 WKT131005:WKT131013 WUP131005:WUP131013 D196541:E196549 ID196541:ID196549 RZ196541:RZ196549 ABV196541:ABV196549 ALR196541:ALR196549 AVN196541:AVN196549 BFJ196541:BFJ196549 BPF196541:BPF196549 BZB196541:BZB196549 CIX196541:CIX196549 CST196541:CST196549 DCP196541:DCP196549 DML196541:DML196549 DWH196541:DWH196549 EGD196541:EGD196549 EPZ196541:EPZ196549 EZV196541:EZV196549 FJR196541:FJR196549 FTN196541:FTN196549 GDJ196541:GDJ196549 GNF196541:GNF196549 GXB196541:GXB196549 HGX196541:HGX196549 HQT196541:HQT196549 IAP196541:IAP196549 IKL196541:IKL196549 IUH196541:IUH196549 JED196541:JED196549 JNZ196541:JNZ196549 JXV196541:JXV196549 KHR196541:KHR196549 KRN196541:KRN196549 LBJ196541:LBJ196549 LLF196541:LLF196549 LVB196541:LVB196549 MEX196541:MEX196549 MOT196541:MOT196549 MYP196541:MYP196549 NIL196541:NIL196549 NSH196541:NSH196549 OCD196541:OCD196549 OLZ196541:OLZ196549 OVV196541:OVV196549 PFR196541:PFR196549 PPN196541:PPN196549 PZJ196541:PZJ196549 QJF196541:QJF196549 QTB196541:QTB196549 RCX196541:RCX196549 RMT196541:RMT196549 RWP196541:RWP196549 SGL196541:SGL196549 SQH196541:SQH196549 TAD196541:TAD196549 TJZ196541:TJZ196549 TTV196541:TTV196549 UDR196541:UDR196549 UNN196541:UNN196549 UXJ196541:UXJ196549 VHF196541:VHF196549 VRB196541:VRB196549 WAX196541:WAX196549 WKT196541:WKT196549 WUP196541:WUP196549 D262077:E262085 ID262077:ID262085 RZ262077:RZ262085 ABV262077:ABV262085 ALR262077:ALR262085 AVN262077:AVN262085 BFJ262077:BFJ262085 BPF262077:BPF262085 BZB262077:BZB262085 CIX262077:CIX262085 CST262077:CST262085 DCP262077:DCP262085 DML262077:DML262085 DWH262077:DWH262085 EGD262077:EGD262085 EPZ262077:EPZ262085 EZV262077:EZV262085 FJR262077:FJR262085 FTN262077:FTN262085 GDJ262077:GDJ262085 GNF262077:GNF262085 GXB262077:GXB262085 HGX262077:HGX262085 HQT262077:HQT262085 IAP262077:IAP262085 IKL262077:IKL262085 IUH262077:IUH262085 JED262077:JED262085 JNZ262077:JNZ262085 JXV262077:JXV262085 KHR262077:KHR262085 KRN262077:KRN262085 LBJ262077:LBJ262085 LLF262077:LLF262085 LVB262077:LVB262085 MEX262077:MEX262085 MOT262077:MOT262085 MYP262077:MYP262085 NIL262077:NIL262085 NSH262077:NSH262085 OCD262077:OCD262085 OLZ262077:OLZ262085 OVV262077:OVV262085 PFR262077:PFR262085 PPN262077:PPN262085 PZJ262077:PZJ262085 QJF262077:QJF262085 QTB262077:QTB262085 RCX262077:RCX262085 RMT262077:RMT262085 RWP262077:RWP262085 SGL262077:SGL262085 SQH262077:SQH262085 TAD262077:TAD262085 TJZ262077:TJZ262085 TTV262077:TTV262085 UDR262077:UDR262085 UNN262077:UNN262085 UXJ262077:UXJ262085 VHF262077:VHF262085 VRB262077:VRB262085 WAX262077:WAX262085 WKT262077:WKT262085 WUP262077:WUP262085 D327613:E327621 ID327613:ID327621 RZ327613:RZ327621 ABV327613:ABV327621 ALR327613:ALR327621 AVN327613:AVN327621 BFJ327613:BFJ327621 BPF327613:BPF327621 BZB327613:BZB327621 CIX327613:CIX327621 CST327613:CST327621 DCP327613:DCP327621 DML327613:DML327621 DWH327613:DWH327621 EGD327613:EGD327621 EPZ327613:EPZ327621 EZV327613:EZV327621 FJR327613:FJR327621 FTN327613:FTN327621 GDJ327613:GDJ327621 GNF327613:GNF327621 GXB327613:GXB327621 HGX327613:HGX327621 HQT327613:HQT327621 IAP327613:IAP327621 IKL327613:IKL327621 IUH327613:IUH327621 JED327613:JED327621 JNZ327613:JNZ327621 JXV327613:JXV327621 KHR327613:KHR327621 KRN327613:KRN327621 LBJ327613:LBJ327621 LLF327613:LLF327621 LVB327613:LVB327621 MEX327613:MEX327621 MOT327613:MOT327621 MYP327613:MYP327621 NIL327613:NIL327621 NSH327613:NSH327621 OCD327613:OCD327621 OLZ327613:OLZ327621 OVV327613:OVV327621 PFR327613:PFR327621 PPN327613:PPN327621 PZJ327613:PZJ327621 QJF327613:QJF327621 QTB327613:QTB327621 RCX327613:RCX327621 RMT327613:RMT327621 RWP327613:RWP327621 SGL327613:SGL327621 SQH327613:SQH327621 TAD327613:TAD327621 TJZ327613:TJZ327621 TTV327613:TTV327621 UDR327613:UDR327621 UNN327613:UNN327621 UXJ327613:UXJ327621 VHF327613:VHF327621 VRB327613:VRB327621 WAX327613:WAX327621 WKT327613:WKT327621 WUP327613:WUP327621 D393149:E393157 ID393149:ID393157 RZ393149:RZ393157 ABV393149:ABV393157 ALR393149:ALR393157 AVN393149:AVN393157 BFJ393149:BFJ393157 BPF393149:BPF393157 BZB393149:BZB393157 CIX393149:CIX393157 CST393149:CST393157 DCP393149:DCP393157 DML393149:DML393157 DWH393149:DWH393157 EGD393149:EGD393157 EPZ393149:EPZ393157 EZV393149:EZV393157 FJR393149:FJR393157 FTN393149:FTN393157 GDJ393149:GDJ393157 GNF393149:GNF393157 GXB393149:GXB393157 HGX393149:HGX393157 HQT393149:HQT393157 IAP393149:IAP393157 IKL393149:IKL393157 IUH393149:IUH393157 JED393149:JED393157 JNZ393149:JNZ393157 JXV393149:JXV393157 KHR393149:KHR393157 KRN393149:KRN393157 LBJ393149:LBJ393157 LLF393149:LLF393157 LVB393149:LVB393157 MEX393149:MEX393157 MOT393149:MOT393157 MYP393149:MYP393157 NIL393149:NIL393157 NSH393149:NSH393157 OCD393149:OCD393157 OLZ393149:OLZ393157 OVV393149:OVV393157 PFR393149:PFR393157 PPN393149:PPN393157 PZJ393149:PZJ393157 QJF393149:QJF393157 QTB393149:QTB393157 RCX393149:RCX393157 RMT393149:RMT393157 RWP393149:RWP393157 SGL393149:SGL393157 SQH393149:SQH393157 TAD393149:TAD393157 TJZ393149:TJZ393157 TTV393149:TTV393157 UDR393149:UDR393157 UNN393149:UNN393157 UXJ393149:UXJ393157 VHF393149:VHF393157 VRB393149:VRB393157 WAX393149:WAX393157 WKT393149:WKT393157 WUP393149:WUP393157 D458685:E458693 ID458685:ID458693 RZ458685:RZ458693 ABV458685:ABV458693 ALR458685:ALR458693 AVN458685:AVN458693 BFJ458685:BFJ458693 BPF458685:BPF458693 BZB458685:BZB458693 CIX458685:CIX458693 CST458685:CST458693 DCP458685:DCP458693 DML458685:DML458693 DWH458685:DWH458693 EGD458685:EGD458693 EPZ458685:EPZ458693 EZV458685:EZV458693 FJR458685:FJR458693 FTN458685:FTN458693 GDJ458685:GDJ458693 GNF458685:GNF458693 GXB458685:GXB458693 HGX458685:HGX458693 HQT458685:HQT458693 IAP458685:IAP458693 IKL458685:IKL458693 IUH458685:IUH458693 JED458685:JED458693 JNZ458685:JNZ458693 JXV458685:JXV458693 KHR458685:KHR458693 KRN458685:KRN458693 LBJ458685:LBJ458693 LLF458685:LLF458693 LVB458685:LVB458693 MEX458685:MEX458693 MOT458685:MOT458693 MYP458685:MYP458693 NIL458685:NIL458693 NSH458685:NSH458693 OCD458685:OCD458693 OLZ458685:OLZ458693 OVV458685:OVV458693 PFR458685:PFR458693 PPN458685:PPN458693 PZJ458685:PZJ458693 QJF458685:QJF458693 QTB458685:QTB458693 RCX458685:RCX458693 RMT458685:RMT458693 RWP458685:RWP458693 SGL458685:SGL458693 SQH458685:SQH458693 TAD458685:TAD458693 TJZ458685:TJZ458693 TTV458685:TTV458693 UDR458685:UDR458693 UNN458685:UNN458693 UXJ458685:UXJ458693 VHF458685:VHF458693 VRB458685:VRB458693 WAX458685:WAX458693 WKT458685:WKT458693 WUP458685:WUP458693 D524221:E524229 ID524221:ID524229 RZ524221:RZ524229 ABV524221:ABV524229 ALR524221:ALR524229 AVN524221:AVN524229 BFJ524221:BFJ524229 BPF524221:BPF524229 BZB524221:BZB524229 CIX524221:CIX524229 CST524221:CST524229 DCP524221:DCP524229 DML524221:DML524229 DWH524221:DWH524229 EGD524221:EGD524229 EPZ524221:EPZ524229 EZV524221:EZV524229 FJR524221:FJR524229 FTN524221:FTN524229 GDJ524221:GDJ524229 GNF524221:GNF524229 GXB524221:GXB524229 HGX524221:HGX524229 HQT524221:HQT524229 IAP524221:IAP524229 IKL524221:IKL524229 IUH524221:IUH524229 JED524221:JED524229 JNZ524221:JNZ524229 JXV524221:JXV524229 KHR524221:KHR524229 KRN524221:KRN524229 LBJ524221:LBJ524229 LLF524221:LLF524229 LVB524221:LVB524229 MEX524221:MEX524229 MOT524221:MOT524229 MYP524221:MYP524229 NIL524221:NIL524229 NSH524221:NSH524229 OCD524221:OCD524229 OLZ524221:OLZ524229 OVV524221:OVV524229 PFR524221:PFR524229 PPN524221:PPN524229 PZJ524221:PZJ524229 QJF524221:QJF524229 QTB524221:QTB524229 RCX524221:RCX524229 RMT524221:RMT524229 RWP524221:RWP524229 SGL524221:SGL524229 SQH524221:SQH524229 TAD524221:TAD524229 TJZ524221:TJZ524229 TTV524221:TTV524229 UDR524221:UDR524229 UNN524221:UNN524229 UXJ524221:UXJ524229 VHF524221:VHF524229 VRB524221:VRB524229 WAX524221:WAX524229 WKT524221:WKT524229 WUP524221:WUP524229 D589757:E589765 ID589757:ID589765 RZ589757:RZ589765 ABV589757:ABV589765 ALR589757:ALR589765 AVN589757:AVN589765 BFJ589757:BFJ589765 BPF589757:BPF589765 BZB589757:BZB589765 CIX589757:CIX589765 CST589757:CST589765 DCP589757:DCP589765 DML589757:DML589765 DWH589757:DWH589765 EGD589757:EGD589765 EPZ589757:EPZ589765 EZV589757:EZV589765 FJR589757:FJR589765 FTN589757:FTN589765 GDJ589757:GDJ589765 GNF589757:GNF589765 GXB589757:GXB589765 HGX589757:HGX589765 HQT589757:HQT589765 IAP589757:IAP589765 IKL589757:IKL589765 IUH589757:IUH589765 JED589757:JED589765 JNZ589757:JNZ589765 JXV589757:JXV589765 KHR589757:KHR589765 KRN589757:KRN589765 LBJ589757:LBJ589765 LLF589757:LLF589765 LVB589757:LVB589765 MEX589757:MEX589765 MOT589757:MOT589765 MYP589757:MYP589765 NIL589757:NIL589765 NSH589757:NSH589765 OCD589757:OCD589765 OLZ589757:OLZ589765 OVV589757:OVV589765 PFR589757:PFR589765 PPN589757:PPN589765 PZJ589757:PZJ589765 QJF589757:QJF589765 QTB589757:QTB589765 RCX589757:RCX589765 RMT589757:RMT589765 RWP589757:RWP589765 SGL589757:SGL589765 SQH589757:SQH589765 TAD589757:TAD589765 TJZ589757:TJZ589765 TTV589757:TTV589765 UDR589757:UDR589765 UNN589757:UNN589765 UXJ589757:UXJ589765 VHF589757:VHF589765 VRB589757:VRB589765 WAX589757:WAX589765 WKT589757:WKT589765 WUP589757:WUP589765 D655293:E655301 ID655293:ID655301 RZ655293:RZ655301 ABV655293:ABV655301 ALR655293:ALR655301 AVN655293:AVN655301 BFJ655293:BFJ655301 BPF655293:BPF655301 BZB655293:BZB655301 CIX655293:CIX655301 CST655293:CST655301 DCP655293:DCP655301 DML655293:DML655301 DWH655293:DWH655301 EGD655293:EGD655301 EPZ655293:EPZ655301 EZV655293:EZV655301 FJR655293:FJR655301 FTN655293:FTN655301 GDJ655293:GDJ655301 GNF655293:GNF655301 GXB655293:GXB655301 HGX655293:HGX655301 HQT655293:HQT655301 IAP655293:IAP655301 IKL655293:IKL655301 IUH655293:IUH655301 JED655293:JED655301 JNZ655293:JNZ655301 JXV655293:JXV655301 KHR655293:KHR655301 KRN655293:KRN655301 LBJ655293:LBJ655301 LLF655293:LLF655301 LVB655293:LVB655301 MEX655293:MEX655301 MOT655293:MOT655301 MYP655293:MYP655301 NIL655293:NIL655301 NSH655293:NSH655301 OCD655293:OCD655301 OLZ655293:OLZ655301 OVV655293:OVV655301 PFR655293:PFR655301 PPN655293:PPN655301 PZJ655293:PZJ655301 QJF655293:QJF655301 QTB655293:QTB655301 RCX655293:RCX655301 RMT655293:RMT655301 RWP655293:RWP655301 SGL655293:SGL655301 SQH655293:SQH655301 TAD655293:TAD655301 TJZ655293:TJZ655301 TTV655293:TTV655301 UDR655293:UDR655301 UNN655293:UNN655301 UXJ655293:UXJ655301 VHF655293:VHF655301 VRB655293:VRB655301 WAX655293:WAX655301 WKT655293:WKT655301 WUP655293:WUP655301 D720829:E720837 ID720829:ID720837 RZ720829:RZ720837 ABV720829:ABV720837 ALR720829:ALR720837 AVN720829:AVN720837 BFJ720829:BFJ720837 BPF720829:BPF720837 BZB720829:BZB720837 CIX720829:CIX720837 CST720829:CST720837 DCP720829:DCP720837 DML720829:DML720837 DWH720829:DWH720837 EGD720829:EGD720837 EPZ720829:EPZ720837 EZV720829:EZV720837 FJR720829:FJR720837 FTN720829:FTN720837 GDJ720829:GDJ720837 GNF720829:GNF720837 GXB720829:GXB720837 HGX720829:HGX720837 HQT720829:HQT720837 IAP720829:IAP720837 IKL720829:IKL720837 IUH720829:IUH720837 JED720829:JED720837 JNZ720829:JNZ720837 JXV720829:JXV720837 KHR720829:KHR720837 KRN720829:KRN720837 LBJ720829:LBJ720837 LLF720829:LLF720837 LVB720829:LVB720837 MEX720829:MEX720837 MOT720829:MOT720837 MYP720829:MYP720837 NIL720829:NIL720837 NSH720829:NSH720837 OCD720829:OCD720837 OLZ720829:OLZ720837 OVV720829:OVV720837 PFR720829:PFR720837 PPN720829:PPN720837 PZJ720829:PZJ720837 QJF720829:QJF720837 QTB720829:QTB720837 RCX720829:RCX720837 RMT720829:RMT720837 RWP720829:RWP720837 SGL720829:SGL720837 SQH720829:SQH720837 TAD720829:TAD720837 TJZ720829:TJZ720837 TTV720829:TTV720837 UDR720829:UDR720837 UNN720829:UNN720837 UXJ720829:UXJ720837 VHF720829:VHF720837 VRB720829:VRB720837 WAX720829:WAX720837 WKT720829:WKT720837 WUP720829:WUP720837 D786365:E786373 ID786365:ID786373 RZ786365:RZ786373 ABV786365:ABV786373 ALR786365:ALR786373 AVN786365:AVN786373 BFJ786365:BFJ786373 BPF786365:BPF786373 BZB786365:BZB786373 CIX786365:CIX786373 CST786365:CST786373 DCP786365:DCP786373 DML786365:DML786373 DWH786365:DWH786373 EGD786365:EGD786373 EPZ786365:EPZ786373 EZV786365:EZV786373 FJR786365:FJR786373 FTN786365:FTN786373 GDJ786365:GDJ786373 GNF786365:GNF786373 GXB786365:GXB786373 HGX786365:HGX786373 HQT786365:HQT786373 IAP786365:IAP786373 IKL786365:IKL786373 IUH786365:IUH786373 JED786365:JED786373 JNZ786365:JNZ786373 JXV786365:JXV786373 KHR786365:KHR786373 KRN786365:KRN786373 LBJ786365:LBJ786373 LLF786365:LLF786373 LVB786365:LVB786373 MEX786365:MEX786373 MOT786365:MOT786373 MYP786365:MYP786373 NIL786365:NIL786373 NSH786365:NSH786373 OCD786365:OCD786373 OLZ786365:OLZ786373 OVV786365:OVV786373 PFR786365:PFR786373 PPN786365:PPN786373 PZJ786365:PZJ786373 QJF786365:QJF786373 QTB786365:QTB786373 RCX786365:RCX786373 RMT786365:RMT786373 RWP786365:RWP786373 SGL786365:SGL786373 SQH786365:SQH786373 TAD786365:TAD786373 TJZ786365:TJZ786373 TTV786365:TTV786373 UDR786365:UDR786373 UNN786365:UNN786373 UXJ786365:UXJ786373 VHF786365:VHF786373 VRB786365:VRB786373 WAX786365:WAX786373 WKT786365:WKT786373 WUP786365:WUP786373 D851901:E851909 ID851901:ID851909 RZ851901:RZ851909 ABV851901:ABV851909 ALR851901:ALR851909 AVN851901:AVN851909 BFJ851901:BFJ851909 BPF851901:BPF851909 BZB851901:BZB851909 CIX851901:CIX851909 CST851901:CST851909 DCP851901:DCP851909 DML851901:DML851909 DWH851901:DWH851909 EGD851901:EGD851909 EPZ851901:EPZ851909 EZV851901:EZV851909 FJR851901:FJR851909 FTN851901:FTN851909 GDJ851901:GDJ851909 GNF851901:GNF851909 GXB851901:GXB851909 HGX851901:HGX851909 HQT851901:HQT851909 IAP851901:IAP851909 IKL851901:IKL851909 IUH851901:IUH851909 JED851901:JED851909 JNZ851901:JNZ851909 JXV851901:JXV851909 KHR851901:KHR851909 KRN851901:KRN851909 LBJ851901:LBJ851909 LLF851901:LLF851909 LVB851901:LVB851909 MEX851901:MEX851909 MOT851901:MOT851909 MYP851901:MYP851909 NIL851901:NIL851909 NSH851901:NSH851909 OCD851901:OCD851909 OLZ851901:OLZ851909 OVV851901:OVV851909 PFR851901:PFR851909 PPN851901:PPN851909 PZJ851901:PZJ851909 QJF851901:QJF851909 QTB851901:QTB851909 RCX851901:RCX851909 RMT851901:RMT851909 RWP851901:RWP851909 SGL851901:SGL851909 SQH851901:SQH851909 TAD851901:TAD851909 TJZ851901:TJZ851909 TTV851901:TTV851909 UDR851901:UDR851909 UNN851901:UNN851909 UXJ851901:UXJ851909 VHF851901:VHF851909 VRB851901:VRB851909 WAX851901:WAX851909 WKT851901:WKT851909 WUP851901:WUP851909 D917437:E917445 ID917437:ID917445 RZ917437:RZ917445 ABV917437:ABV917445 ALR917437:ALR917445 AVN917437:AVN917445 BFJ917437:BFJ917445 BPF917437:BPF917445 BZB917437:BZB917445 CIX917437:CIX917445 CST917437:CST917445 DCP917437:DCP917445 DML917437:DML917445 DWH917437:DWH917445 EGD917437:EGD917445 EPZ917437:EPZ917445 EZV917437:EZV917445 FJR917437:FJR917445 FTN917437:FTN917445 GDJ917437:GDJ917445 GNF917437:GNF917445 GXB917437:GXB917445 HGX917437:HGX917445 HQT917437:HQT917445 IAP917437:IAP917445 IKL917437:IKL917445 IUH917437:IUH917445 JED917437:JED917445 JNZ917437:JNZ917445 JXV917437:JXV917445 KHR917437:KHR917445 KRN917437:KRN917445 LBJ917437:LBJ917445 LLF917437:LLF917445 LVB917437:LVB917445 MEX917437:MEX917445 MOT917437:MOT917445 MYP917437:MYP917445 NIL917437:NIL917445 NSH917437:NSH917445 OCD917437:OCD917445 OLZ917437:OLZ917445 OVV917437:OVV917445 PFR917437:PFR917445 PPN917437:PPN917445 PZJ917437:PZJ917445 QJF917437:QJF917445 QTB917437:QTB917445 RCX917437:RCX917445 RMT917437:RMT917445 RWP917437:RWP917445 SGL917437:SGL917445 SQH917437:SQH917445 TAD917437:TAD917445 TJZ917437:TJZ917445 TTV917437:TTV917445 UDR917437:UDR917445 UNN917437:UNN917445 UXJ917437:UXJ917445 VHF917437:VHF917445 VRB917437:VRB917445 WAX917437:WAX917445 WKT917437:WKT917445 WUP917437:WUP917445 D982973:E982981 ID982973:ID982981 RZ982973:RZ982981 ABV982973:ABV982981 ALR982973:ALR982981 AVN982973:AVN982981 BFJ982973:BFJ982981 BPF982973:BPF982981 BZB982973:BZB982981 CIX982973:CIX982981 CST982973:CST982981 DCP982973:DCP982981 DML982973:DML982981 DWH982973:DWH982981 EGD982973:EGD982981 EPZ982973:EPZ982981 EZV982973:EZV982981 FJR982973:FJR982981 FTN982973:FTN982981 GDJ982973:GDJ982981 GNF982973:GNF982981 GXB982973:GXB982981 HGX982973:HGX982981 HQT982973:HQT982981 IAP982973:IAP982981 IKL982973:IKL982981 IUH982973:IUH982981 JED982973:JED982981 JNZ982973:JNZ982981 JXV982973:JXV982981 KHR982973:KHR982981 KRN982973:KRN982981 LBJ982973:LBJ982981 LLF982973:LLF982981 LVB982973:LVB982981 MEX982973:MEX982981 MOT982973:MOT982981 MYP982973:MYP982981 NIL982973:NIL982981 NSH982973:NSH982981 OCD982973:OCD982981 OLZ982973:OLZ982981 OVV982973:OVV982981 PFR982973:PFR982981 PPN982973:PPN982981 PZJ982973:PZJ982981 QJF982973:QJF982981 QTB982973:QTB982981 RCX982973:RCX982981 RMT982973:RMT982981 RWP982973:RWP982981 SGL982973:SGL982981 SQH982973:SQH982981 TAD982973:TAD982981 TJZ982973:TJZ982981 TTV982973:TTV982981 UDR982973:UDR982981 UNN982973:UNN982981 UXJ982973:UXJ982981 VHF982973:VHF982981 VRB982973:VRB982981 WAX982973:WAX982981 WKT982973:WKT982981 ID9:ID10 WUP9:WUP10 WKT9:WKT10 WAX9:WAX10 VRB9:VRB10 VHF9:VHF10 UXJ9:UXJ10 UNN9:UNN10 UDR9:UDR10 TTV9:TTV10 TJZ9:TJZ10 TAD9:TAD10 SQH9:SQH10 SGL9:SGL10 RWP9:RWP10 RMT9:RMT10 RCX9:RCX10 QTB9:QTB10 QJF9:QJF10 PZJ9:PZJ10 PPN9:PPN10 PFR9:PFR10 OVV9:OVV10 OLZ9:OLZ10 OCD9:OCD10 NSH9:NSH10 NIL9:NIL10 MYP9:MYP10 MOT9:MOT10 MEX9:MEX10 LVB9:LVB10 LLF9:LLF10 LBJ9:LBJ10 KRN9:KRN10 KHR9:KHR10 JXV9:JXV10 JNZ9:JNZ10 JED9:JED10 IUH9:IUH10 IKL9:IKL10 IAP9:IAP10 HQT9:HQT10 HGX9:HGX10 GXB9:GXB10 GNF9:GNF10 GDJ9:GDJ10 FTN9:FTN10 FJR9:FJR10 EZV9:EZV10 EPZ9:EPZ10 EGD9:EGD10 DWH9:DWH10 DML9:DML10 DCP9:DCP10 CST9:CST10 CIX9:CIX10 BZB9:BZB10 BPF9:BPF10 BFJ9:BFJ10 AVN9:AVN10 ALR9:ALR10 ABV9:ABV10 RZ9:RZ10 D9:E10" xr:uid="{00000000-0002-0000-0400-000004000000}"/>
    <dataValidation allowBlank="1" showInputMessage="1" showErrorMessage="1" prompt="diligencie la dedicación del personal relacionado." sqref="WUL982973:WUL982981 HZ65458:HZ65466 RV65458:RV65466 ABR65458:ABR65466 ALN65458:ALN65466 AVJ65458:AVJ65466 BFF65458:BFF65466 BPB65458:BPB65466 BYX65458:BYX65466 CIT65458:CIT65466 CSP65458:CSP65466 DCL65458:DCL65466 DMH65458:DMH65466 DWD65458:DWD65466 EFZ65458:EFZ65466 EPV65458:EPV65466 EZR65458:EZR65466 FJN65458:FJN65466 FTJ65458:FTJ65466 GDF65458:GDF65466 GNB65458:GNB65466 GWX65458:GWX65466 HGT65458:HGT65466 HQP65458:HQP65466 IAL65458:IAL65466 IKH65458:IKH65466 IUD65458:IUD65466 JDZ65458:JDZ65466 JNV65458:JNV65466 JXR65458:JXR65466 KHN65458:KHN65466 KRJ65458:KRJ65466 LBF65458:LBF65466 LLB65458:LLB65466 LUX65458:LUX65466 MET65458:MET65466 MOP65458:MOP65466 MYL65458:MYL65466 NIH65458:NIH65466 NSD65458:NSD65466 OBZ65458:OBZ65466 OLV65458:OLV65466 OVR65458:OVR65466 PFN65458:PFN65466 PPJ65458:PPJ65466 PZF65458:PZF65466 QJB65458:QJB65466 QSX65458:QSX65466 RCT65458:RCT65466 RMP65458:RMP65466 RWL65458:RWL65466 SGH65458:SGH65466 SQD65458:SQD65466 SZZ65458:SZZ65466 TJV65458:TJV65466 TTR65458:TTR65466 UDN65458:UDN65466 UNJ65458:UNJ65466 UXF65458:UXF65466 VHB65458:VHB65466 VQX65458:VQX65466 WAT65458:WAT65466 WKP65458:WKP65466 WUL65458:WUL65466 HZ130994:HZ131002 RV130994:RV131002 ABR130994:ABR131002 ALN130994:ALN131002 AVJ130994:AVJ131002 BFF130994:BFF131002 BPB130994:BPB131002 BYX130994:BYX131002 CIT130994:CIT131002 CSP130994:CSP131002 DCL130994:DCL131002 DMH130994:DMH131002 DWD130994:DWD131002 EFZ130994:EFZ131002 EPV130994:EPV131002 EZR130994:EZR131002 FJN130994:FJN131002 FTJ130994:FTJ131002 GDF130994:GDF131002 GNB130994:GNB131002 GWX130994:GWX131002 HGT130994:HGT131002 HQP130994:HQP131002 IAL130994:IAL131002 IKH130994:IKH131002 IUD130994:IUD131002 JDZ130994:JDZ131002 JNV130994:JNV131002 JXR130994:JXR131002 KHN130994:KHN131002 KRJ130994:KRJ131002 LBF130994:LBF131002 LLB130994:LLB131002 LUX130994:LUX131002 MET130994:MET131002 MOP130994:MOP131002 MYL130994:MYL131002 NIH130994:NIH131002 NSD130994:NSD131002 OBZ130994:OBZ131002 OLV130994:OLV131002 OVR130994:OVR131002 PFN130994:PFN131002 PPJ130994:PPJ131002 PZF130994:PZF131002 QJB130994:QJB131002 QSX130994:QSX131002 RCT130994:RCT131002 RMP130994:RMP131002 RWL130994:RWL131002 SGH130994:SGH131002 SQD130994:SQD131002 SZZ130994:SZZ131002 TJV130994:TJV131002 TTR130994:TTR131002 UDN130994:UDN131002 UNJ130994:UNJ131002 UXF130994:UXF131002 VHB130994:VHB131002 VQX130994:VQX131002 WAT130994:WAT131002 WKP130994:WKP131002 WUL130994:WUL131002 HZ196530:HZ196538 RV196530:RV196538 ABR196530:ABR196538 ALN196530:ALN196538 AVJ196530:AVJ196538 BFF196530:BFF196538 BPB196530:BPB196538 BYX196530:BYX196538 CIT196530:CIT196538 CSP196530:CSP196538 DCL196530:DCL196538 DMH196530:DMH196538 DWD196530:DWD196538 EFZ196530:EFZ196538 EPV196530:EPV196538 EZR196530:EZR196538 FJN196530:FJN196538 FTJ196530:FTJ196538 GDF196530:GDF196538 GNB196530:GNB196538 GWX196530:GWX196538 HGT196530:HGT196538 HQP196530:HQP196538 IAL196530:IAL196538 IKH196530:IKH196538 IUD196530:IUD196538 JDZ196530:JDZ196538 JNV196530:JNV196538 JXR196530:JXR196538 KHN196530:KHN196538 KRJ196530:KRJ196538 LBF196530:LBF196538 LLB196530:LLB196538 LUX196530:LUX196538 MET196530:MET196538 MOP196530:MOP196538 MYL196530:MYL196538 NIH196530:NIH196538 NSD196530:NSD196538 OBZ196530:OBZ196538 OLV196530:OLV196538 OVR196530:OVR196538 PFN196530:PFN196538 PPJ196530:PPJ196538 PZF196530:PZF196538 QJB196530:QJB196538 QSX196530:QSX196538 RCT196530:RCT196538 RMP196530:RMP196538 RWL196530:RWL196538 SGH196530:SGH196538 SQD196530:SQD196538 SZZ196530:SZZ196538 TJV196530:TJV196538 TTR196530:TTR196538 UDN196530:UDN196538 UNJ196530:UNJ196538 UXF196530:UXF196538 VHB196530:VHB196538 VQX196530:VQX196538 WAT196530:WAT196538 WKP196530:WKP196538 WUL196530:WUL196538 HZ262066:HZ262074 RV262066:RV262074 ABR262066:ABR262074 ALN262066:ALN262074 AVJ262066:AVJ262074 BFF262066:BFF262074 BPB262066:BPB262074 BYX262066:BYX262074 CIT262066:CIT262074 CSP262066:CSP262074 DCL262066:DCL262074 DMH262066:DMH262074 DWD262066:DWD262074 EFZ262066:EFZ262074 EPV262066:EPV262074 EZR262066:EZR262074 FJN262066:FJN262074 FTJ262066:FTJ262074 GDF262066:GDF262074 GNB262066:GNB262074 GWX262066:GWX262074 HGT262066:HGT262074 HQP262066:HQP262074 IAL262066:IAL262074 IKH262066:IKH262074 IUD262066:IUD262074 JDZ262066:JDZ262074 JNV262066:JNV262074 JXR262066:JXR262074 KHN262066:KHN262074 KRJ262066:KRJ262074 LBF262066:LBF262074 LLB262066:LLB262074 LUX262066:LUX262074 MET262066:MET262074 MOP262066:MOP262074 MYL262066:MYL262074 NIH262066:NIH262074 NSD262066:NSD262074 OBZ262066:OBZ262074 OLV262066:OLV262074 OVR262066:OVR262074 PFN262066:PFN262074 PPJ262066:PPJ262074 PZF262066:PZF262074 QJB262066:QJB262074 QSX262066:QSX262074 RCT262066:RCT262074 RMP262066:RMP262074 RWL262066:RWL262074 SGH262066:SGH262074 SQD262066:SQD262074 SZZ262066:SZZ262074 TJV262066:TJV262074 TTR262066:TTR262074 UDN262066:UDN262074 UNJ262066:UNJ262074 UXF262066:UXF262074 VHB262066:VHB262074 VQX262066:VQX262074 WAT262066:WAT262074 WKP262066:WKP262074 WUL262066:WUL262074 HZ327602:HZ327610 RV327602:RV327610 ABR327602:ABR327610 ALN327602:ALN327610 AVJ327602:AVJ327610 BFF327602:BFF327610 BPB327602:BPB327610 BYX327602:BYX327610 CIT327602:CIT327610 CSP327602:CSP327610 DCL327602:DCL327610 DMH327602:DMH327610 DWD327602:DWD327610 EFZ327602:EFZ327610 EPV327602:EPV327610 EZR327602:EZR327610 FJN327602:FJN327610 FTJ327602:FTJ327610 GDF327602:GDF327610 GNB327602:GNB327610 GWX327602:GWX327610 HGT327602:HGT327610 HQP327602:HQP327610 IAL327602:IAL327610 IKH327602:IKH327610 IUD327602:IUD327610 JDZ327602:JDZ327610 JNV327602:JNV327610 JXR327602:JXR327610 KHN327602:KHN327610 KRJ327602:KRJ327610 LBF327602:LBF327610 LLB327602:LLB327610 LUX327602:LUX327610 MET327602:MET327610 MOP327602:MOP327610 MYL327602:MYL327610 NIH327602:NIH327610 NSD327602:NSD327610 OBZ327602:OBZ327610 OLV327602:OLV327610 OVR327602:OVR327610 PFN327602:PFN327610 PPJ327602:PPJ327610 PZF327602:PZF327610 QJB327602:QJB327610 QSX327602:QSX327610 RCT327602:RCT327610 RMP327602:RMP327610 RWL327602:RWL327610 SGH327602:SGH327610 SQD327602:SQD327610 SZZ327602:SZZ327610 TJV327602:TJV327610 TTR327602:TTR327610 UDN327602:UDN327610 UNJ327602:UNJ327610 UXF327602:UXF327610 VHB327602:VHB327610 VQX327602:VQX327610 WAT327602:WAT327610 WKP327602:WKP327610 WUL327602:WUL327610 HZ393138:HZ393146 RV393138:RV393146 ABR393138:ABR393146 ALN393138:ALN393146 AVJ393138:AVJ393146 BFF393138:BFF393146 BPB393138:BPB393146 BYX393138:BYX393146 CIT393138:CIT393146 CSP393138:CSP393146 DCL393138:DCL393146 DMH393138:DMH393146 DWD393138:DWD393146 EFZ393138:EFZ393146 EPV393138:EPV393146 EZR393138:EZR393146 FJN393138:FJN393146 FTJ393138:FTJ393146 GDF393138:GDF393146 GNB393138:GNB393146 GWX393138:GWX393146 HGT393138:HGT393146 HQP393138:HQP393146 IAL393138:IAL393146 IKH393138:IKH393146 IUD393138:IUD393146 JDZ393138:JDZ393146 JNV393138:JNV393146 JXR393138:JXR393146 KHN393138:KHN393146 KRJ393138:KRJ393146 LBF393138:LBF393146 LLB393138:LLB393146 LUX393138:LUX393146 MET393138:MET393146 MOP393138:MOP393146 MYL393138:MYL393146 NIH393138:NIH393146 NSD393138:NSD393146 OBZ393138:OBZ393146 OLV393138:OLV393146 OVR393138:OVR393146 PFN393138:PFN393146 PPJ393138:PPJ393146 PZF393138:PZF393146 QJB393138:QJB393146 QSX393138:QSX393146 RCT393138:RCT393146 RMP393138:RMP393146 RWL393138:RWL393146 SGH393138:SGH393146 SQD393138:SQD393146 SZZ393138:SZZ393146 TJV393138:TJV393146 TTR393138:TTR393146 UDN393138:UDN393146 UNJ393138:UNJ393146 UXF393138:UXF393146 VHB393138:VHB393146 VQX393138:VQX393146 WAT393138:WAT393146 WKP393138:WKP393146 WUL393138:WUL393146 HZ458674:HZ458682 RV458674:RV458682 ABR458674:ABR458682 ALN458674:ALN458682 AVJ458674:AVJ458682 BFF458674:BFF458682 BPB458674:BPB458682 BYX458674:BYX458682 CIT458674:CIT458682 CSP458674:CSP458682 DCL458674:DCL458682 DMH458674:DMH458682 DWD458674:DWD458682 EFZ458674:EFZ458682 EPV458674:EPV458682 EZR458674:EZR458682 FJN458674:FJN458682 FTJ458674:FTJ458682 GDF458674:GDF458682 GNB458674:GNB458682 GWX458674:GWX458682 HGT458674:HGT458682 HQP458674:HQP458682 IAL458674:IAL458682 IKH458674:IKH458682 IUD458674:IUD458682 JDZ458674:JDZ458682 JNV458674:JNV458682 JXR458674:JXR458682 KHN458674:KHN458682 KRJ458674:KRJ458682 LBF458674:LBF458682 LLB458674:LLB458682 LUX458674:LUX458682 MET458674:MET458682 MOP458674:MOP458682 MYL458674:MYL458682 NIH458674:NIH458682 NSD458674:NSD458682 OBZ458674:OBZ458682 OLV458674:OLV458682 OVR458674:OVR458682 PFN458674:PFN458682 PPJ458674:PPJ458682 PZF458674:PZF458682 QJB458674:QJB458682 QSX458674:QSX458682 RCT458674:RCT458682 RMP458674:RMP458682 RWL458674:RWL458682 SGH458674:SGH458682 SQD458674:SQD458682 SZZ458674:SZZ458682 TJV458674:TJV458682 TTR458674:TTR458682 UDN458674:UDN458682 UNJ458674:UNJ458682 UXF458674:UXF458682 VHB458674:VHB458682 VQX458674:VQX458682 WAT458674:WAT458682 WKP458674:WKP458682 WUL458674:WUL458682 HZ524210:HZ524218 RV524210:RV524218 ABR524210:ABR524218 ALN524210:ALN524218 AVJ524210:AVJ524218 BFF524210:BFF524218 BPB524210:BPB524218 BYX524210:BYX524218 CIT524210:CIT524218 CSP524210:CSP524218 DCL524210:DCL524218 DMH524210:DMH524218 DWD524210:DWD524218 EFZ524210:EFZ524218 EPV524210:EPV524218 EZR524210:EZR524218 FJN524210:FJN524218 FTJ524210:FTJ524218 GDF524210:GDF524218 GNB524210:GNB524218 GWX524210:GWX524218 HGT524210:HGT524218 HQP524210:HQP524218 IAL524210:IAL524218 IKH524210:IKH524218 IUD524210:IUD524218 JDZ524210:JDZ524218 JNV524210:JNV524218 JXR524210:JXR524218 KHN524210:KHN524218 KRJ524210:KRJ524218 LBF524210:LBF524218 LLB524210:LLB524218 LUX524210:LUX524218 MET524210:MET524218 MOP524210:MOP524218 MYL524210:MYL524218 NIH524210:NIH524218 NSD524210:NSD524218 OBZ524210:OBZ524218 OLV524210:OLV524218 OVR524210:OVR524218 PFN524210:PFN524218 PPJ524210:PPJ524218 PZF524210:PZF524218 QJB524210:QJB524218 QSX524210:QSX524218 RCT524210:RCT524218 RMP524210:RMP524218 RWL524210:RWL524218 SGH524210:SGH524218 SQD524210:SQD524218 SZZ524210:SZZ524218 TJV524210:TJV524218 TTR524210:TTR524218 UDN524210:UDN524218 UNJ524210:UNJ524218 UXF524210:UXF524218 VHB524210:VHB524218 VQX524210:VQX524218 WAT524210:WAT524218 WKP524210:WKP524218 WUL524210:WUL524218 HZ589746:HZ589754 RV589746:RV589754 ABR589746:ABR589754 ALN589746:ALN589754 AVJ589746:AVJ589754 BFF589746:BFF589754 BPB589746:BPB589754 BYX589746:BYX589754 CIT589746:CIT589754 CSP589746:CSP589754 DCL589746:DCL589754 DMH589746:DMH589754 DWD589746:DWD589754 EFZ589746:EFZ589754 EPV589746:EPV589754 EZR589746:EZR589754 FJN589746:FJN589754 FTJ589746:FTJ589754 GDF589746:GDF589754 GNB589746:GNB589754 GWX589746:GWX589754 HGT589746:HGT589754 HQP589746:HQP589754 IAL589746:IAL589754 IKH589746:IKH589754 IUD589746:IUD589754 JDZ589746:JDZ589754 JNV589746:JNV589754 JXR589746:JXR589754 KHN589746:KHN589754 KRJ589746:KRJ589754 LBF589746:LBF589754 LLB589746:LLB589754 LUX589746:LUX589754 MET589746:MET589754 MOP589746:MOP589754 MYL589746:MYL589754 NIH589746:NIH589754 NSD589746:NSD589754 OBZ589746:OBZ589754 OLV589746:OLV589754 OVR589746:OVR589754 PFN589746:PFN589754 PPJ589746:PPJ589754 PZF589746:PZF589754 QJB589746:QJB589754 QSX589746:QSX589754 RCT589746:RCT589754 RMP589746:RMP589754 RWL589746:RWL589754 SGH589746:SGH589754 SQD589746:SQD589754 SZZ589746:SZZ589754 TJV589746:TJV589754 TTR589746:TTR589754 UDN589746:UDN589754 UNJ589746:UNJ589754 UXF589746:UXF589754 VHB589746:VHB589754 VQX589746:VQX589754 WAT589746:WAT589754 WKP589746:WKP589754 WUL589746:WUL589754 HZ655282:HZ655290 RV655282:RV655290 ABR655282:ABR655290 ALN655282:ALN655290 AVJ655282:AVJ655290 BFF655282:BFF655290 BPB655282:BPB655290 BYX655282:BYX655290 CIT655282:CIT655290 CSP655282:CSP655290 DCL655282:DCL655290 DMH655282:DMH655290 DWD655282:DWD655290 EFZ655282:EFZ655290 EPV655282:EPV655290 EZR655282:EZR655290 FJN655282:FJN655290 FTJ655282:FTJ655290 GDF655282:GDF655290 GNB655282:GNB655290 GWX655282:GWX655290 HGT655282:HGT655290 HQP655282:HQP655290 IAL655282:IAL655290 IKH655282:IKH655290 IUD655282:IUD655290 JDZ655282:JDZ655290 JNV655282:JNV655290 JXR655282:JXR655290 KHN655282:KHN655290 KRJ655282:KRJ655290 LBF655282:LBF655290 LLB655282:LLB655290 LUX655282:LUX655290 MET655282:MET655290 MOP655282:MOP655290 MYL655282:MYL655290 NIH655282:NIH655290 NSD655282:NSD655290 OBZ655282:OBZ655290 OLV655282:OLV655290 OVR655282:OVR655290 PFN655282:PFN655290 PPJ655282:PPJ655290 PZF655282:PZF655290 QJB655282:QJB655290 QSX655282:QSX655290 RCT655282:RCT655290 RMP655282:RMP655290 RWL655282:RWL655290 SGH655282:SGH655290 SQD655282:SQD655290 SZZ655282:SZZ655290 TJV655282:TJV655290 TTR655282:TTR655290 UDN655282:UDN655290 UNJ655282:UNJ655290 UXF655282:UXF655290 VHB655282:VHB655290 VQX655282:VQX655290 WAT655282:WAT655290 WKP655282:WKP655290 WUL655282:WUL655290 HZ720818:HZ720826 RV720818:RV720826 ABR720818:ABR720826 ALN720818:ALN720826 AVJ720818:AVJ720826 BFF720818:BFF720826 BPB720818:BPB720826 BYX720818:BYX720826 CIT720818:CIT720826 CSP720818:CSP720826 DCL720818:DCL720826 DMH720818:DMH720826 DWD720818:DWD720826 EFZ720818:EFZ720826 EPV720818:EPV720826 EZR720818:EZR720826 FJN720818:FJN720826 FTJ720818:FTJ720826 GDF720818:GDF720826 GNB720818:GNB720826 GWX720818:GWX720826 HGT720818:HGT720826 HQP720818:HQP720826 IAL720818:IAL720826 IKH720818:IKH720826 IUD720818:IUD720826 JDZ720818:JDZ720826 JNV720818:JNV720826 JXR720818:JXR720826 KHN720818:KHN720826 KRJ720818:KRJ720826 LBF720818:LBF720826 LLB720818:LLB720826 LUX720818:LUX720826 MET720818:MET720826 MOP720818:MOP720826 MYL720818:MYL720826 NIH720818:NIH720826 NSD720818:NSD720826 OBZ720818:OBZ720826 OLV720818:OLV720826 OVR720818:OVR720826 PFN720818:PFN720826 PPJ720818:PPJ720826 PZF720818:PZF720826 QJB720818:QJB720826 QSX720818:QSX720826 RCT720818:RCT720826 RMP720818:RMP720826 RWL720818:RWL720826 SGH720818:SGH720826 SQD720818:SQD720826 SZZ720818:SZZ720826 TJV720818:TJV720826 TTR720818:TTR720826 UDN720818:UDN720826 UNJ720818:UNJ720826 UXF720818:UXF720826 VHB720818:VHB720826 VQX720818:VQX720826 WAT720818:WAT720826 WKP720818:WKP720826 WUL720818:WUL720826 HZ786354:HZ786362 RV786354:RV786362 ABR786354:ABR786362 ALN786354:ALN786362 AVJ786354:AVJ786362 BFF786354:BFF786362 BPB786354:BPB786362 BYX786354:BYX786362 CIT786354:CIT786362 CSP786354:CSP786362 DCL786354:DCL786362 DMH786354:DMH786362 DWD786354:DWD786362 EFZ786354:EFZ786362 EPV786354:EPV786362 EZR786354:EZR786362 FJN786354:FJN786362 FTJ786354:FTJ786362 GDF786354:GDF786362 GNB786354:GNB786362 GWX786354:GWX786362 HGT786354:HGT786362 HQP786354:HQP786362 IAL786354:IAL786362 IKH786354:IKH786362 IUD786354:IUD786362 JDZ786354:JDZ786362 JNV786354:JNV786362 JXR786354:JXR786362 KHN786354:KHN786362 KRJ786354:KRJ786362 LBF786354:LBF786362 LLB786354:LLB786362 LUX786354:LUX786362 MET786354:MET786362 MOP786354:MOP786362 MYL786354:MYL786362 NIH786354:NIH786362 NSD786354:NSD786362 OBZ786354:OBZ786362 OLV786354:OLV786362 OVR786354:OVR786362 PFN786354:PFN786362 PPJ786354:PPJ786362 PZF786354:PZF786362 QJB786354:QJB786362 QSX786354:QSX786362 RCT786354:RCT786362 RMP786354:RMP786362 RWL786354:RWL786362 SGH786354:SGH786362 SQD786354:SQD786362 SZZ786354:SZZ786362 TJV786354:TJV786362 TTR786354:TTR786362 UDN786354:UDN786362 UNJ786354:UNJ786362 UXF786354:UXF786362 VHB786354:VHB786362 VQX786354:VQX786362 WAT786354:WAT786362 WKP786354:WKP786362 WUL786354:WUL786362 HZ851890:HZ851898 RV851890:RV851898 ABR851890:ABR851898 ALN851890:ALN851898 AVJ851890:AVJ851898 BFF851890:BFF851898 BPB851890:BPB851898 BYX851890:BYX851898 CIT851890:CIT851898 CSP851890:CSP851898 DCL851890:DCL851898 DMH851890:DMH851898 DWD851890:DWD851898 EFZ851890:EFZ851898 EPV851890:EPV851898 EZR851890:EZR851898 FJN851890:FJN851898 FTJ851890:FTJ851898 GDF851890:GDF851898 GNB851890:GNB851898 GWX851890:GWX851898 HGT851890:HGT851898 HQP851890:HQP851898 IAL851890:IAL851898 IKH851890:IKH851898 IUD851890:IUD851898 JDZ851890:JDZ851898 JNV851890:JNV851898 JXR851890:JXR851898 KHN851890:KHN851898 KRJ851890:KRJ851898 LBF851890:LBF851898 LLB851890:LLB851898 LUX851890:LUX851898 MET851890:MET851898 MOP851890:MOP851898 MYL851890:MYL851898 NIH851890:NIH851898 NSD851890:NSD851898 OBZ851890:OBZ851898 OLV851890:OLV851898 OVR851890:OVR851898 PFN851890:PFN851898 PPJ851890:PPJ851898 PZF851890:PZF851898 QJB851890:QJB851898 QSX851890:QSX851898 RCT851890:RCT851898 RMP851890:RMP851898 RWL851890:RWL851898 SGH851890:SGH851898 SQD851890:SQD851898 SZZ851890:SZZ851898 TJV851890:TJV851898 TTR851890:TTR851898 UDN851890:UDN851898 UNJ851890:UNJ851898 UXF851890:UXF851898 VHB851890:VHB851898 VQX851890:VQX851898 WAT851890:WAT851898 WKP851890:WKP851898 WUL851890:WUL851898 HZ917426:HZ917434 RV917426:RV917434 ABR917426:ABR917434 ALN917426:ALN917434 AVJ917426:AVJ917434 BFF917426:BFF917434 BPB917426:BPB917434 BYX917426:BYX917434 CIT917426:CIT917434 CSP917426:CSP917434 DCL917426:DCL917434 DMH917426:DMH917434 DWD917426:DWD917434 EFZ917426:EFZ917434 EPV917426:EPV917434 EZR917426:EZR917434 FJN917426:FJN917434 FTJ917426:FTJ917434 GDF917426:GDF917434 GNB917426:GNB917434 GWX917426:GWX917434 HGT917426:HGT917434 HQP917426:HQP917434 IAL917426:IAL917434 IKH917426:IKH917434 IUD917426:IUD917434 JDZ917426:JDZ917434 JNV917426:JNV917434 JXR917426:JXR917434 KHN917426:KHN917434 KRJ917426:KRJ917434 LBF917426:LBF917434 LLB917426:LLB917434 LUX917426:LUX917434 MET917426:MET917434 MOP917426:MOP917434 MYL917426:MYL917434 NIH917426:NIH917434 NSD917426:NSD917434 OBZ917426:OBZ917434 OLV917426:OLV917434 OVR917426:OVR917434 PFN917426:PFN917434 PPJ917426:PPJ917434 PZF917426:PZF917434 QJB917426:QJB917434 QSX917426:QSX917434 RCT917426:RCT917434 RMP917426:RMP917434 RWL917426:RWL917434 SGH917426:SGH917434 SQD917426:SQD917434 SZZ917426:SZZ917434 TJV917426:TJV917434 TTR917426:TTR917434 UDN917426:UDN917434 UNJ917426:UNJ917434 UXF917426:UXF917434 VHB917426:VHB917434 VQX917426:VQX917434 WAT917426:WAT917434 WKP917426:WKP917434 WUL917426:WUL917434 HZ982962:HZ982970 RV982962:RV982970 ABR982962:ABR982970 ALN982962:ALN982970 AVJ982962:AVJ982970 BFF982962:BFF982970 BPB982962:BPB982970 BYX982962:BYX982970 CIT982962:CIT982970 CSP982962:CSP982970 DCL982962:DCL982970 DMH982962:DMH982970 DWD982962:DWD982970 EFZ982962:EFZ982970 EPV982962:EPV982970 EZR982962:EZR982970 FJN982962:FJN982970 FTJ982962:FTJ982970 GDF982962:GDF982970 GNB982962:GNB982970 GWX982962:GWX982970 HGT982962:HGT982970 HQP982962:HQP982970 IAL982962:IAL982970 IKH982962:IKH982970 IUD982962:IUD982970 JDZ982962:JDZ982970 JNV982962:JNV982970 JXR982962:JXR982970 KHN982962:KHN982970 KRJ982962:KRJ982970 LBF982962:LBF982970 LLB982962:LLB982970 LUX982962:LUX982970 MET982962:MET982970 MOP982962:MOP982970 MYL982962:MYL982970 NIH982962:NIH982970 NSD982962:NSD982970 OBZ982962:OBZ982970 OLV982962:OLV982970 OVR982962:OVR982970 PFN982962:PFN982970 PPJ982962:PPJ982970 PZF982962:PZF982970 QJB982962:QJB982970 QSX982962:QSX982970 RCT982962:RCT982970 RMP982962:RMP982970 RWL982962:RWL982970 SGH982962:SGH982970 SQD982962:SQD982970 SZZ982962:SZZ982970 TJV982962:TJV982970 TTR982962:TTR982970 UDN982962:UDN982970 UNJ982962:UNJ982970 UXF982962:UXF982970 VHB982962:VHB982970 VQX982962:VQX982970 WAT982962:WAT982970 WKP982962:WKP982970 WUL982962:WUL982970 HZ65469:HZ65477 RV65469:RV65477 ABR65469:ABR65477 ALN65469:ALN65477 AVJ65469:AVJ65477 BFF65469:BFF65477 BPB65469:BPB65477 BYX65469:BYX65477 CIT65469:CIT65477 CSP65469:CSP65477 DCL65469:DCL65477 DMH65469:DMH65477 DWD65469:DWD65477 EFZ65469:EFZ65477 EPV65469:EPV65477 EZR65469:EZR65477 FJN65469:FJN65477 FTJ65469:FTJ65477 GDF65469:GDF65477 GNB65469:GNB65477 GWX65469:GWX65477 HGT65469:HGT65477 HQP65469:HQP65477 IAL65469:IAL65477 IKH65469:IKH65477 IUD65469:IUD65477 JDZ65469:JDZ65477 JNV65469:JNV65477 JXR65469:JXR65477 KHN65469:KHN65477 KRJ65469:KRJ65477 LBF65469:LBF65477 LLB65469:LLB65477 LUX65469:LUX65477 MET65469:MET65477 MOP65469:MOP65477 MYL65469:MYL65477 NIH65469:NIH65477 NSD65469:NSD65477 OBZ65469:OBZ65477 OLV65469:OLV65477 OVR65469:OVR65477 PFN65469:PFN65477 PPJ65469:PPJ65477 PZF65469:PZF65477 QJB65469:QJB65477 QSX65469:QSX65477 RCT65469:RCT65477 RMP65469:RMP65477 RWL65469:RWL65477 SGH65469:SGH65477 SQD65469:SQD65477 SZZ65469:SZZ65477 TJV65469:TJV65477 TTR65469:TTR65477 UDN65469:UDN65477 UNJ65469:UNJ65477 UXF65469:UXF65477 VHB65469:VHB65477 VQX65469:VQX65477 WAT65469:WAT65477 WKP65469:WKP65477 WUL65469:WUL65477 HZ131005:HZ131013 RV131005:RV131013 ABR131005:ABR131013 ALN131005:ALN131013 AVJ131005:AVJ131013 BFF131005:BFF131013 BPB131005:BPB131013 BYX131005:BYX131013 CIT131005:CIT131013 CSP131005:CSP131013 DCL131005:DCL131013 DMH131005:DMH131013 DWD131005:DWD131013 EFZ131005:EFZ131013 EPV131005:EPV131013 EZR131005:EZR131013 FJN131005:FJN131013 FTJ131005:FTJ131013 GDF131005:GDF131013 GNB131005:GNB131013 GWX131005:GWX131013 HGT131005:HGT131013 HQP131005:HQP131013 IAL131005:IAL131013 IKH131005:IKH131013 IUD131005:IUD131013 JDZ131005:JDZ131013 JNV131005:JNV131013 JXR131005:JXR131013 KHN131005:KHN131013 KRJ131005:KRJ131013 LBF131005:LBF131013 LLB131005:LLB131013 LUX131005:LUX131013 MET131005:MET131013 MOP131005:MOP131013 MYL131005:MYL131013 NIH131005:NIH131013 NSD131005:NSD131013 OBZ131005:OBZ131013 OLV131005:OLV131013 OVR131005:OVR131013 PFN131005:PFN131013 PPJ131005:PPJ131013 PZF131005:PZF131013 QJB131005:QJB131013 QSX131005:QSX131013 RCT131005:RCT131013 RMP131005:RMP131013 RWL131005:RWL131013 SGH131005:SGH131013 SQD131005:SQD131013 SZZ131005:SZZ131013 TJV131005:TJV131013 TTR131005:TTR131013 UDN131005:UDN131013 UNJ131005:UNJ131013 UXF131005:UXF131013 VHB131005:VHB131013 VQX131005:VQX131013 WAT131005:WAT131013 WKP131005:WKP131013 WUL131005:WUL131013 HZ196541:HZ196549 RV196541:RV196549 ABR196541:ABR196549 ALN196541:ALN196549 AVJ196541:AVJ196549 BFF196541:BFF196549 BPB196541:BPB196549 BYX196541:BYX196549 CIT196541:CIT196549 CSP196541:CSP196549 DCL196541:DCL196549 DMH196541:DMH196549 DWD196541:DWD196549 EFZ196541:EFZ196549 EPV196541:EPV196549 EZR196541:EZR196549 FJN196541:FJN196549 FTJ196541:FTJ196549 GDF196541:GDF196549 GNB196541:GNB196549 GWX196541:GWX196549 HGT196541:HGT196549 HQP196541:HQP196549 IAL196541:IAL196549 IKH196541:IKH196549 IUD196541:IUD196549 JDZ196541:JDZ196549 JNV196541:JNV196549 JXR196541:JXR196549 KHN196541:KHN196549 KRJ196541:KRJ196549 LBF196541:LBF196549 LLB196541:LLB196549 LUX196541:LUX196549 MET196541:MET196549 MOP196541:MOP196549 MYL196541:MYL196549 NIH196541:NIH196549 NSD196541:NSD196549 OBZ196541:OBZ196549 OLV196541:OLV196549 OVR196541:OVR196549 PFN196541:PFN196549 PPJ196541:PPJ196549 PZF196541:PZF196549 QJB196541:QJB196549 QSX196541:QSX196549 RCT196541:RCT196549 RMP196541:RMP196549 RWL196541:RWL196549 SGH196541:SGH196549 SQD196541:SQD196549 SZZ196541:SZZ196549 TJV196541:TJV196549 TTR196541:TTR196549 UDN196541:UDN196549 UNJ196541:UNJ196549 UXF196541:UXF196549 VHB196541:VHB196549 VQX196541:VQX196549 WAT196541:WAT196549 WKP196541:WKP196549 WUL196541:WUL196549 HZ262077:HZ262085 RV262077:RV262085 ABR262077:ABR262085 ALN262077:ALN262085 AVJ262077:AVJ262085 BFF262077:BFF262085 BPB262077:BPB262085 BYX262077:BYX262085 CIT262077:CIT262085 CSP262077:CSP262085 DCL262077:DCL262085 DMH262077:DMH262085 DWD262077:DWD262085 EFZ262077:EFZ262085 EPV262077:EPV262085 EZR262077:EZR262085 FJN262077:FJN262085 FTJ262077:FTJ262085 GDF262077:GDF262085 GNB262077:GNB262085 GWX262077:GWX262085 HGT262077:HGT262085 HQP262077:HQP262085 IAL262077:IAL262085 IKH262077:IKH262085 IUD262077:IUD262085 JDZ262077:JDZ262085 JNV262077:JNV262085 JXR262077:JXR262085 KHN262077:KHN262085 KRJ262077:KRJ262085 LBF262077:LBF262085 LLB262077:LLB262085 LUX262077:LUX262085 MET262077:MET262085 MOP262077:MOP262085 MYL262077:MYL262085 NIH262077:NIH262085 NSD262077:NSD262085 OBZ262077:OBZ262085 OLV262077:OLV262085 OVR262077:OVR262085 PFN262077:PFN262085 PPJ262077:PPJ262085 PZF262077:PZF262085 QJB262077:QJB262085 QSX262077:QSX262085 RCT262077:RCT262085 RMP262077:RMP262085 RWL262077:RWL262085 SGH262077:SGH262085 SQD262077:SQD262085 SZZ262077:SZZ262085 TJV262077:TJV262085 TTR262077:TTR262085 UDN262077:UDN262085 UNJ262077:UNJ262085 UXF262077:UXF262085 VHB262077:VHB262085 VQX262077:VQX262085 WAT262077:WAT262085 WKP262077:WKP262085 WUL262077:WUL262085 HZ327613:HZ327621 RV327613:RV327621 ABR327613:ABR327621 ALN327613:ALN327621 AVJ327613:AVJ327621 BFF327613:BFF327621 BPB327613:BPB327621 BYX327613:BYX327621 CIT327613:CIT327621 CSP327613:CSP327621 DCL327613:DCL327621 DMH327613:DMH327621 DWD327613:DWD327621 EFZ327613:EFZ327621 EPV327613:EPV327621 EZR327613:EZR327621 FJN327613:FJN327621 FTJ327613:FTJ327621 GDF327613:GDF327621 GNB327613:GNB327621 GWX327613:GWX327621 HGT327613:HGT327621 HQP327613:HQP327621 IAL327613:IAL327621 IKH327613:IKH327621 IUD327613:IUD327621 JDZ327613:JDZ327621 JNV327613:JNV327621 JXR327613:JXR327621 KHN327613:KHN327621 KRJ327613:KRJ327621 LBF327613:LBF327621 LLB327613:LLB327621 LUX327613:LUX327621 MET327613:MET327621 MOP327613:MOP327621 MYL327613:MYL327621 NIH327613:NIH327621 NSD327613:NSD327621 OBZ327613:OBZ327621 OLV327613:OLV327621 OVR327613:OVR327621 PFN327613:PFN327621 PPJ327613:PPJ327621 PZF327613:PZF327621 QJB327613:QJB327621 QSX327613:QSX327621 RCT327613:RCT327621 RMP327613:RMP327621 RWL327613:RWL327621 SGH327613:SGH327621 SQD327613:SQD327621 SZZ327613:SZZ327621 TJV327613:TJV327621 TTR327613:TTR327621 UDN327613:UDN327621 UNJ327613:UNJ327621 UXF327613:UXF327621 VHB327613:VHB327621 VQX327613:VQX327621 WAT327613:WAT327621 WKP327613:WKP327621 WUL327613:WUL327621 HZ393149:HZ393157 RV393149:RV393157 ABR393149:ABR393157 ALN393149:ALN393157 AVJ393149:AVJ393157 BFF393149:BFF393157 BPB393149:BPB393157 BYX393149:BYX393157 CIT393149:CIT393157 CSP393149:CSP393157 DCL393149:DCL393157 DMH393149:DMH393157 DWD393149:DWD393157 EFZ393149:EFZ393157 EPV393149:EPV393157 EZR393149:EZR393157 FJN393149:FJN393157 FTJ393149:FTJ393157 GDF393149:GDF393157 GNB393149:GNB393157 GWX393149:GWX393157 HGT393149:HGT393157 HQP393149:HQP393157 IAL393149:IAL393157 IKH393149:IKH393157 IUD393149:IUD393157 JDZ393149:JDZ393157 JNV393149:JNV393157 JXR393149:JXR393157 KHN393149:KHN393157 KRJ393149:KRJ393157 LBF393149:LBF393157 LLB393149:LLB393157 LUX393149:LUX393157 MET393149:MET393157 MOP393149:MOP393157 MYL393149:MYL393157 NIH393149:NIH393157 NSD393149:NSD393157 OBZ393149:OBZ393157 OLV393149:OLV393157 OVR393149:OVR393157 PFN393149:PFN393157 PPJ393149:PPJ393157 PZF393149:PZF393157 QJB393149:QJB393157 QSX393149:QSX393157 RCT393149:RCT393157 RMP393149:RMP393157 RWL393149:RWL393157 SGH393149:SGH393157 SQD393149:SQD393157 SZZ393149:SZZ393157 TJV393149:TJV393157 TTR393149:TTR393157 UDN393149:UDN393157 UNJ393149:UNJ393157 UXF393149:UXF393157 VHB393149:VHB393157 VQX393149:VQX393157 WAT393149:WAT393157 WKP393149:WKP393157 WUL393149:WUL393157 HZ458685:HZ458693 RV458685:RV458693 ABR458685:ABR458693 ALN458685:ALN458693 AVJ458685:AVJ458693 BFF458685:BFF458693 BPB458685:BPB458693 BYX458685:BYX458693 CIT458685:CIT458693 CSP458685:CSP458693 DCL458685:DCL458693 DMH458685:DMH458693 DWD458685:DWD458693 EFZ458685:EFZ458693 EPV458685:EPV458693 EZR458685:EZR458693 FJN458685:FJN458693 FTJ458685:FTJ458693 GDF458685:GDF458693 GNB458685:GNB458693 GWX458685:GWX458693 HGT458685:HGT458693 HQP458685:HQP458693 IAL458685:IAL458693 IKH458685:IKH458693 IUD458685:IUD458693 JDZ458685:JDZ458693 JNV458685:JNV458693 JXR458685:JXR458693 KHN458685:KHN458693 KRJ458685:KRJ458693 LBF458685:LBF458693 LLB458685:LLB458693 LUX458685:LUX458693 MET458685:MET458693 MOP458685:MOP458693 MYL458685:MYL458693 NIH458685:NIH458693 NSD458685:NSD458693 OBZ458685:OBZ458693 OLV458685:OLV458693 OVR458685:OVR458693 PFN458685:PFN458693 PPJ458685:PPJ458693 PZF458685:PZF458693 QJB458685:QJB458693 QSX458685:QSX458693 RCT458685:RCT458693 RMP458685:RMP458693 RWL458685:RWL458693 SGH458685:SGH458693 SQD458685:SQD458693 SZZ458685:SZZ458693 TJV458685:TJV458693 TTR458685:TTR458693 UDN458685:UDN458693 UNJ458685:UNJ458693 UXF458685:UXF458693 VHB458685:VHB458693 VQX458685:VQX458693 WAT458685:WAT458693 WKP458685:WKP458693 WUL458685:WUL458693 HZ524221:HZ524229 RV524221:RV524229 ABR524221:ABR524229 ALN524221:ALN524229 AVJ524221:AVJ524229 BFF524221:BFF524229 BPB524221:BPB524229 BYX524221:BYX524229 CIT524221:CIT524229 CSP524221:CSP524229 DCL524221:DCL524229 DMH524221:DMH524229 DWD524221:DWD524229 EFZ524221:EFZ524229 EPV524221:EPV524229 EZR524221:EZR524229 FJN524221:FJN524229 FTJ524221:FTJ524229 GDF524221:GDF524229 GNB524221:GNB524229 GWX524221:GWX524229 HGT524221:HGT524229 HQP524221:HQP524229 IAL524221:IAL524229 IKH524221:IKH524229 IUD524221:IUD524229 JDZ524221:JDZ524229 JNV524221:JNV524229 JXR524221:JXR524229 KHN524221:KHN524229 KRJ524221:KRJ524229 LBF524221:LBF524229 LLB524221:LLB524229 LUX524221:LUX524229 MET524221:MET524229 MOP524221:MOP524229 MYL524221:MYL524229 NIH524221:NIH524229 NSD524221:NSD524229 OBZ524221:OBZ524229 OLV524221:OLV524229 OVR524221:OVR524229 PFN524221:PFN524229 PPJ524221:PPJ524229 PZF524221:PZF524229 QJB524221:QJB524229 QSX524221:QSX524229 RCT524221:RCT524229 RMP524221:RMP524229 RWL524221:RWL524229 SGH524221:SGH524229 SQD524221:SQD524229 SZZ524221:SZZ524229 TJV524221:TJV524229 TTR524221:TTR524229 UDN524221:UDN524229 UNJ524221:UNJ524229 UXF524221:UXF524229 VHB524221:VHB524229 VQX524221:VQX524229 WAT524221:WAT524229 WKP524221:WKP524229 WUL524221:WUL524229 HZ589757:HZ589765 RV589757:RV589765 ABR589757:ABR589765 ALN589757:ALN589765 AVJ589757:AVJ589765 BFF589757:BFF589765 BPB589757:BPB589765 BYX589757:BYX589765 CIT589757:CIT589765 CSP589757:CSP589765 DCL589757:DCL589765 DMH589757:DMH589765 DWD589757:DWD589765 EFZ589757:EFZ589765 EPV589757:EPV589765 EZR589757:EZR589765 FJN589757:FJN589765 FTJ589757:FTJ589765 GDF589757:GDF589765 GNB589757:GNB589765 GWX589757:GWX589765 HGT589757:HGT589765 HQP589757:HQP589765 IAL589757:IAL589765 IKH589757:IKH589765 IUD589757:IUD589765 JDZ589757:JDZ589765 JNV589757:JNV589765 JXR589757:JXR589765 KHN589757:KHN589765 KRJ589757:KRJ589765 LBF589757:LBF589765 LLB589757:LLB589765 LUX589757:LUX589765 MET589757:MET589765 MOP589757:MOP589765 MYL589757:MYL589765 NIH589757:NIH589765 NSD589757:NSD589765 OBZ589757:OBZ589765 OLV589757:OLV589765 OVR589757:OVR589765 PFN589757:PFN589765 PPJ589757:PPJ589765 PZF589757:PZF589765 QJB589757:QJB589765 QSX589757:QSX589765 RCT589757:RCT589765 RMP589757:RMP589765 RWL589757:RWL589765 SGH589757:SGH589765 SQD589757:SQD589765 SZZ589757:SZZ589765 TJV589757:TJV589765 TTR589757:TTR589765 UDN589757:UDN589765 UNJ589757:UNJ589765 UXF589757:UXF589765 VHB589757:VHB589765 VQX589757:VQX589765 WAT589757:WAT589765 WKP589757:WKP589765 WUL589757:WUL589765 HZ655293:HZ655301 RV655293:RV655301 ABR655293:ABR655301 ALN655293:ALN655301 AVJ655293:AVJ655301 BFF655293:BFF655301 BPB655293:BPB655301 BYX655293:BYX655301 CIT655293:CIT655301 CSP655293:CSP655301 DCL655293:DCL655301 DMH655293:DMH655301 DWD655293:DWD655301 EFZ655293:EFZ655301 EPV655293:EPV655301 EZR655293:EZR655301 FJN655293:FJN655301 FTJ655293:FTJ655301 GDF655293:GDF655301 GNB655293:GNB655301 GWX655293:GWX655301 HGT655293:HGT655301 HQP655293:HQP655301 IAL655293:IAL655301 IKH655293:IKH655301 IUD655293:IUD655301 JDZ655293:JDZ655301 JNV655293:JNV655301 JXR655293:JXR655301 KHN655293:KHN655301 KRJ655293:KRJ655301 LBF655293:LBF655301 LLB655293:LLB655301 LUX655293:LUX655301 MET655293:MET655301 MOP655293:MOP655301 MYL655293:MYL655301 NIH655293:NIH655301 NSD655293:NSD655301 OBZ655293:OBZ655301 OLV655293:OLV655301 OVR655293:OVR655301 PFN655293:PFN655301 PPJ655293:PPJ655301 PZF655293:PZF655301 QJB655293:QJB655301 QSX655293:QSX655301 RCT655293:RCT655301 RMP655293:RMP655301 RWL655293:RWL655301 SGH655293:SGH655301 SQD655293:SQD655301 SZZ655293:SZZ655301 TJV655293:TJV655301 TTR655293:TTR655301 UDN655293:UDN655301 UNJ655293:UNJ655301 UXF655293:UXF655301 VHB655293:VHB655301 VQX655293:VQX655301 WAT655293:WAT655301 WKP655293:WKP655301 WUL655293:WUL655301 HZ720829:HZ720837 RV720829:RV720837 ABR720829:ABR720837 ALN720829:ALN720837 AVJ720829:AVJ720837 BFF720829:BFF720837 BPB720829:BPB720837 BYX720829:BYX720837 CIT720829:CIT720837 CSP720829:CSP720837 DCL720829:DCL720837 DMH720829:DMH720837 DWD720829:DWD720837 EFZ720829:EFZ720837 EPV720829:EPV720837 EZR720829:EZR720837 FJN720829:FJN720837 FTJ720829:FTJ720837 GDF720829:GDF720837 GNB720829:GNB720837 GWX720829:GWX720837 HGT720829:HGT720837 HQP720829:HQP720837 IAL720829:IAL720837 IKH720829:IKH720837 IUD720829:IUD720837 JDZ720829:JDZ720837 JNV720829:JNV720837 JXR720829:JXR720837 KHN720829:KHN720837 KRJ720829:KRJ720837 LBF720829:LBF720837 LLB720829:LLB720837 LUX720829:LUX720837 MET720829:MET720837 MOP720829:MOP720837 MYL720829:MYL720837 NIH720829:NIH720837 NSD720829:NSD720837 OBZ720829:OBZ720837 OLV720829:OLV720837 OVR720829:OVR720837 PFN720829:PFN720837 PPJ720829:PPJ720837 PZF720829:PZF720837 QJB720829:QJB720837 QSX720829:QSX720837 RCT720829:RCT720837 RMP720829:RMP720837 RWL720829:RWL720837 SGH720829:SGH720837 SQD720829:SQD720837 SZZ720829:SZZ720837 TJV720829:TJV720837 TTR720829:TTR720837 UDN720829:UDN720837 UNJ720829:UNJ720837 UXF720829:UXF720837 VHB720829:VHB720837 VQX720829:VQX720837 WAT720829:WAT720837 WKP720829:WKP720837 WUL720829:WUL720837 HZ786365:HZ786373 RV786365:RV786373 ABR786365:ABR786373 ALN786365:ALN786373 AVJ786365:AVJ786373 BFF786365:BFF786373 BPB786365:BPB786373 BYX786365:BYX786373 CIT786365:CIT786373 CSP786365:CSP786373 DCL786365:DCL786373 DMH786365:DMH786373 DWD786365:DWD786373 EFZ786365:EFZ786373 EPV786365:EPV786373 EZR786365:EZR786373 FJN786365:FJN786373 FTJ786365:FTJ786373 GDF786365:GDF786373 GNB786365:GNB786373 GWX786365:GWX786373 HGT786365:HGT786373 HQP786365:HQP786373 IAL786365:IAL786373 IKH786365:IKH786373 IUD786365:IUD786373 JDZ786365:JDZ786373 JNV786365:JNV786373 JXR786365:JXR786373 KHN786365:KHN786373 KRJ786365:KRJ786373 LBF786365:LBF786373 LLB786365:LLB786373 LUX786365:LUX786373 MET786365:MET786373 MOP786365:MOP786373 MYL786365:MYL786373 NIH786365:NIH786373 NSD786365:NSD786373 OBZ786365:OBZ786373 OLV786365:OLV786373 OVR786365:OVR786373 PFN786365:PFN786373 PPJ786365:PPJ786373 PZF786365:PZF786373 QJB786365:QJB786373 QSX786365:QSX786373 RCT786365:RCT786373 RMP786365:RMP786373 RWL786365:RWL786373 SGH786365:SGH786373 SQD786365:SQD786373 SZZ786365:SZZ786373 TJV786365:TJV786373 TTR786365:TTR786373 UDN786365:UDN786373 UNJ786365:UNJ786373 UXF786365:UXF786373 VHB786365:VHB786373 VQX786365:VQX786373 WAT786365:WAT786373 WKP786365:WKP786373 WUL786365:WUL786373 HZ851901:HZ851909 RV851901:RV851909 ABR851901:ABR851909 ALN851901:ALN851909 AVJ851901:AVJ851909 BFF851901:BFF851909 BPB851901:BPB851909 BYX851901:BYX851909 CIT851901:CIT851909 CSP851901:CSP851909 DCL851901:DCL851909 DMH851901:DMH851909 DWD851901:DWD851909 EFZ851901:EFZ851909 EPV851901:EPV851909 EZR851901:EZR851909 FJN851901:FJN851909 FTJ851901:FTJ851909 GDF851901:GDF851909 GNB851901:GNB851909 GWX851901:GWX851909 HGT851901:HGT851909 HQP851901:HQP851909 IAL851901:IAL851909 IKH851901:IKH851909 IUD851901:IUD851909 JDZ851901:JDZ851909 JNV851901:JNV851909 JXR851901:JXR851909 KHN851901:KHN851909 KRJ851901:KRJ851909 LBF851901:LBF851909 LLB851901:LLB851909 LUX851901:LUX851909 MET851901:MET851909 MOP851901:MOP851909 MYL851901:MYL851909 NIH851901:NIH851909 NSD851901:NSD851909 OBZ851901:OBZ851909 OLV851901:OLV851909 OVR851901:OVR851909 PFN851901:PFN851909 PPJ851901:PPJ851909 PZF851901:PZF851909 QJB851901:QJB851909 QSX851901:QSX851909 RCT851901:RCT851909 RMP851901:RMP851909 RWL851901:RWL851909 SGH851901:SGH851909 SQD851901:SQD851909 SZZ851901:SZZ851909 TJV851901:TJV851909 TTR851901:TTR851909 UDN851901:UDN851909 UNJ851901:UNJ851909 UXF851901:UXF851909 VHB851901:VHB851909 VQX851901:VQX851909 WAT851901:WAT851909 WKP851901:WKP851909 WUL851901:WUL851909 HZ917437:HZ917445 RV917437:RV917445 ABR917437:ABR917445 ALN917437:ALN917445 AVJ917437:AVJ917445 BFF917437:BFF917445 BPB917437:BPB917445 BYX917437:BYX917445 CIT917437:CIT917445 CSP917437:CSP917445 DCL917437:DCL917445 DMH917437:DMH917445 DWD917437:DWD917445 EFZ917437:EFZ917445 EPV917437:EPV917445 EZR917437:EZR917445 FJN917437:FJN917445 FTJ917437:FTJ917445 GDF917437:GDF917445 GNB917437:GNB917445 GWX917437:GWX917445 HGT917437:HGT917445 HQP917437:HQP917445 IAL917437:IAL917445 IKH917437:IKH917445 IUD917437:IUD917445 JDZ917437:JDZ917445 JNV917437:JNV917445 JXR917437:JXR917445 KHN917437:KHN917445 KRJ917437:KRJ917445 LBF917437:LBF917445 LLB917437:LLB917445 LUX917437:LUX917445 MET917437:MET917445 MOP917437:MOP917445 MYL917437:MYL917445 NIH917437:NIH917445 NSD917437:NSD917445 OBZ917437:OBZ917445 OLV917437:OLV917445 OVR917437:OVR917445 PFN917437:PFN917445 PPJ917437:PPJ917445 PZF917437:PZF917445 QJB917437:QJB917445 QSX917437:QSX917445 RCT917437:RCT917445 RMP917437:RMP917445 RWL917437:RWL917445 SGH917437:SGH917445 SQD917437:SQD917445 SZZ917437:SZZ917445 TJV917437:TJV917445 TTR917437:TTR917445 UDN917437:UDN917445 UNJ917437:UNJ917445 UXF917437:UXF917445 VHB917437:VHB917445 VQX917437:VQX917445 WAT917437:WAT917445 WKP917437:WKP917445 WUL917437:WUL917445 HZ982973:HZ982981 RV982973:RV982981 ABR982973:ABR982981 ALN982973:ALN982981 AVJ982973:AVJ982981 BFF982973:BFF982981 BPB982973:BPB982981 BYX982973:BYX982981 CIT982973:CIT982981 CSP982973:CSP982981 DCL982973:DCL982981 DMH982973:DMH982981 DWD982973:DWD982981 EFZ982973:EFZ982981 EPV982973:EPV982981 EZR982973:EZR982981 FJN982973:FJN982981 FTJ982973:FTJ982981 GDF982973:GDF982981 GNB982973:GNB982981 GWX982973:GWX982981 HGT982973:HGT982981 HQP982973:HQP982981 IAL982973:IAL982981 IKH982973:IKH982981 IUD982973:IUD982981 JDZ982973:JDZ982981 JNV982973:JNV982981 JXR982973:JXR982981 KHN982973:KHN982981 KRJ982973:KRJ982981 LBF982973:LBF982981 LLB982973:LLB982981 LUX982973:LUX982981 MET982973:MET982981 MOP982973:MOP982981 MYL982973:MYL982981 NIH982973:NIH982981 NSD982973:NSD982981 OBZ982973:OBZ982981 OLV982973:OLV982981 OVR982973:OVR982981 PFN982973:PFN982981 PPJ982973:PPJ982981 PZF982973:PZF982981 QJB982973:QJB982981 QSX982973:QSX982981 RCT982973:RCT982981 RMP982973:RMP982981 RWL982973:RWL982981 SGH982973:SGH982981 SQD982973:SQD982981 SZZ982973:SZZ982981 TJV982973:TJV982981 TTR982973:TTR982981 UDN982973:UDN982981 UNJ982973:UNJ982981 UXF982973:UXF982981 VHB982973:VHB982981 VQX982973:VQX982981 WAT982973:WAT982981 WKP982973:WKP982981 WUL9:WUL10 WKP9:WKP10 WAT9:WAT10 VQX9:VQX10 VHB9:VHB10 UXF9:UXF10 UNJ9:UNJ10 UDN9:UDN10 TTR9:TTR10 TJV9:TJV10 SZZ9:SZZ10 SQD9:SQD10 SGH9:SGH10 RWL9:RWL10 RMP9:RMP10 RCT9:RCT10 QSX9:QSX10 QJB9:QJB10 PZF9:PZF10 PPJ9:PPJ10 PFN9:PFN10 OVR9:OVR10 OLV9:OLV10 OBZ9:OBZ10 NSD9:NSD10 NIH9:NIH10 MYL9:MYL10 MOP9:MOP10 MET9:MET10 LUX9:LUX10 LLB9:LLB10 LBF9:LBF10 KRJ9:KRJ10 KHN9:KHN10 JXR9:JXR10 JNV9:JNV10 JDZ9:JDZ10 IUD9:IUD10 IKH9:IKH10 IAL9:IAL10 HQP9:HQP10 HGT9:HGT10 GWX9:GWX10 GNB9:GNB10 GDF9:GDF10 FTJ9:FTJ10 FJN9:FJN10 EZR9:EZR10 EPV9:EPV10 EFZ9:EFZ10 DWD9:DWD10 DMH9:DMH10 DCL9:DCL10 CSP9:CSP10 CIT9:CIT10 BYX9:BYX10 BPB9:BPB10 BFF9:BFF10 AVJ9:AVJ10 ALN9:ALN10 ABR9:ABR10 RV9:RV10 HZ9:HZ10" xr:uid="{00000000-0002-0000-0400-000005000000}"/>
  </dataValidations>
  <hyperlinks>
    <hyperlink ref="G1" location="ins" display="Instructivo" xr:uid="{00000000-0004-0000-0400-000000000000}"/>
    <hyperlink ref="G9" location="honorarios" display="Tabla de honorarios" xr:uid="{00000000-0004-0000-0400-000001000000}"/>
    <hyperlink ref="G2" location="PEPSP1" display="Plan de ejecución física y de inversiones - prestación de servicios personales" xr:uid="{00000000-0004-0000-0400-000002000000}"/>
  </hyperlinks>
  <printOptions horizontalCentered="1"/>
  <pageMargins left="0" right="0" top="0" bottom="0" header="0" footer="0"/>
  <pageSetup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6000000}">
          <x14:formula1>
            <xm:f>Honorarios!$A$9:$A$15</xm:f>
          </x14:formula1>
          <xm:sqref>A9</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tabColor theme="5" tint="0.39997558519241921"/>
    <pageSetUpPr fitToPage="1"/>
  </sheetPr>
  <dimension ref="A1:W194"/>
  <sheetViews>
    <sheetView showGridLines="0" topLeftCell="A108" zoomScale="80" zoomScaleNormal="80" zoomScalePageLayoutView="90" workbookViewId="0">
      <selection activeCell="A17" sqref="A17:E17"/>
    </sheetView>
  </sheetViews>
  <sheetFormatPr baseColWidth="10" defaultColWidth="15.1640625" defaultRowHeight="18" customHeight="1" x14ac:dyDescent="0.2"/>
  <cols>
    <col min="1" max="1" width="31" style="61" customWidth="1"/>
    <col min="2" max="2" width="19.33203125" style="61" customWidth="1"/>
    <col min="3" max="3" width="19" style="61" customWidth="1"/>
    <col min="4" max="4" width="17" style="61" customWidth="1"/>
    <col min="5" max="5" width="17.83203125" style="61" customWidth="1"/>
    <col min="6" max="6" width="15.83203125" style="61" customWidth="1"/>
    <col min="7" max="7" width="15.33203125" style="61" customWidth="1"/>
    <col min="8" max="8" width="20.6640625" style="61" customWidth="1"/>
    <col min="9" max="9" width="11.1640625" style="61" customWidth="1"/>
    <col min="10" max="10" width="17.33203125" style="61" customWidth="1"/>
    <col min="11" max="11" width="16.33203125" style="61" bestFit="1" customWidth="1"/>
    <col min="12" max="12" width="15.1640625" style="61"/>
    <col min="13" max="13" width="17.1640625" style="61" customWidth="1"/>
    <col min="14" max="14" width="14" style="61" customWidth="1"/>
    <col min="15" max="15" width="16.83203125" style="61" customWidth="1"/>
    <col min="16" max="16" width="16.5" style="61" customWidth="1"/>
    <col min="17" max="17" width="20.6640625" style="61" bestFit="1" customWidth="1"/>
    <col min="18" max="20" width="15.1640625" style="61"/>
    <col min="21" max="21" width="11.83203125" style="61" customWidth="1"/>
    <col min="22" max="255" width="15.1640625" style="61"/>
    <col min="256" max="256" width="2.83203125" style="61" customWidth="1"/>
    <col min="257" max="257" width="26.33203125" style="61" customWidth="1"/>
    <col min="258" max="258" width="11.83203125" style="61" customWidth="1"/>
    <col min="259" max="259" width="17.6640625" style="61" customWidth="1"/>
    <col min="260" max="261" width="12.83203125" style="61" bestFit="1" customWidth="1"/>
    <col min="262" max="262" width="15.1640625" style="61"/>
    <col min="263" max="263" width="17.6640625" style="61" customWidth="1"/>
    <col min="264" max="264" width="15.5" style="61" customWidth="1"/>
    <col min="265" max="511" width="15.1640625" style="61"/>
    <col min="512" max="512" width="2.83203125" style="61" customWidth="1"/>
    <col min="513" max="513" width="26.33203125" style="61" customWidth="1"/>
    <col min="514" max="514" width="11.83203125" style="61" customWidth="1"/>
    <col min="515" max="515" width="17.6640625" style="61" customWidth="1"/>
    <col min="516" max="517" width="12.83203125" style="61" bestFit="1" customWidth="1"/>
    <col min="518" max="518" width="15.1640625" style="61"/>
    <col min="519" max="519" width="17.6640625" style="61" customWidth="1"/>
    <col min="520" max="520" width="15.5" style="61" customWidth="1"/>
    <col min="521" max="767" width="15.1640625" style="61"/>
    <col min="768" max="768" width="2.83203125" style="61" customWidth="1"/>
    <col min="769" max="769" width="26.33203125" style="61" customWidth="1"/>
    <col min="770" max="770" width="11.83203125" style="61" customWidth="1"/>
    <col min="771" max="771" width="17.6640625" style="61" customWidth="1"/>
    <col min="772" max="773" width="12.83203125" style="61" bestFit="1" customWidth="1"/>
    <col min="774" max="774" width="15.1640625" style="61"/>
    <col min="775" max="775" width="17.6640625" style="61" customWidth="1"/>
    <col min="776" max="776" width="15.5" style="61" customWidth="1"/>
    <col min="777" max="1023" width="15.1640625" style="61"/>
    <col min="1024" max="1024" width="2.83203125" style="61" customWidth="1"/>
    <col min="1025" max="1025" width="26.33203125" style="61" customWidth="1"/>
    <col min="1026" max="1026" width="11.83203125" style="61" customWidth="1"/>
    <col min="1027" max="1027" width="17.6640625" style="61" customWidth="1"/>
    <col min="1028" max="1029" width="12.83203125" style="61" bestFit="1" customWidth="1"/>
    <col min="1030" max="1030" width="15.1640625" style="61"/>
    <col min="1031" max="1031" width="17.6640625" style="61" customWidth="1"/>
    <col min="1032" max="1032" width="15.5" style="61" customWidth="1"/>
    <col min="1033" max="1279" width="15.1640625" style="61"/>
    <col min="1280" max="1280" width="2.83203125" style="61" customWidth="1"/>
    <col min="1281" max="1281" width="26.33203125" style="61" customWidth="1"/>
    <col min="1282" max="1282" width="11.83203125" style="61" customWidth="1"/>
    <col min="1283" max="1283" width="17.6640625" style="61" customWidth="1"/>
    <col min="1284" max="1285" width="12.83203125" style="61" bestFit="1" customWidth="1"/>
    <col min="1286" max="1286" width="15.1640625" style="61"/>
    <col min="1287" max="1287" width="17.6640625" style="61" customWidth="1"/>
    <col min="1288" max="1288" width="15.5" style="61" customWidth="1"/>
    <col min="1289" max="1535" width="15.1640625" style="61"/>
    <col min="1536" max="1536" width="2.83203125" style="61" customWidth="1"/>
    <col min="1537" max="1537" width="26.33203125" style="61" customWidth="1"/>
    <col min="1538" max="1538" width="11.83203125" style="61" customWidth="1"/>
    <col min="1539" max="1539" width="17.6640625" style="61" customWidth="1"/>
    <col min="1540" max="1541" width="12.83203125" style="61" bestFit="1" customWidth="1"/>
    <col min="1542" max="1542" width="15.1640625" style="61"/>
    <col min="1543" max="1543" width="17.6640625" style="61" customWidth="1"/>
    <col min="1544" max="1544" width="15.5" style="61" customWidth="1"/>
    <col min="1545" max="1791" width="15.1640625" style="61"/>
    <col min="1792" max="1792" width="2.83203125" style="61" customWidth="1"/>
    <col min="1793" max="1793" width="26.33203125" style="61" customWidth="1"/>
    <col min="1794" max="1794" width="11.83203125" style="61" customWidth="1"/>
    <col min="1795" max="1795" width="17.6640625" style="61" customWidth="1"/>
    <col min="1796" max="1797" width="12.83203125" style="61" bestFit="1" customWidth="1"/>
    <col min="1798" max="1798" width="15.1640625" style="61"/>
    <col min="1799" max="1799" width="17.6640625" style="61" customWidth="1"/>
    <col min="1800" max="1800" width="15.5" style="61" customWidth="1"/>
    <col min="1801" max="2047" width="15.1640625" style="61"/>
    <col min="2048" max="2048" width="2.83203125" style="61" customWidth="1"/>
    <col min="2049" max="2049" width="26.33203125" style="61" customWidth="1"/>
    <col min="2050" max="2050" width="11.83203125" style="61" customWidth="1"/>
    <col min="2051" max="2051" width="17.6640625" style="61" customWidth="1"/>
    <col min="2052" max="2053" width="12.83203125" style="61" bestFit="1" customWidth="1"/>
    <col min="2054" max="2054" width="15.1640625" style="61"/>
    <col min="2055" max="2055" width="17.6640625" style="61" customWidth="1"/>
    <col min="2056" max="2056" width="15.5" style="61" customWidth="1"/>
    <col min="2057" max="2303" width="15.1640625" style="61"/>
    <col min="2304" max="2304" width="2.83203125" style="61" customWidth="1"/>
    <col min="2305" max="2305" width="26.33203125" style="61" customWidth="1"/>
    <col min="2306" max="2306" width="11.83203125" style="61" customWidth="1"/>
    <col min="2307" max="2307" width="17.6640625" style="61" customWidth="1"/>
    <col min="2308" max="2309" width="12.83203125" style="61" bestFit="1" customWidth="1"/>
    <col min="2310" max="2310" width="15.1640625" style="61"/>
    <col min="2311" max="2311" width="17.6640625" style="61" customWidth="1"/>
    <col min="2312" max="2312" width="15.5" style="61" customWidth="1"/>
    <col min="2313" max="2559" width="15.1640625" style="61"/>
    <col min="2560" max="2560" width="2.83203125" style="61" customWidth="1"/>
    <col min="2561" max="2561" width="26.33203125" style="61" customWidth="1"/>
    <col min="2562" max="2562" width="11.83203125" style="61" customWidth="1"/>
    <col min="2563" max="2563" width="17.6640625" style="61" customWidth="1"/>
    <col min="2564" max="2565" width="12.83203125" style="61" bestFit="1" customWidth="1"/>
    <col min="2566" max="2566" width="15.1640625" style="61"/>
    <col min="2567" max="2567" width="17.6640625" style="61" customWidth="1"/>
    <col min="2568" max="2568" width="15.5" style="61" customWidth="1"/>
    <col min="2569" max="2815" width="15.1640625" style="61"/>
    <col min="2816" max="2816" width="2.83203125" style="61" customWidth="1"/>
    <col min="2817" max="2817" width="26.33203125" style="61" customWidth="1"/>
    <col min="2818" max="2818" width="11.83203125" style="61" customWidth="1"/>
    <col min="2819" max="2819" width="17.6640625" style="61" customWidth="1"/>
    <col min="2820" max="2821" width="12.83203125" style="61" bestFit="1" customWidth="1"/>
    <col min="2822" max="2822" width="15.1640625" style="61"/>
    <col min="2823" max="2823" width="17.6640625" style="61" customWidth="1"/>
    <col min="2824" max="2824" width="15.5" style="61" customWidth="1"/>
    <col min="2825" max="3071" width="15.1640625" style="61"/>
    <col min="3072" max="3072" width="2.83203125" style="61" customWidth="1"/>
    <col min="3073" max="3073" width="26.33203125" style="61" customWidth="1"/>
    <col min="3074" max="3074" width="11.83203125" style="61" customWidth="1"/>
    <col min="3075" max="3075" width="17.6640625" style="61" customWidth="1"/>
    <col min="3076" max="3077" width="12.83203125" style="61" bestFit="1" customWidth="1"/>
    <col min="3078" max="3078" width="15.1640625" style="61"/>
    <col min="3079" max="3079" width="17.6640625" style="61" customWidth="1"/>
    <col min="3080" max="3080" width="15.5" style="61" customWidth="1"/>
    <col min="3081" max="3327" width="15.1640625" style="61"/>
    <col min="3328" max="3328" width="2.83203125" style="61" customWidth="1"/>
    <col min="3329" max="3329" width="26.33203125" style="61" customWidth="1"/>
    <col min="3330" max="3330" width="11.83203125" style="61" customWidth="1"/>
    <col min="3331" max="3331" width="17.6640625" style="61" customWidth="1"/>
    <col min="3332" max="3333" width="12.83203125" style="61" bestFit="1" customWidth="1"/>
    <col min="3334" max="3334" width="15.1640625" style="61"/>
    <col min="3335" max="3335" width="17.6640625" style="61" customWidth="1"/>
    <col min="3336" max="3336" width="15.5" style="61" customWidth="1"/>
    <col min="3337" max="3583" width="15.1640625" style="61"/>
    <col min="3584" max="3584" width="2.83203125" style="61" customWidth="1"/>
    <col min="3585" max="3585" width="26.33203125" style="61" customWidth="1"/>
    <col min="3586" max="3586" width="11.83203125" style="61" customWidth="1"/>
    <col min="3587" max="3587" width="17.6640625" style="61" customWidth="1"/>
    <col min="3588" max="3589" width="12.83203125" style="61" bestFit="1" customWidth="1"/>
    <col min="3590" max="3590" width="15.1640625" style="61"/>
    <col min="3591" max="3591" width="17.6640625" style="61" customWidth="1"/>
    <col min="3592" max="3592" width="15.5" style="61" customWidth="1"/>
    <col min="3593" max="3839" width="15.1640625" style="61"/>
    <col min="3840" max="3840" width="2.83203125" style="61" customWidth="1"/>
    <col min="3841" max="3841" width="26.33203125" style="61" customWidth="1"/>
    <col min="3842" max="3842" width="11.83203125" style="61" customWidth="1"/>
    <col min="3843" max="3843" width="17.6640625" style="61" customWidth="1"/>
    <col min="3844" max="3845" width="12.83203125" style="61" bestFit="1" customWidth="1"/>
    <col min="3846" max="3846" width="15.1640625" style="61"/>
    <col min="3847" max="3847" width="17.6640625" style="61" customWidth="1"/>
    <col min="3848" max="3848" width="15.5" style="61" customWidth="1"/>
    <col min="3849" max="4095" width="15.1640625" style="61"/>
    <col min="4096" max="4096" width="2.83203125" style="61" customWidth="1"/>
    <col min="4097" max="4097" width="26.33203125" style="61" customWidth="1"/>
    <col min="4098" max="4098" width="11.83203125" style="61" customWidth="1"/>
    <col min="4099" max="4099" width="17.6640625" style="61" customWidth="1"/>
    <col min="4100" max="4101" width="12.83203125" style="61" bestFit="1" customWidth="1"/>
    <col min="4102" max="4102" width="15.1640625" style="61"/>
    <col min="4103" max="4103" width="17.6640625" style="61" customWidth="1"/>
    <col min="4104" max="4104" width="15.5" style="61" customWidth="1"/>
    <col min="4105" max="4351" width="15.1640625" style="61"/>
    <col min="4352" max="4352" width="2.83203125" style="61" customWidth="1"/>
    <col min="4353" max="4353" width="26.33203125" style="61" customWidth="1"/>
    <col min="4354" max="4354" width="11.83203125" style="61" customWidth="1"/>
    <col min="4355" max="4355" width="17.6640625" style="61" customWidth="1"/>
    <col min="4356" max="4357" width="12.83203125" style="61" bestFit="1" customWidth="1"/>
    <col min="4358" max="4358" width="15.1640625" style="61"/>
    <col min="4359" max="4359" width="17.6640625" style="61" customWidth="1"/>
    <col min="4360" max="4360" width="15.5" style="61" customWidth="1"/>
    <col min="4361" max="4607" width="15.1640625" style="61"/>
    <col min="4608" max="4608" width="2.83203125" style="61" customWidth="1"/>
    <col min="4609" max="4609" width="26.33203125" style="61" customWidth="1"/>
    <col min="4610" max="4610" width="11.83203125" style="61" customWidth="1"/>
    <col min="4611" max="4611" width="17.6640625" style="61" customWidth="1"/>
    <col min="4612" max="4613" width="12.83203125" style="61" bestFit="1" customWidth="1"/>
    <col min="4614" max="4614" width="15.1640625" style="61"/>
    <col min="4615" max="4615" width="17.6640625" style="61" customWidth="1"/>
    <col min="4616" max="4616" width="15.5" style="61" customWidth="1"/>
    <col min="4617" max="4863" width="15.1640625" style="61"/>
    <col min="4864" max="4864" width="2.83203125" style="61" customWidth="1"/>
    <col min="4865" max="4865" width="26.33203125" style="61" customWidth="1"/>
    <col min="4866" max="4866" width="11.83203125" style="61" customWidth="1"/>
    <col min="4867" max="4867" width="17.6640625" style="61" customWidth="1"/>
    <col min="4868" max="4869" width="12.83203125" style="61" bestFit="1" customWidth="1"/>
    <col min="4870" max="4870" width="15.1640625" style="61"/>
    <col min="4871" max="4871" width="17.6640625" style="61" customWidth="1"/>
    <col min="4872" max="4872" width="15.5" style="61" customWidth="1"/>
    <col min="4873" max="5119" width="15.1640625" style="61"/>
    <col min="5120" max="5120" width="2.83203125" style="61" customWidth="1"/>
    <col min="5121" max="5121" width="26.33203125" style="61" customWidth="1"/>
    <col min="5122" max="5122" width="11.83203125" style="61" customWidth="1"/>
    <col min="5123" max="5123" width="17.6640625" style="61" customWidth="1"/>
    <col min="5124" max="5125" width="12.83203125" style="61" bestFit="1" customWidth="1"/>
    <col min="5126" max="5126" width="15.1640625" style="61"/>
    <col min="5127" max="5127" width="17.6640625" style="61" customWidth="1"/>
    <col min="5128" max="5128" width="15.5" style="61" customWidth="1"/>
    <col min="5129" max="5375" width="15.1640625" style="61"/>
    <col min="5376" max="5376" width="2.83203125" style="61" customWidth="1"/>
    <col min="5377" max="5377" width="26.33203125" style="61" customWidth="1"/>
    <col min="5378" max="5378" width="11.83203125" style="61" customWidth="1"/>
    <col min="5379" max="5379" width="17.6640625" style="61" customWidth="1"/>
    <col min="5380" max="5381" width="12.83203125" style="61" bestFit="1" customWidth="1"/>
    <col min="5382" max="5382" width="15.1640625" style="61"/>
    <col min="5383" max="5383" width="17.6640625" style="61" customWidth="1"/>
    <col min="5384" max="5384" width="15.5" style="61" customWidth="1"/>
    <col min="5385" max="5631" width="15.1640625" style="61"/>
    <col min="5632" max="5632" width="2.83203125" style="61" customWidth="1"/>
    <col min="5633" max="5633" width="26.33203125" style="61" customWidth="1"/>
    <col min="5634" max="5634" width="11.83203125" style="61" customWidth="1"/>
    <col min="5635" max="5635" width="17.6640625" style="61" customWidth="1"/>
    <col min="5636" max="5637" width="12.83203125" style="61" bestFit="1" customWidth="1"/>
    <col min="5638" max="5638" width="15.1640625" style="61"/>
    <col min="5639" max="5639" width="17.6640625" style="61" customWidth="1"/>
    <col min="5640" max="5640" width="15.5" style="61" customWidth="1"/>
    <col min="5641" max="5887" width="15.1640625" style="61"/>
    <col min="5888" max="5888" width="2.83203125" style="61" customWidth="1"/>
    <col min="5889" max="5889" width="26.33203125" style="61" customWidth="1"/>
    <col min="5890" max="5890" width="11.83203125" style="61" customWidth="1"/>
    <col min="5891" max="5891" width="17.6640625" style="61" customWidth="1"/>
    <col min="5892" max="5893" width="12.83203125" style="61" bestFit="1" customWidth="1"/>
    <col min="5894" max="5894" width="15.1640625" style="61"/>
    <col min="5895" max="5895" width="17.6640625" style="61" customWidth="1"/>
    <col min="5896" max="5896" width="15.5" style="61" customWidth="1"/>
    <col min="5897" max="6143" width="15.1640625" style="61"/>
    <col min="6144" max="6144" width="2.83203125" style="61" customWidth="1"/>
    <col min="6145" max="6145" width="26.33203125" style="61" customWidth="1"/>
    <col min="6146" max="6146" width="11.83203125" style="61" customWidth="1"/>
    <col min="6147" max="6147" width="17.6640625" style="61" customWidth="1"/>
    <col min="6148" max="6149" width="12.83203125" style="61" bestFit="1" customWidth="1"/>
    <col min="6150" max="6150" width="15.1640625" style="61"/>
    <col min="6151" max="6151" width="17.6640625" style="61" customWidth="1"/>
    <col min="6152" max="6152" width="15.5" style="61" customWidth="1"/>
    <col min="6153" max="6399" width="15.1640625" style="61"/>
    <col min="6400" max="6400" width="2.83203125" style="61" customWidth="1"/>
    <col min="6401" max="6401" width="26.33203125" style="61" customWidth="1"/>
    <col min="6402" max="6402" width="11.83203125" style="61" customWidth="1"/>
    <col min="6403" max="6403" width="17.6640625" style="61" customWidth="1"/>
    <col min="6404" max="6405" width="12.83203125" style="61" bestFit="1" customWidth="1"/>
    <col min="6406" max="6406" width="15.1640625" style="61"/>
    <col min="6407" max="6407" width="17.6640625" style="61" customWidth="1"/>
    <col min="6408" max="6408" width="15.5" style="61" customWidth="1"/>
    <col min="6409" max="6655" width="15.1640625" style="61"/>
    <col min="6656" max="6656" width="2.83203125" style="61" customWidth="1"/>
    <col min="6657" max="6657" width="26.33203125" style="61" customWidth="1"/>
    <col min="6658" max="6658" width="11.83203125" style="61" customWidth="1"/>
    <col min="6659" max="6659" width="17.6640625" style="61" customWidth="1"/>
    <col min="6660" max="6661" width="12.83203125" style="61" bestFit="1" customWidth="1"/>
    <col min="6662" max="6662" width="15.1640625" style="61"/>
    <col min="6663" max="6663" width="17.6640625" style="61" customWidth="1"/>
    <col min="6664" max="6664" width="15.5" style="61" customWidth="1"/>
    <col min="6665" max="6911" width="15.1640625" style="61"/>
    <col min="6912" max="6912" width="2.83203125" style="61" customWidth="1"/>
    <col min="6913" max="6913" width="26.33203125" style="61" customWidth="1"/>
    <col min="6914" max="6914" width="11.83203125" style="61" customWidth="1"/>
    <col min="6915" max="6915" width="17.6640625" style="61" customWidth="1"/>
    <col min="6916" max="6917" width="12.83203125" style="61" bestFit="1" customWidth="1"/>
    <col min="6918" max="6918" width="15.1640625" style="61"/>
    <col min="6919" max="6919" width="17.6640625" style="61" customWidth="1"/>
    <col min="6920" max="6920" width="15.5" style="61" customWidth="1"/>
    <col min="6921" max="7167" width="15.1640625" style="61"/>
    <col min="7168" max="7168" width="2.83203125" style="61" customWidth="1"/>
    <col min="7169" max="7169" width="26.33203125" style="61" customWidth="1"/>
    <col min="7170" max="7170" width="11.83203125" style="61" customWidth="1"/>
    <col min="7171" max="7171" width="17.6640625" style="61" customWidth="1"/>
    <col min="7172" max="7173" width="12.83203125" style="61" bestFit="1" customWidth="1"/>
    <col min="7174" max="7174" width="15.1640625" style="61"/>
    <col min="7175" max="7175" width="17.6640625" style="61" customWidth="1"/>
    <col min="7176" max="7176" width="15.5" style="61" customWidth="1"/>
    <col min="7177" max="7423" width="15.1640625" style="61"/>
    <col min="7424" max="7424" width="2.83203125" style="61" customWidth="1"/>
    <col min="7425" max="7425" width="26.33203125" style="61" customWidth="1"/>
    <col min="7426" max="7426" width="11.83203125" style="61" customWidth="1"/>
    <col min="7427" max="7427" width="17.6640625" style="61" customWidth="1"/>
    <col min="7428" max="7429" width="12.83203125" style="61" bestFit="1" customWidth="1"/>
    <col min="7430" max="7430" width="15.1640625" style="61"/>
    <col min="7431" max="7431" width="17.6640625" style="61" customWidth="1"/>
    <col min="7432" max="7432" width="15.5" style="61" customWidth="1"/>
    <col min="7433" max="7679" width="15.1640625" style="61"/>
    <col min="7680" max="7680" width="2.83203125" style="61" customWidth="1"/>
    <col min="7681" max="7681" width="26.33203125" style="61" customWidth="1"/>
    <col min="7682" max="7682" width="11.83203125" style="61" customWidth="1"/>
    <col min="7683" max="7683" width="17.6640625" style="61" customWidth="1"/>
    <col min="7684" max="7685" width="12.83203125" style="61" bestFit="1" customWidth="1"/>
    <col min="7686" max="7686" width="15.1640625" style="61"/>
    <col min="7687" max="7687" width="17.6640625" style="61" customWidth="1"/>
    <col min="7688" max="7688" width="15.5" style="61" customWidth="1"/>
    <col min="7689" max="7935" width="15.1640625" style="61"/>
    <col min="7936" max="7936" width="2.83203125" style="61" customWidth="1"/>
    <col min="7937" max="7937" width="26.33203125" style="61" customWidth="1"/>
    <col min="7938" max="7938" width="11.83203125" style="61" customWidth="1"/>
    <col min="7939" max="7939" width="17.6640625" style="61" customWidth="1"/>
    <col min="7940" max="7941" width="12.83203125" style="61" bestFit="1" customWidth="1"/>
    <col min="7942" max="7942" width="15.1640625" style="61"/>
    <col min="7943" max="7943" width="17.6640625" style="61" customWidth="1"/>
    <col min="7944" max="7944" width="15.5" style="61" customWidth="1"/>
    <col min="7945" max="8191" width="15.1640625" style="61"/>
    <col min="8192" max="8192" width="2.83203125" style="61" customWidth="1"/>
    <col min="8193" max="8193" width="26.33203125" style="61" customWidth="1"/>
    <col min="8194" max="8194" width="11.83203125" style="61" customWidth="1"/>
    <col min="8195" max="8195" width="17.6640625" style="61" customWidth="1"/>
    <col min="8196" max="8197" width="12.83203125" style="61" bestFit="1" customWidth="1"/>
    <col min="8198" max="8198" width="15.1640625" style="61"/>
    <col min="8199" max="8199" width="17.6640625" style="61" customWidth="1"/>
    <col min="8200" max="8200" width="15.5" style="61" customWidth="1"/>
    <col min="8201" max="8447" width="15.1640625" style="61"/>
    <col min="8448" max="8448" width="2.83203125" style="61" customWidth="1"/>
    <col min="8449" max="8449" width="26.33203125" style="61" customWidth="1"/>
    <col min="8450" max="8450" width="11.83203125" style="61" customWidth="1"/>
    <col min="8451" max="8451" width="17.6640625" style="61" customWidth="1"/>
    <col min="8452" max="8453" width="12.83203125" style="61" bestFit="1" customWidth="1"/>
    <col min="8454" max="8454" width="15.1640625" style="61"/>
    <col min="8455" max="8455" width="17.6640625" style="61" customWidth="1"/>
    <col min="8456" max="8456" width="15.5" style="61" customWidth="1"/>
    <col min="8457" max="8703" width="15.1640625" style="61"/>
    <col min="8704" max="8704" width="2.83203125" style="61" customWidth="1"/>
    <col min="8705" max="8705" width="26.33203125" style="61" customWidth="1"/>
    <col min="8706" max="8706" width="11.83203125" style="61" customWidth="1"/>
    <col min="8707" max="8707" width="17.6640625" style="61" customWidth="1"/>
    <col min="8708" max="8709" width="12.83203125" style="61" bestFit="1" customWidth="1"/>
    <col min="8710" max="8710" width="15.1640625" style="61"/>
    <col min="8711" max="8711" width="17.6640625" style="61" customWidth="1"/>
    <col min="8712" max="8712" width="15.5" style="61" customWidth="1"/>
    <col min="8713" max="8959" width="15.1640625" style="61"/>
    <col min="8960" max="8960" width="2.83203125" style="61" customWidth="1"/>
    <col min="8961" max="8961" width="26.33203125" style="61" customWidth="1"/>
    <col min="8962" max="8962" width="11.83203125" style="61" customWidth="1"/>
    <col min="8963" max="8963" width="17.6640625" style="61" customWidth="1"/>
    <col min="8964" max="8965" width="12.83203125" style="61" bestFit="1" customWidth="1"/>
    <col min="8966" max="8966" width="15.1640625" style="61"/>
    <col min="8967" max="8967" width="17.6640625" style="61" customWidth="1"/>
    <col min="8968" max="8968" width="15.5" style="61" customWidth="1"/>
    <col min="8969" max="9215" width="15.1640625" style="61"/>
    <col min="9216" max="9216" width="2.83203125" style="61" customWidth="1"/>
    <col min="9217" max="9217" width="26.33203125" style="61" customWidth="1"/>
    <col min="9218" max="9218" width="11.83203125" style="61" customWidth="1"/>
    <col min="9219" max="9219" width="17.6640625" style="61" customWidth="1"/>
    <col min="9220" max="9221" width="12.83203125" style="61" bestFit="1" customWidth="1"/>
    <col min="9222" max="9222" width="15.1640625" style="61"/>
    <col min="9223" max="9223" width="17.6640625" style="61" customWidth="1"/>
    <col min="9224" max="9224" width="15.5" style="61" customWidth="1"/>
    <col min="9225" max="9471" width="15.1640625" style="61"/>
    <col min="9472" max="9472" width="2.83203125" style="61" customWidth="1"/>
    <col min="9473" max="9473" width="26.33203125" style="61" customWidth="1"/>
    <col min="9474" max="9474" width="11.83203125" style="61" customWidth="1"/>
    <col min="9475" max="9475" width="17.6640625" style="61" customWidth="1"/>
    <col min="9476" max="9477" width="12.83203125" style="61" bestFit="1" customWidth="1"/>
    <col min="9478" max="9478" width="15.1640625" style="61"/>
    <col min="9479" max="9479" width="17.6640625" style="61" customWidth="1"/>
    <col min="9480" max="9480" width="15.5" style="61" customWidth="1"/>
    <col min="9481" max="9727" width="15.1640625" style="61"/>
    <col min="9728" max="9728" width="2.83203125" style="61" customWidth="1"/>
    <col min="9729" max="9729" width="26.33203125" style="61" customWidth="1"/>
    <col min="9730" max="9730" width="11.83203125" style="61" customWidth="1"/>
    <col min="9731" max="9731" width="17.6640625" style="61" customWidth="1"/>
    <col min="9732" max="9733" width="12.83203125" style="61" bestFit="1" customWidth="1"/>
    <col min="9734" max="9734" width="15.1640625" style="61"/>
    <col min="9735" max="9735" width="17.6640625" style="61" customWidth="1"/>
    <col min="9736" max="9736" width="15.5" style="61" customWidth="1"/>
    <col min="9737" max="9983" width="15.1640625" style="61"/>
    <col min="9984" max="9984" width="2.83203125" style="61" customWidth="1"/>
    <col min="9985" max="9985" width="26.33203125" style="61" customWidth="1"/>
    <col min="9986" max="9986" width="11.83203125" style="61" customWidth="1"/>
    <col min="9987" max="9987" width="17.6640625" style="61" customWidth="1"/>
    <col min="9988" max="9989" width="12.83203125" style="61" bestFit="1" customWidth="1"/>
    <col min="9990" max="9990" width="15.1640625" style="61"/>
    <col min="9991" max="9991" width="17.6640625" style="61" customWidth="1"/>
    <col min="9992" max="9992" width="15.5" style="61" customWidth="1"/>
    <col min="9993" max="10239" width="15.1640625" style="61"/>
    <col min="10240" max="10240" width="2.83203125" style="61" customWidth="1"/>
    <col min="10241" max="10241" width="26.33203125" style="61" customWidth="1"/>
    <col min="10242" max="10242" width="11.83203125" style="61" customWidth="1"/>
    <col min="10243" max="10243" width="17.6640625" style="61" customWidth="1"/>
    <col min="10244" max="10245" width="12.83203125" style="61" bestFit="1" customWidth="1"/>
    <col min="10246" max="10246" width="15.1640625" style="61"/>
    <col min="10247" max="10247" width="17.6640625" style="61" customWidth="1"/>
    <col min="10248" max="10248" width="15.5" style="61" customWidth="1"/>
    <col min="10249" max="10495" width="15.1640625" style="61"/>
    <col min="10496" max="10496" width="2.83203125" style="61" customWidth="1"/>
    <col min="10497" max="10497" width="26.33203125" style="61" customWidth="1"/>
    <col min="10498" max="10498" width="11.83203125" style="61" customWidth="1"/>
    <col min="10499" max="10499" width="17.6640625" style="61" customWidth="1"/>
    <col min="10500" max="10501" width="12.83203125" style="61" bestFit="1" customWidth="1"/>
    <col min="10502" max="10502" width="15.1640625" style="61"/>
    <col min="10503" max="10503" width="17.6640625" style="61" customWidth="1"/>
    <col min="10504" max="10504" width="15.5" style="61" customWidth="1"/>
    <col min="10505" max="10751" width="15.1640625" style="61"/>
    <col min="10752" max="10752" width="2.83203125" style="61" customWidth="1"/>
    <col min="10753" max="10753" width="26.33203125" style="61" customWidth="1"/>
    <col min="10754" max="10754" width="11.83203125" style="61" customWidth="1"/>
    <col min="10755" max="10755" width="17.6640625" style="61" customWidth="1"/>
    <col min="10756" max="10757" width="12.83203125" style="61" bestFit="1" customWidth="1"/>
    <col min="10758" max="10758" width="15.1640625" style="61"/>
    <col min="10759" max="10759" width="17.6640625" style="61" customWidth="1"/>
    <col min="10760" max="10760" width="15.5" style="61" customWidth="1"/>
    <col min="10761" max="11007" width="15.1640625" style="61"/>
    <col min="11008" max="11008" width="2.83203125" style="61" customWidth="1"/>
    <col min="11009" max="11009" width="26.33203125" style="61" customWidth="1"/>
    <col min="11010" max="11010" width="11.83203125" style="61" customWidth="1"/>
    <col min="11011" max="11011" width="17.6640625" style="61" customWidth="1"/>
    <col min="11012" max="11013" width="12.83203125" style="61" bestFit="1" customWidth="1"/>
    <col min="11014" max="11014" width="15.1640625" style="61"/>
    <col min="11015" max="11015" width="17.6640625" style="61" customWidth="1"/>
    <col min="11016" max="11016" width="15.5" style="61" customWidth="1"/>
    <col min="11017" max="11263" width="15.1640625" style="61"/>
    <col min="11264" max="11264" width="2.83203125" style="61" customWidth="1"/>
    <col min="11265" max="11265" width="26.33203125" style="61" customWidth="1"/>
    <col min="11266" max="11266" width="11.83203125" style="61" customWidth="1"/>
    <col min="11267" max="11267" width="17.6640625" style="61" customWidth="1"/>
    <col min="11268" max="11269" width="12.83203125" style="61" bestFit="1" customWidth="1"/>
    <col min="11270" max="11270" width="15.1640625" style="61"/>
    <col min="11271" max="11271" width="17.6640625" style="61" customWidth="1"/>
    <col min="11272" max="11272" width="15.5" style="61" customWidth="1"/>
    <col min="11273" max="11519" width="15.1640625" style="61"/>
    <col min="11520" max="11520" width="2.83203125" style="61" customWidth="1"/>
    <col min="11521" max="11521" width="26.33203125" style="61" customWidth="1"/>
    <col min="11522" max="11522" width="11.83203125" style="61" customWidth="1"/>
    <col min="11523" max="11523" width="17.6640625" style="61" customWidth="1"/>
    <col min="11524" max="11525" width="12.83203125" style="61" bestFit="1" customWidth="1"/>
    <col min="11526" max="11526" width="15.1640625" style="61"/>
    <col min="11527" max="11527" width="17.6640625" style="61" customWidth="1"/>
    <col min="11528" max="11528" width="15.5" style="61" customWidth="1"/>
    <col min="11529" max="11775" width="15.1640625" style="61"/>
    <col min="11776" max="11776" width="2.83203125" style="61" customWidth="1"/>
    <col min="11777" max="11777" width="26.33203125" style="61" customWidth="1"/>
    <col min="11778" max="11778" width="11.83203125" style="61" customWidth="1"/>
    <col min="11779" max="11779" width="17.6640625" style="61" customWidth="1"/>
    <col min="11780" max="11781" width="12.83203125" style="61" bestFit="1" customWidth="1"/>
    <col min="11782" max="11782" width="15.1640625" style="61"/>
    <col min="11783" max="11783" width="17.6640625" style="61" customWidth="1"/>
    <col min="11784" max="11784" width="15.5" style="61" customWidth="1"/>
    <col min="11785" max="12031" width="15.1640625" style="61"/>
    <col min="12032" max="12032" width="2.83203125" style="61" customWidth="1"/>
    <col min="12033" max="12033" width="26.33203125" style="61" customWidth="1"/>
    <col min="12034" max="12034" width="11.83203125" style="61" customWidth="1"/>
    <col min="12035" max="12035" width="17.6640625" style="61" customWidth="1"/>
    <col min="12036" max="12037" width="12.83203125" style="61" bestFit="1" customWidth="1"/>
    <col min="12038" max="12038" width="15.1640625" style="61"/>
    <col min="12039" max="12039" width="17.6640625" style="61" customWidth="1"/>
    <col min="12040" max="12040" width="15.5" style="61" customWidth="1"/>
    <col min="12041" max="12287" width="15.1640625" style="61"/>
    <col min="12288" max="12288" width="2.83203125" style="61" customWidth="1"/>
    <col min="12289" max="12289" width="26.33203125" style="61" customWidth="1"/>
    <col min="12290" max="12290" width="11.83203125" style="61" customWidth="1"/>
    <col min="12291" max="12291" width="17.6640625" style="61" customWidth="1"/>
    <col min="12292" max="12293" width="12.83203125" style="61" bestFit="1" customWidth="1"/>
    <col min="12294" max="12294" width="15.1640625" style="61"/>
    <col min="12295" max="12295" width="17.6640625" style="61" customWidth="1"/>
    <col min="12296" max="12296" width="15.5" style="61" customWidth="1"/>
    <col min="12297" max="12543" width="15.1640625" style="61"/>
    <col min="12544" max="12544" width="2.83203125" style="61" customWidth="1"/>
    <col min="12545" max="12545" width="26.33203125" style="61" customWidth="1"/>
    <col min="12546" max="12546" width="11.83203125" style="61" customWidth="1"/>
    <col min="12547" max="12547" width="17.6640625" style="61" customWidth="1"/>
    <col min="12548" max="12549" width="12.83203125" style="61" bestFit="1" customWidth="1"/>
    <col min="12550" max="12550" width="15.1640625" style="61"/>
    <col min="12551" max="12551" width="17.6640625" style="61" customWidth="1"/>
    <col min="12552" max="12552" width="15.5" style="61" customWidth="1"/>
    <col min="12553" max="12799" width="15.1640625" style="61"/>
    <col min="12800" max="12800" width="2.83203125" style="61" customWidth="1"/>
    <col min="12801" max="12801" width="26.33203125" style="61" customWidth="1"/>
    <col min="12802" max="12802" width="11.83203125" style="61" customWidth="1"/>
    <col min="12803" max="12803" width="17.6640625" style="61" customWidth="1"/>
    <col min="12804" max="12805" width="12.83203125" style="61" bestFit="1" customWidth="1"/>
    <col min="12806" max="12806" width="15.1640625" style="61"/>
    <col min="12807" max="12807" width="17.6640625" style="61" customWidth="1"/>
    <col min="12808" max="12808" width="15.5" style="61" customWidth="1"/>
    <col min="12809" max="13055" width="15.1640625" style="61"/>
    <col min="13056" max="13056" width="2.83203125" style="61" customWidth="1"/>
    <col min="13057" max="13057" width="26.33203125" style="61" customWidth="1"/>
    <col min="13058" max="13058" width="11.83203125" style="61" customWidth="1"/>
    <col min="13059" max="13059" width="17.6640625" style="61" customWidth="1"/>
    <col min="13060" max="13061" width="12.83203125" style="61" bestFit="1" customWidth="1"/>
    <col min="13062" max="13062" width="15.1640625" style="61"/>
    <col min="13063" max="13063" width="17.6640625" style="61" customWidth="1"/>
    <col min="13064" max="13064" width="15.5" style="61" customWidth="1"/>
    <col min="13065" max="13311" width="15.1640625" style="61"/>
    <col min="13312" max="13312" width="2.83203125" style="61" customWidth="1"/>
    <col min="13313" max="13313" width="26.33203125" style="61" customWidth="1"/>
    <col min="13314" max="13314" width="11.83203125" style="61" customWidth="1"/>
    <col min="13315" max="13315" width="17.6640625" style="61" customWidth="1"/>
    <col min="13316" max="13317" width="12.83203125" style="61" bestFit="1" customWidth="1"/>
    <col min="13318" max="13318" width="15.1640625" style="61"/>
    <col min="13319" max="13319" width="17.6640625" style="61" customWidth="1"/>
    <col min="13320" max="13320" width="15.5" style="61" customWidth="1"/>
    <col min="13321" max="13567" width="15.1640625" style="61"/>
    <col min="13568" max="13568" width="2.83203125" style="61" customWidth="1"/>
    <col min="13569" max="13569" width="26.33203125" style="61" customWidth="1"/>
    <col min="13570" max="13570" width="11.83203125" style="61" customWidth="1"/>
    <col min="13571" max="13571" width="17.6640625" style="61" customWidth="1"/>
    <col min="13572" max="13573" width="12.83203125" style="61" bestFit="1" customWidth="1"/>
    <col min="13574" max="13574" width="15.1640625" style="61"/>
    <col min="13575" max="13575" width="17.6640625" style="61" customWidth="1"/>
    <col min="13576" max="13576" width="15.5" style="61" customWidth="1"/>
    <col min="13577" max="13823" width="15.1640625" style="61"/>
    <col min="13824" max="13824" width="2.83203125" style="61" customWidth="1"/>
    <col min="13825" max="13825" width="26.33203125" style="61" customWidth="1"/>
    <col min="13826" max="13826" width="11.83203125" style="61" customWidth="1"/>
    <col min="13827" max="13827" width="17.6640625" style="61" customWidth="1"/>
    <col min="13828" max="13829" width="12.83203125" style="61" bestFit="1" customWidth="1"/>
    <col min="13830" max="13830" width="15.1640625" style="61"/>
    <col min="13831" max="13831" width="17.6640625" style="61" customWidth="1"/>
    <col min="13832" max="13832" width="15.5" style="61" customWidth="1"/>
    <col min="13833" max="14079" width="15.1640625" style="61"/>
    <col min="14080" max="14080" width="2.83203125" style="61" customWidth="1"/>
    <col min="14081" max="14081" width="26.33203125" style="61" customWidth="1"/>
    <col min="14082" max="14082" width="11.83203125" style="61" customWidth="1"/>
    <col min="14083" max="14083" width="17.6640625" style="61" customWidth="1"/>
    <col min="14084" max="14085" width="12.83203125" style="61" bestFit="1" customWidth="1"/>
    <col min="14086" max="14086" width="15.1640625" style="61"/>
    <col min="14087" max="14087" width="17.6640625" style="61" customWidth="1"/>
    <col min="14088" max="14088" width="15.5" style="61" customWidth="1"/>
    <col min="14089" max="14335" width="15.1640625" style="61"/>
    <col min="14336" max="14336" width="2.83203125" style="61" customWidth="1"/>
    <col min="14337" max="14337" width="26.33203125" style="61" customWidth="1"/>
    <col min="14338" max="14338" width="11.83203125" style="61" customWidth="1"/>
    <col min="14339" max="14339" width="17.6640625" style="61" customWidth="1"/>
    <col min="14340" max="14341" width="12.83203125" style="61" bestFit="1" customWidth="1"/>
    <col min="14342" max="14342" width="15.1640625" style="61"/>
    <col min="14343" max="14343" width="17.6640625" style="61" customWidth="1"/>
    <col min="14344" max="14344" width="15.5" style="61" customWidth="1"/>
    <col min="14345" max="14591" width="15.1640625" style="61"/>
    <col min="14592" max="14592" width="2.83203125" style="61" customWidth="1"/>
    <col min="14593" max="14593" width="26.33203125" style="61" customWidth="1"/>
    <col min="14594" max="14594" width="11.83203125" style="61" customWidth="1"/>
    <col min="14595" max="14595" width="17.6640625" style="61" customWidth="1"/>
    <col min="14596" max="14597" width="12.83203125" style="61" bestFit="1" customWidth="1"/>
    <col min="14598" max="14598" width="15.1640625" style="61"/>
    <col min="14599" max="14599" width="17.6640625" style="61" customWidth="1"/>
    <col min="14600" max="14600" width="15.5" style="61" customWidth="1"/>
    <col min="14601" max="14847" width="15.1640625" style="61"/>
    <col min="14848" max="14848" width="2.83203125" style="61" customWidth="1"/>
    <col min="14849" max="14849" width="26.33203125" style="61" customWidth="1"/>
    <col min="14850" max="14850" width="11.83203125" style="61" customWidth="1"/>
    <col min="14851" max="14851" width="17.6640625" style="61" customWidth="1"/>
    <col min="14852" max="14853" width="12.83203125" style="61" bestFit="1" customWidth="1"/>
    <col min="14854" max="14854" width="15.1640625" style="61"/>
    <col min="14855" max="14855" width="17.6640625" style="61" customWidth="1"/>
    <col min="14856" max="14856" width="15.5" style="61" customWidth="1"/>
    <col min="14857" max="15103" width="15.1640625" style="61"/>
    <col min="15104" max="15104" width="2.83203125" style="61" customWidth="1"/>
    <col min="15105" max="15105" width="26.33203125" style="61" customWidth="1"/>
    <col min="15106" max="15106" width="11.83203125" style="61" customWidth="1"/>
    <col min="15107" max="15107" width="17.6640625" style="61" customWidth="1"/>
    <col min="15108" max="15109" width="12.83203125" style="61" bestFit="1" customWidth="1"/>
    <col min="15110" max="15110" width="15.1640625" style="61"/>
    <col min="15111" max="15111" width="17.6640625" style="61" customWidth="1"/>
    <col min="15112" max="15112" width="15.5" style="61" customWidth="1"/>
    <col min="15113" max="15359" width="15.1640625" style="61"/>
    <col min="15360" max="15360" width="2.83203125" style="61" customWidth="1"/>
    <col min="15361" max="15361" width="26.33203125" style="61" customWidth="1"/>
    <col min="15362" max="15362" width="11.83203125" style="61" customWidth="1"/>
    <col min="15363" max="15363" width="17.6640625" style="61" customWidth="1"/>
    <col min="15364" max="15365" width="12.83203125" style="61" bestFit="1" customWidth="1"/>
    <col min="15366" max="15366" width="15.1640625" style="61"/>
    <col min="15367" max="15367" width="17.6640625" style="61" customWidth="1"/>
    <col min="15368" max="15368" width="15.5" style="61" customWidth="1"/>
    <col min="15369" max="15615" width="15.1640625" style="61"/>
    <col min="15616" max="15616" width="2.83203125" style="61" customWidth="1"/>
    <col min="15617" max="15617" width="26.33203125" style="61" customWidth="1"/>
    <col min="15618" max="15618" width="11.83203125" style="61" customWidth="1"/>
    <col min="15619" max="15619" width="17.6640625" style="61" customWidth="1"/>
    <col min="15620" max="15621" width="12.83203125" style="61" bestFit="1" customWidth="1"/>
    <col min="15622" max="15622" width="15.1640625" style="61"/>
    <col min="15623" max="15623" width="17.6640625" style="61" customWidth="1"/>
    <col min="15624" max="15624" width="15.5" style="61" customWidth="1"/>
    <col min="15625" max="15871" width="15.1640625" style="61"/>
    <col min="15872" max="15872" width="2.83203125" style="61" customWidth="1"/>
    <col min="15873" max="15873" width="26.33203125" style="61" customWidth="1"/>
    <col min="15874" max="15874" width="11.83203125" style="61" customWidth="1"/>
    <col min="15875" max="15875" width="17.6640625" style="61" customWidth="1"/>
    <col min="15876" max="15877" width="12.83203125" style="61" bestFit="1" customWidth="1"/>
    <col min="15878" max="15878" width="15.1640625" style="61"/>
    <col min="15879" max="15879" width="17.6640625" style="61" customWidth="1"/>
    <col min="15880" max="15880" width="15.5" style="61" customWidth="1"/>
    <col min="15881" max="16127" width="15.1640625" style="61"/>
    <col min="16128" max="16128" width="2.83203125" style="61" customWidth="1"/>
    <col min="16129" max="16129" width="26.33203125" style="61" customWidth="1"/>
    <col min="16130" max="16130" width="11.83203125" style="61" customWidth="1"/>
    <col min="16131" max="16131" width="17.6640625" style="61" customWidth="1"/>
    <col min="16132" max="16133" width="12.83203125" style="61" bestFit="1" customWidth="1"/>
    <col min="16134" max="16134" width="15.1640625" style="61"/>
    <col min="16135" max="16135" width="17.6640625" style="61" customWidth="1"/>
    <col min="16136" max="16136" width="15.5" style="61" customWidth="1"/>
    <col min="16137" max="16384" width="15.1640625" style="61"/>
  </cols>
  <sheetData>
    <row r="1" spans="1:22" ht="23.25" customHeight="1" x14ac:dyDescent="0.2">
      <c r="A1" s="1179"/>
      <c r="B1" s="1135"/>
      <c r="C1" s="1135"/>
      <c r="D1" s="1135"/>
      <c r="E1" s="1135" t="s">
        <v>0</v>
      </c>
      <c r="F1" s="1135"/>
      <c r="G1" s="1135"/>
      <c r="H1" s="1135"/>
      <c r="I1" s="1135"/>
      <c r="J1" s="1135"/>
      <c r="K1" s="1135"/>
      <c r="L1" s="1135"/>
      <c r="M1" s="1135"/>
      <c r="N1" s="1135"/>
      <c r="O1" s="1135"/>
      <c r="P1" s="1135"/>
      <c r="Q1" s="1135"/>
      <c r="R1" s="1135"/>
      <c r="S1" s="1135"/>
      <c r="T1" s="1136"/>
      <c r="U1" s="715" t="s">
        <v>104</v>
      </c>
      <c r="V1" s="62"/>
    </row>
    <row r="2" spans="1:22" ht="20.25" customHeight="1" x14ac:dyDescent="0.2">
      <c r="A2" s="1180"/>
      <c r="B2" s="1137"/>
      <c r="C2" s="1137"/>
      <c r="D2" s="1137"/>
      <c r="E2" s="1137" t="s">
        <v>402</v>
      </c>
      <c r="F2" s="1137"/>
      <c r="G2" s="1137"/>
      <c r="H2" s="1137"/>
      <c r="I2" s="1137"/>
      <c r="J2" s="1137"/>
      <c r="K2" s="1137"/>
      <c r="L2" s="1137"/>
      <c r="M2" s="1137"/>
      <c r="N2" s="1137"/>
      <c r="O2" s="1137"/>
      <c r="P2" s="1137"/>
      <c r="Q2" s="1137"/>
      <c r="R2" s="1137"/>
      <c r="S2" s="1137"/>
      <c r="T2" s="1138"/>
    </row>
    <row r="3" spans="1:22" ht="21" customHeight="1" thickBot="1" x14ac:dyDescent="0.25">
      <c r="A3" s="1181"/>
      <c r="B3" s="1139"/>
      <c r="C3" s="1139"/>
      <c r="D3" s="1139"/>
      <c r="E3" s="1139" t="s">
        <v>2</v>
      </c>
      <c r="F3" s="1139"/>
      <c r="G3" s="1139"/>
      <c r="H3" s="1139"/>
      <c r="I3" s="1139"/>
      <c r="J3" s="1139"/>
      <c r="K3" s="1139"/>
      <c r="L3" s="1139"/>
      <c r="M3" s="1139" t="str">
        <f>Instructivo!G3</f>
        <v>VERSIÓN: 04</v>
      </c>
      <c r="N3" s="1139"/>
      <c r="O3" s="1139"/>
      <c r="P3" s="1139"/>
      <c r="Q3" s="1139"/>
      <c r="R3" s="1139"/>
      <c r="S3" s="1139"/>
      <c r="T3" s="1182"/>
    </row>
    <row r="4" spans="1:22" ht="18" customHeight="1" thickBot="1" x14ac:dyDescent="0.25"/>
    <row r="5" spans="1:22" ht="18" customHeight="1" thickBot="1" x14ac:dyDescent="0.25">
      <c r="A5" s="1093" t="s">
        <v>106</v>
      </c>
      <c r="B5" s="1093"/>
      <c r="C5" s="956" t="str">
        <f>'Plan Ejecución'!AE5</f>
        <v>Licitación Pública</v>
      </c>
      <c r="D5" s="957"/>
      <c r="E5" s="957"/>
      <c r="F5" s="957"/>
      <c r="G5" s="957"/>
      <c r="H5" s="957"/>
      <c r="I5" s="957"/>
      <c r="J5" s="957"/>
      <c r="K5" s="957"/>
      <c r="L5" s="957"/>
      <c r="M5" s="957"/>
      <c r="N5" s="957"/>
      <c r="O5" s="957"/>
      <c r="P5" s="957"/>
      <c r="Q5" s="957"/>
      <c r="R5" s="957"/>
      <c r="S5" s="957"/>
      <c r="T5" s="958"/>
    </row>
    <row r="6" spans="1:22" ht="18" customHeight="1" thickBot="1" x14ac:dyDescent="0.25">
      <c r="A6" s="1093" t="s">
        <v>108</v>
      </c>
      <c r="B6" s="1093"/>
      <c r="C6" s="956" t="str">
        <f>'Plan Ejecución'!AE6</f>
        <v>“Adquirir el Programa de Seguros para la protección de los bienes e intereses, según los ramos y coberturas que requiera CORANTIOQUIA”.</v>
      </c>
      <c r="D6" s="957"/>
      <c r="E6" s="957"/>
      <c r="F6" s="957"/>
      <c r="G6" s="957"/>
      <c r="H6" s="957"/>
      <c r="I6" s="957"/>
      <c r="J6" s="957"/>
      <c r="K6" s="957"/>
      <c r="L6" s="957"/>
      <c r="M6" s="957"/>
      <c r="N6" s="957"/>
      <c r="O6" s="957"/>
      <c r="P6" s="957"/>
      <c r="Q6" s="957"/>
      <c r="R6" s="957"/>
      <c r="S6" s="957"/>
      <c r="T6" s="958"/>
    </row>
    <row r="7" spans="1:22" ht="18" customHeight="1" thickBot="1" x14ac:dyDescent="0.25">
      <c r="A7" s="30"/>
      <c r="B7" s="30"/>
      <c r="C7" s="30"/>
      <c r="D7" s="30"/>
      <c r="E7" s="30"/>
      <c r="F7" s="30"/>
      <c r="G7" s="30"/>
      <c r="H7" s="30"/>
      <c r="I7" s="30"/>
      <c r="J7" s="30"/>
      <c r="K7" s="30"/>
      <c r="L7" s="30"/>
      <c r="M7" s="30"/>
    </row>
    <row r="8" spans="1:22" ht="18" customHeight="1" x14ac:dyDescent="0.2">
      <c r="A8" s="1151" t="s">
        <v>368</v>
      </c>
      <c r="B8" s="1152"/>
      <c r="C8" s="1152"/>
      <c r="D8" s="1152"/>
      <c r="E8" s="1152"/>
      <c r="F8" s="1152"/>
      <c r="G8" s="1152"/>
      <c r="H8" s="1152"/>
      <c r="I8" s="1152"/>
      <c r="J8" s="1213" t="s">
        <v>403</v>
      </c>
      <c r="K8" s="1213"/>
      <c r="L8" s="1213"/>
      <c r="M8" s="1214"/>
      <c r="O8" s="1157" t="s">
        <v>404</v>
      </c>
      <c r="P8" s="1158"/>
      <c r="Q8" s="1158"/>
      <c r="R8" s="1158"/>
      <c r="S8" s="1158"/>
      <c r="T8" s="1159"/>
    </row>
    <row r="9" spans="1:22" ht="18" customHeight="1" x14ac:dyDescent="0.2">
      <c r="A9" s="1217" t="s">
        <v>370</v>
      </c>
      <c r="B9" s="1173" t="s">
        <v>371</v>
      </c>
      <c r="C9" s="1173" t="s">
        <v>372</v>
      </c>
      <c r="D9" s="1173" t="s">
        <v>119</v>
      </c>
      <c r="E9" s="1173" t="s">
        <v>373</v>
      </c>
      <c r="F9" s="1173" t="s">
        <v>374</v>
      </c>
      <c r="G9" s="1173" t="s">
        <v>375</v>
      </c>
      <c r="H9" s="1173" t="s">
        <v>376</v>
      </c>
      <c r="I9" s="1218" t="s">
        <v>377</v>
      </c>
      <c r="J9" s="1215" t="s">
        <v>405</v>
      </c>
      <c r="K9" s="1215"/>
      <c r="L9" s="1215" t="s">
        <v>406</v>
      </c>
      <c r="M9" s="1216"/>
      <c r="O9" s="1199"/>
      <c r="P9" s="1200"/>
      <c r="Q9" s="1200"/>
      <c r="R9" s="1200"/>
      <c r="S9" s="1200"/>
      <c r="T9" s="1201"/>
    </row>
    <row r="10" spans="1:22" ht="18" customHeight="1" x14ac:dyDescent="0.2">
      <c r="A10" s="1217"/>
      <c r="B10" s="1173"/>
      <c r="C10" s="1173"/>
      <c r="D10" s="1173"/>
      <c r="E10" s="1173"/>
      <c r="F10" s="1173"/>
      <c r="G10" s="1173"/>
      <c r="H10" s="1173"/>
      <c r="I10" s="1218"/>
      <c r="J10" s="123" t="s">
        <v>407</v>
      </c>
      <c r="K10" s="123" t="s">
        <v>408</v>
      </c>
      <c r="L10" s="123" t="s">
        <v>407</v>
      </c>
      <c r="M10" s="124" t="s">
        <v>408</v>
      </c>
      <c r="O10" s="387" t="s">
        <v>149</v>
      </c>
      <c r="P10" s="388" t="s">
        <v>151</v>
      </c>
      <c r="Q10" s="388" t="s">
        <v>153</v>
      </c>
      <c r="R10" s="388" t="s">
        <v>155</v>
      </c>
      <c r="S10" s="388" t="s">
        <v>157</v>
      </c>
      <c r="T10" s="389" t="s">
        <v>311</v>
      </c>
    </row>
    <row r="11" spans="1:22" ht="18" customHeight="1" x14ac:dyDescent="0.2">
      <c r="A11" s="1176" t="s">
        <v>378</v>
      </c>
      <c r="B11" s="1177"/>
      <c r="C11" s="1177"/>
      <c r="D11" s="1177"/>
      <c r="E11" s="1177"/>
      <c r="F11" s="1177"/>
      <c r="G11" s="1177"/>
      <c r="H11" s="1177"/>
      <c r="I11" s="1177"/>
      <c r="J11" s="1177"/>
      <c r="K11" s="1177"/>
      <c r="L11" s="1177"/>
      <c r="M11" s="1178"/>
      <c r="O11" s="365"/>
      <c r="P11" s="364"/>
      <c r="Q11" s="364"/>
      <c r="R11" s="364"/>
      <c r="S11" s="364"/>
      <c r="T11" s="386"/>
    </row>
    <row r="12" spans="1:22" ht="18" customHeight="1" x14ac:dyDescent="0.2">
      <c r="A12" s="38"/>
      <c r="B12" s="552"/>
      <c r="C12" s="4"/>
      <c r="D12" s="3"/>
      <c r="E12" s="631"/>
      <c r="F12" s="9" t="str">
        <f>IFERROR(VLOOKUP(A12,Honorarios!$A$9:$C$15,2,FALSE),"")</f>
        <v/>
      </c>
      <c r="G12" s="553" t="str">
        <f>IFERROR(((VLOOKUP(A12,Honorarios!$A$9:$C$15,3,FALSE))),"")</f>
        <v/>
      </c>
      <c r="H12" s="102">
        <f>IFERROR(B12*C12*E12*F12*G12,0)</f>
        <v>0</v>
      </c>
      <c r="I12" s="152">
        <f>IFERROR(H12/$H$100,0)</f>
        <v>0</v>
      </c>
      <c r="J12" s="632"/>
      <c r="K12" s="130"/>
      <c r="L12" s="130"/>
      <c r="M12" s="131"/>
      <c r="N12" s="125">
        <f>IFERROR(H12-SUM(J12:M12),"")</f>
        <v>0</v>
      </c>
      <c r="O12" s="627"/>
      <c r="P12" s="130"/>
      <c r="Q12" s="130"/>
      <c r="R12" s="130"/>
      <c r="S12" s="130"/>
      <c r="T12" s="131"/>
      <c r="U12" s="125">
        <f>J12-SUM(O12:T12)</f>
        <v>0</v>
      </c>
      <c r="V12" s="125"/>
    </row>
    <row r="13" spans="1:22" ht="18" customHeight="1" x14ac:dyDescent="0.2">
      <c r="A13" s="38"/>
      <c r="B13" s="552"/>
      <c r="C13" s="4"/>
      <c r="D13" s="3"/>
      <c r="E13" s="631"/>
      <c r="F13" s="9" t="str">
        <f>IFERROR(VLOOKUP(A13,Honorarios!$A$9:$C$15,2,FALSE),"")</f>
        <v/>
      </c>
      <c r="G13" s="553" t="str">
        <f>IFERROR(((VLOOKUP(A13,Honorarios!$A$9:$C$15,3,FALSE))),"")</f>
        <v/>
      </c>
      <c r="H13" s="102">
        <f t="shared" ref="H13:H60" si="0">IFERROR(B13*C13*E13*F13*G13,0)</f>
        <v>0</v>
      </c>
      <c r="I13" s="152">
        <f>IFERROR(H13/$H$100,0)</f>
        <v>0</v>
      </c>
      <c r="J13" s="632"/>
      <c r="K13" s="130"/>
      <c r="L13" s="130"/>
      <c r="M13" s="131"/>
      <c r="N13" s="125">
        <f t="shared" ref="N13:N60" si="1">IFERROR(H13-SUM(J13:M13),"")</f>
        <v>0</v>
      </c>
      <c r="O13" s="627"/>
      <c r="P13" s="130"/>
      <c r="Q13" s="130"/>
      <c r="R13" s="130"/>
      <c r="S13" s="130"/>
      <c r="T13" s="131"/>
      <c r="U13" s="125">
        <f t="shared" ref="U13:U76" si="2">J13-SUM(O13:T13)</f>
        <v>0</v>
      </c>
      <c r="V13" s="125"/>
    </row>
    <row r="14" spans="1:22" ht="18" customHeight="1" x14ac:dyDescent="0.2">
      <c r="A14" s="38"/>
      <c r="B14" s="552"/>
      <c r="C14" s="4"/>
      <c r="D14" s="3"/>
      <c r="E14" s="631"/>
      <c r="F14" s="9" t="str">
        <f>IFERROR(VLOOKUP(A14,Honorarios!$A$9:$C$15,2,FALSE),"")</f>
        <v/>
      </c>
      <c r="G14" s="553" t="str">
        <f>IFERROR(((VLOOKUP(A14,Honorarios!$A$9:$C$15,3,FALSE))),"")</f>
        <v/>
      </c>
      <c r="H14" s="102">
        <f t="shared" ref="H14:H34" si="3">IFERROR(B14*C14*E14*F14*G14,0)</f>
        <v>0</v>
      </c>
      <c r="I14" s="152">
        <f t="shared" ref="I14:I34" si="4">IFERROR(H14/$H$100,0)</f>
        <v>0</v>
      </c>
      <c r="J14" s="632"/>
      <c r="K14" s="130"/>
      <c r="L14" s="130"/>
      <c r="M14" s="131"/>
      <c r="N14" s="125">
        <f t="shared" si="1"/>
        <v>0</v>
      </c>
      <c r="O14" s="627"/>
      <c r="P14" s="130"/>
      <c r="Q14" s="130"/>
      <c r="R14" s="130"/>
      <c r="S14" s="130"/>
      <c r="T14" s="131"/>
      <c r="U14" s="125">
        <f t="shared" si="2"/>
        <v>0</v>
      </c>
      <c r="V14" s="125"/>
    </row>
    <row r="15" spans="1:22" ht="18" customHeight="1" x14ac:dyDescent="0.2">
      <c r="A15" s="38"/>
      <c r="B15" s="552"/>
      <c r="C15" s="4"/>
      <c r="D15" s="3"/>
      <c r="E15" s="631"/>
      <c r="F15" s="9" t="str">
        <f>IFERROR(VLOOKUP(A15,Honorarios!$A$9:$C$15,2,FALSE),"")</f>
        <v/>
      </c>
      <c r="G15" s="553" t="str">
        <f>IFERROR(((VLOOKUP(A15,Honorarios!$A$9:$C$15,3,FALSE))),"")</f>
        <v/>
      </c>
      <c r="H15" s="102">
        <f t="shared" si="3"/>
        <v>0</v>
      </c>
      <c r="I15" s="152">
        <f t="shared" si="4"/>
        <v>0</v>
      </c>
      <c r="J15" s="632"/>
      <c r="K15" s="130"/>
      <c r="L15" s="130"/>
      <c r="M15" s="131"/>
      <c r="N15" s="125">
        <f t="shared" si="1"/>
        <v>0</v>
      </c>
      <c r="O15" s="627"/>
      <c r="P15" s="130"/>
      <c r="Q15" s="130"/>
      <c r="R15" s="130"/>
      <c r="S15" s="130"/>
      <c r="T15" s="131"/>
      <c r="U15" s="125">
        <f t="shared" si="2"/>
        <v>0</v>
      </c>
      <c r="V15" s="125"/>
    </row>
    <row r="16" spans="1:22" ht="18" customHeight="1" x14ac:dyDescent="0.2">
      <c r="A16" s="38"/>
      <c r="B16" s="552"/>
      <c r="C16" s="4"/>
      <c r="D16" s="3"/>
      <c r="E16" s="631"/>
      <c r="F16" s="9" t="str">
        <f>IFERROR(VLOOKUP(A16,Honorarios!$A$9:$C$15,2,FALSE),"")</f>
        <v/>
      </c>
      <c r="G16" s="553" t="str">
        <f>IFERROR(((VLOOKUP(A16,Honorarios!$A$9:$C$15,3,FALSE))),"")</f>
        <v/>
      </c>
      <c r="H16" s="102">
        <f t="shared" si="3"/>
        <v>0</v>
      </c>
      <c r="I16" s="152">
        <f t="shared" si="4"/>
        <v>0</v>
      </c>
      <c r="J16" s="632"/>
      <c r="K16" s="130"/>
      <c r="L16" s="130"/>
      <c r="M16" s="131"/>
      <c r="N16" s="125">
        <f t="shared" si="1"/>
        <v>0</v>
      </c>
      <c r="O16" s="627"/>
      <c r="P16" s="130"/>
      <c r="Q16" s="130"/>
      <c r="R16" s="130"/>
      <c r="S16" s="130"/>
      <c r="T16" s="131"/>
      <c r="U16" s="125">
        <f t="shared" si="2"/>
        <v>0</v>
      </c>
      <c r="V16" s="125"/>
    </row>
    <row r="17" spans="1:22" ht="18" hidden="1" customHeight="1" x14ac:dyDescent="0.2">
      <c r="A17" s="38"/>
      <c r="B17" s="552"/>
      <c r="C17" s="4"/>
      <c r="D17" s="3"/>
      <c r="E17" s="631"/>
      <c r="F17" s="9" t="str">
        <f>IFERROR(VLOOKUP(A17,Honorarios!$A$9:$C$15,2,FALSE),"")</f>
        <v/>
      </c>
      <c r="G17" s="553" t="str">
        <f>IFERROR(((VLOOKUP(A17,Honorarios!$A$9:$C$15,3,FALSE))),"")</f>
        <v/>
      </c>
      <c r="H17" s="102">
        <f t="shared" si="3"/>
        <v>0</v>
      </c>
      <c r="I17" s="152">
        <f t="shared" si="4"/>
        <v>0</v>
      </c>
      <c r="J17" s="632"/>
      <c r="K17" s="130"/>
      <c r="L17" s="130"/>
      <c r="M17" s="131"/>
      <c r="N17" s="125">
        <f t="shared" si="1"/>
        <v>0</v>
      </c>
      <c r="O17" s="627"/>
      <c r="P17" s="130"/>
      <c r="Q17" s="130"/>
      <c r="R17" s="130"/>
      <c r="S17" s="130"/>
      <c r="T17" s="131"/>
      <c r="U17" s="125">
        <f t="shared" si="2"/>
        <v>0</v>
      </c>
      <c r="V17" s="125"/>
    </row>
    <row r="18" spans="1:22" ht="18" hidden="1" customHeight="1" x14ac:dyDescent="0.2">
      <c r="A18" s="38"/>
      <c r="B18" s="552"/>
      <c r="C18" s="4"/>
      <c r="D18" s="3"/>
      <c r="E18" s="631"/>
      <c r="F18" s="9" t="str">
        <f>IFERROR(VLOOKUP(A18,Honorarios!$A$9:$C$15,2,FALSE),"")</f>
        <v/>
      </c>
      <c r="G18" s="553" t="str">
        <f>IFERROR(((VLOOKUP(A18,Honorarios!$A$9:$C$15,3,FALSE))),"")</f>
        <v/>
      </c>
      <c r="H18" s="102">
        <f t="shared" si="3"/>
        <v>0</v>
      </c>
      <c r="I18" s="152">
        <f t="shared" si="4"/>
        <v>0</v>
      </c>
      <c r="J18" s="632"/>
      <c r="K18" s="130"/>
      <c r="L18" s="130"/>
      <c r="M18" s="131"/>
      <c r="N18" s="125">
        <f t="shared" si="1"/>
        <v>0</v>
      </c>
      <c r="O18" s="627"/>
      <c r="P18" s="130"/>
      <c r="Q18" s="130"/>
      <c r="R18" s="130"/>
      <c r="S18" s="130"/>
      <c r="T18" s="131"/>
      <c r="U18" s="125">
        <f t="shared" si="2"/>
        <v>0</v>
      </c>
      <c r="V18" s="125"/>
    </row>
    <row r="19" spans="1:22" ht="18" hidden="1" customHeight="1" x14ac:dyDescent="0.2">
      <c r="A19" s="38"/>
      <c r="B19" s="552"/>
      <c r="C19" s="4"/>
      <c r="D19" s="3"/>
      <c r="E19" s="631"/>
      <c r="F19" s="9" t="str">
        <f>IFERROR(VLOOKUP(A19,Honorarios!$A$9:$C$15,2,FALSE),"")</f>
        <v/>
      </c>
      <c r="G19" s="553" t="str">
        <f>IFERROR(((VLOOKUP(A19,Honorarios!$A$9:$C$15,3,FALSE))),"")</f>
        <v/>
      </c>
      <c r="H19" s="102">
        <f t="shared" si="3"/>
        <v>0</v>
      </c>
      <c r="I19" s="152">
        <f t="shared" si="4"/>
        <v>0</v>
      </c>
      <c r="J19" s="632"/>
      <c r="K19" s="130"/>
      <c r="L19" s="130"/>
      <c r="M19" s="131"/>
      <c r="N19" s="125">
        <f t="shared" si="1"/>
        <v>0</v>
      </c>
      <c r="O19" s="627"/>
      <c r="P19" s="130"/>
      <c r="Q19" s="130"/>
      <c r="R19" s="130"/>
      <c r="S19" s="130"/>
      <c r="T19" s="131"/>
      <c r="U19" s="125">
        <f t="shared" si="2"/>
        <v>0</v>
      </c>
      <c r="V19" s="125"/>
    </row>
    <row r="20" spans="1:22" ht="18" hidden="1" customHeight="1" x14ac:dyDescent="0.2">
      <c r="A20" s="38"/>
      <c r="B20" s="552"/>
      <c r="C20" s="4"/>
      <c r="D20" s="3"/>
      <c r="E20" s="631"/>
      <c r="F20" s="9" t="str">
        <f>IFERROR(VLOOKUP(A20,Honorarios!$A$9:$C$15,2,FALSE),"")</f>
        <v/>
      </c>
      <c r="G20" s="553" t="str">
        <f>IFERROR(((VLOOKUP(A20,Honorarios!$A$9:$C$15,3,FALSE))),"")</f>
        <v/>
      </c>
      <c r="H20" s="102">
        <f t="shared" si="3"/>
        <v>0</v>
      </c>
      <c r="I20" s="152">
        <f t="shared" si="4"/>
        <v>0</v>
      </c>
      <c r="J20" s="632"/>
      <c r="K20" s="130"/>
      <c r="L20" s="130"/>
      <c r="M20" s="131"/>
      <c r="N20" s="125">
        <f t="shared" si="1"/>
        <v>0</v>
      </c>
      <c r="O20" s="627"/>
      <c r="P20" s="130"/>
      <c r="Q20" s="130"/>
      <c r="R20" s="130"/>
      <c r="S20" s="130"/>
      <c r="T20" s="131"/>
      <c r="U20" s="125">
        <f t="shared" si="2"/>
        <v>0</v>
      </c>
      <c r="V20" s="125"/>
    </row>
    <row r="21" spans="1:22" ht="18" hidden="1" customHeight="1" x14ac:dyDescent="0.2">
      <c r="A21" s="38"/>
      <c r="B21" s="552"/>
      <c r="C21" s="4"/>
      <c r="D21" s="3"/>
      <c r="E21" s="631"/>
      <c r="F21" s="9" t="str">
        <f>IFERROR(VLOOKUP(A21,Honorarios!$A$9:$C$15,2,FALSE),"")</f>
        <v/>
      </c>
      <c r="G21" s="553" t="str">
        <f>IFERROR(((VLOOKUP(A21,Honorarios!$A$9:$C$15,3,FALSE))),"")</f>
        <v/>
      </c>
      <c r="H21" s="102">
        <f t="shared" si="3"/>
        <v>0</v>
      </c>
      <c r="I21" s="152">
        <f t="shared" si="4"/>
        <v>0</v>
      </c>
      <c r="J21" s="632"/>
      <c r="K21" s="130"/>
      <c r="L21" s="130"/>
      <c r="M21" s="131"/>
      <c r="N21" s="125">
        <f t="shared" si="1"/>
        <v>0</v>
      </c>
      <c r="O21" s="627"/>
      <c r="P21" s="130"/>
      <c r="Q21" s="130"/>
      <c r="R21" s="130"/>
      <c r="S21" s="130"/>
      <c r="T21" s="131"/>
      <c r="U21" s="125">
        <f t="shared" si="2"/>
        <v>0</v>
      </c>
      <c r="V21" s="125"/>
    </row>
    <row r="22" spans="1:22" ht="18" hidden="1" customHeight="1" x14ac:dyDescent="0.2">
      <c r="A22" s="38"/>
      <c r="B22" s="552"/>
      <c r="C22" s="4"/>
      <c r="D22" s="3"/>
      <c r="E22" s="631"/>
      <c r="F22" s="9" t="str">
        <f>IFERROR(VLOOKUP(A22,Honorarios!$A$9:$C$15,2,FALSE),"")</f>
        <v/>
      </c>
      <c r="G22" s="553" t="str">
        <f>IFERROR(((VLOOKUP(A22,Honorarios!$A$9:$C$15,3,FALSE))),"")</f>
        <v/>
      </c>
      <c r="H22" s="102">
        <f t="shared" si="3"/>
        <v>0</v>
      </c>
      <c r="I22" s="152">
        <f t="shared" si="4"/>
        <v>0</v>
      </c>
      <c r="J22" s="632"/>
      <c r="K22" s="130"/>
      <c r="L22" s="130"/>
      <c r="M22" s="131"/>
      <c r="N22" s="125">
        <f t="shared" si="1"/>
        <v>0</v>
      </c>
      <c r="O22" s="627"/>
      <c r="P22" s="130"/>
      <c r="Q22" s="130"/>
      <c r="R22" s="130"/>
      <c r="S22" s="130"/>
      <c r="T22" s="131"/>
      <c r="U22" s="125">
        <f t="shared" si="2"/>
        <v>0</v>
      </c>
      <c r="V22" s="125"/>
    </row>
    <row r="23" spans="1:22" ht="18" hidden="1" customHeight="1" x14ac:dyDescent="0.2">
      <c r="A23" s="38"/>
      <c r="B23" s="552"/>
      <c r="C23" s="4"/>
      <c r="D23" s="3"/>
      <c r="E23" s="631"/>
      <c r="F23" s="9" t="str">
        <f>IFERROR(VLOOKUP(A23,Honorarios!$A$9:$C$15,2,FALSE),"")</f>
        <v/>
      </c>
      <c r="G23" s="553" t="str">
        <f>IFERROR(((VLOOKUP(A23,Honorarios!$A$9:$C$15,3,FALSE))),"")</f>
        <v/>
      </c>
      <c r="H23" s="102">
        <f t="shared" si="3"/>
        <v>0</v>
      </c>
      <c r="I23" s="152">
        <f t="shared" si="4"/>
        <v>0</v>
      </c>
      <c r="J23" s="632"/>
      <c r="K23" s="130"/>
      <c r="L23" s="130"/>
      <c r="M23" s="131"/>
      <c r="N23" s="125">
        <f t="shared" si="1"/>
        <v>0</v>
      </c>
      <c r="O23" s="627"/>
      <c r="P23" s="130"/>
      <c r="Q23" s="130"/>
      <c r="R23" s="130"/>
      <c r="S23" s="130"/>
      <c r="T23" s="131"/>
      <c r="U23" s="125">
        <f t="shared" si="2"/>
        <v>0</v>
      </c>
      <c r="V23" s="125"/>
    </row>
    <row r="24" spans="1:22" ht="18" hidden="1" customHeight="1" x14ac:dyDescent="0.2">
      <c r="A24" s="38"/>
      <c r="B24" s="552"/>
      <c r="C24" s="4"/>
      <c r="D24" s="3"/>
      <c r="E24" s="631"/>
      <c r="F24" s="9" t="str">
        <f>IFERROR(VLOOKUP(A24,Honorarios!$A$9:$C$15,2,FALSE),"")</f>
        <v/>
      </c>
      <c r="G24" s="553" t="str">
        <f>IFERROR(((VLOOKUP(A24,Honorarios!$A$9:$C$15,3,FALSE))),"")</f>
        <v/>
      </c>
      <c r="H24" s="102">
        <f t="shared" si="3"/>
        <v>0</v>
      </c>
      <c r="I24" s="152">
        <f t="shared" si="4"/>
        <v>0</v>
      </c>
      <c r="J24" s="632"/>
      <c r="K24" s="130"/>
      <c r="L24" s="130"/>
      <c r="M24" s="131"/>
      <c r="N24" s="125">
        <f t="shared" si="1"/>
        <v>0</v>
      </c>
      <c r="O24" s="627"/>
      <c r="P24" s="130"/>
      <c r="Q24" s="130"/>
      <c r="R24" s="130"/>
      <c r="S24" s="130"/>
      <c r="T24" s="131"/>
      <c r="U24" s="125">
        <f t="shared" si="2"/>
        <v>0</v>
      </c>
      <c r="V24" s="125"/>
    </row>
    <row r="25" spans="1:22" ht="18" hidden="1" customHeight="1" x14ac:dyDescent="0.2">
      <c r="A25" s="38"/>
      <c r="B25" s="552"/>
      <c r="C25" s="4"/>
      <c r="D25" s="3"/>
      <c r="E25" s="631"/>
      <c r="F25" s="9" t="str">
        <f>IFERROR(VLOOKUP(A25,Honorarios!$A$9:$C$15,2,FALSE),"")</f>
        <v/>
      </c>
      <c r="G25" s="553" t="str">
        <f>IFERROR(((VLOOKUP(A25,Honorarios!$A$9:$C$15,3,FALSE))),"")</f>
        <v/>
      </c>
      <c r="H25" s="102">
        <f t="shared" si="3"/>
        <v>0</v>
      </c>
      <c r="I25" s="152">
        <f t="shared" si="4"/>
        <v>0</v>
      </c>
      <c r="J25" s="632"/>
      <c r="K25" s="130"/>
      <c r="L25" s="130"/>
      <c r="M25" s="131"/>
      <c r="N25" s="125">
        <f t="shared" si="1"/>
        <v>0</v>
      </c>
      <c r="O25" s="627"/>
      <c r="P25" s="130"/>
      <c r="Q25" s="130"/>
      <c r="R25" s="130"/>
      <c r="S25" s="130"/>
      <c r="T25" s="131"/>
      <c r="U25" s="125">
        <f t="shared" si="2"/>
        <v>0</v>
      </c>
      <c r="V25" s="125"/>
    </row>
    <row r="26" spans="1:22" ht="18" hidden="1" customHeight="1" x14ac:dyDescent="0.2">
      <c r="A26" s="38"/>
      <c r="B26" s="552"/>
      <c r="C26" s="4"/>
      <c r="D26" s="3"/>
      <c r="E26" s="631"/>
      <c r="F26" s="9" t="str">
        <f>IFERROR(VLOOKUP(A26,Honorarios!$A$9:$C$15,2,FALSE),"")</f>
        <v/>
      </c>
      <c r="G26" s="553" t="str">
        <f>IFERROR(((VLOOKUP(A26,Honorarios!$A$9:$C$15,3,FALSE))),"")</f>
        <v/>
      </c>
      <c r="H26" s="102">
        <f t="shared" si="3"/>
        <v>0</v>
      </c>
      <c r="I26" s="152">
        <f t="shared" si="4"/>
        <v>0</v>
      </c>
      <c r="J26" s="632"/>
      <c r="K26" s="130"/>
      <c r="L26" s="130"/>
      <c r="M26" s="131"/>
      <c r="N26" s="125">
        <f t="shared" si="1"/>
        <v>0</v>
      </c>
      <c r="O26" s="627"/>
      <c r="P26" s="130"/>
      <c r="Q26" s="130"/>
      <c r="R26" s="130"/>
      <c r="S26" s="130"/>
      <c r="T26" s="131"/>
      <c r="U26" s="125">
        <f t="shared" si="2"/>
        <v>0</v>
      </c>
      <c r="V26" s="125"/>
    </row>
    <row r="27" spans="1:22" ht="18" hidden="1" customHeight="1" x14ac:dyDescent="0.2">
      <c r="A27" s="38"/>
      <c r="B27" s="552"/>
      <c r="C27" s="4"/>
      <c r="D27" s="3"/>
      <c r="E27" s="631"/>
      <c r="F27" s="9" t="str">
        <f>IFERROR(VLOOKUP(A27,Honorarios!$A$9:$C$15,2,FALSE),"")</f>
        <v/>
      </c>
      <c r="G27" s="553" t="str">
        <f>IFERROR(((VLOOKUP(A27,Honorarios!$A$9:$C$15,3,FALSE))),"")</f>
        <v/>
      </c>
      <c r="H27" s="102">
        <f t="shared" si="3"/>
        <v>0</v>
      </c>
      <c r="I27" s="152">
        <f t="shared" si="4"/>
        <v>0</v>
      </c>
      <c r="J27" s="632"/>
      <c r="K27" s="130"/>
      <c r="L27" s="130"/>
      <c r="M27" s="131"/>
      <c r="N27" s="125">
        <f t="shared" si="1"/>
        <v>0</v>
      </c>
      <c r="O27" s="627"/>
      <c r="P27" s="130"/>
      <c r="Q27" s="130"/>
      <c r="R27" s="130"/>
      <c r="S27" s="130"/>
      <c r="T27" s="131"/>
      <c r="U27" s="125">
        <f t="shared" si="2"/>
        <v>0</v>
      </c>
      <c r="V27" s="125"/>
    </row>
    <row r="28" spans="1:22" ht="18" hidden="1" customHeight="1" x14ac:dyDescent="0.2">
      <c r="A28" s="38"/>
      <c r="B28" s="552"/>
      <c r="C28" s="4"/>
      <c r="D28" s="3"/>
      <c r="E28" s="631"/>
      <c r="F28" s="9" t="str">
        <f>IFERROR(VLOOKUP(A28,Honorarios!$A$9:$C$15,2,FALSE),"")</f>
        <v/>
      </c>
      <c r="G28" s="553" t="str">
        <f>IFERROR(((VLOOKUP(A28,Honorarios!$A$9:$C$15,3,FALSE))),"")</f>
        <v/>
      </c>
      <c r="H28" s="102">
        <f t="shared" si="3"/>
        <v>0</v>
      </c>
      <c r="I28" s="152">
        <f t="shared" si="4"/>
        <v>0</v>
      </c>
      <c r="J28" s="632"/>
      <c r="K28" s="130"/>
      <c r="L28" s="130"/>
      <c r="M28" s="131"/>
      <c r="N28" s="125">
        <f t="shared" si="1"/>
        <v>0</v>
      </c>
      <c r="O28" s="627"/>
      <c r="P28" s="130"/>
      <c r="Q28" s="130"/>
      <c r="R28" s="130"/>
      <c r="S28" s="130"/>
      <c r="T28" s="131"/>
      <c r="U28" s="125">
        <f t="shared" si="2"/>
        <v>0</v>
      </c>
      <c r="V28" s="125"/>
    </row>
    <row r="29" spans="1:22" ht="18" hidden="1" customHeight="1" x14ac:dyDescent="0.2">
      <c r="A29" s="38"/>
      <c r="B29" s="552"/>
      <c r="C29" s="4"/>
      <c r="D29" s="3"/>
      <c r="E29" s="631"/>
      <c r="F29" s="9" t="str">
        <f>IFERROR(VLOOKUP(A29,Honorarios!$A$9:$C$15,2,FALSE),"")</f>
        <v/>
      </c>
      <c r="G29" s="553" t="str">
        <f>IFERROR(((VLOOKUP(A29,Honorarios!$A$9:$C$15,3,FALSE))),"")</f>
        <v/>
      </c>
      <c r="H29" s="102">
        <f t="shared" si="3"/>
        <v>0</v>
      </c>
      <c r="I29" s="152">
        <f t="shared" si="4"/>
        <v>0</v>
      </c>
      <c r="J29" s="632"/>
      <c r="K29" s="130"/>
      <c r="L29" s="130"/>
      <c r="M29" s="131"/>
      <c r="N29" s="125">
        <f t="shared" si="1"/>
        <v>0</v>
      </c>
      <c r="O29" s="627"/>
      <c r="P29" s="130"/>
      <c r="Q29" s="130"/>
      <c r="R29" s="130"/>
      <c r="S29" s="130"/>
      <c r="T29" s="131"/>
      <c r="U29" s="125">
        <f t="shared" si="2"/>
        <v>0</v>
      </c>
      <c r="V29" s="125"/>
    </row>
    <row r="30" spans="1:22" ht="18" hidden="1" customHeight="1" x14ac:dyDescent="0.2">
      <c r="A30" s="38"/>
      <c r="B30" s="552"/>
      <c r="C30" s="4"/>
      <c r="D30" s="3"/>
      <c r="E30" s="631"/>
      <c r="F30" s="9" t="str">
        <f>IFERROR(VLOOKUP(A30,Honorarios!$A$9:$C$15,2,FALSE),"")</f>
        <v/>
      </c>
      <c r="G30" s="553" t="str">
        <f>IFERROR(((VLOOKUP(A30,Honorarios!$A$9:$C$15,3,FALSE))),"")</f>
        <v/>
      </c>
      <c r="H30" s="102">
        <f t="shared" si="3"/>
        <v>0</v>
      </c>
      <c r="I30" s="152">
        <f t="shared" si="4"/>
        <v>0</v>
      </c>
      <c r="J30" s="632"/>
      <c r="K30" s="130"/>
      <c r="L30" s="130"/>
      <c r="M30" s="131"/>
      <c r="N30" s="125">
        <f t="shared" si="1"/>
        <v>0</v>
      </c>
      <c r="O30" s="627"/>
      <c r="P30" s="130"/>
      <c r="Q30" s="130"/>
      <c r="R30" s="130"/>
      <c r="S30" s="130"/>
      <c r="T30" s="131"/>
      <c r="U30" s="125">
        <f t="shared" si="2"/>
        <v>0</v>
      </c>
      <c r="V30" s="125"/>
    </row>
    <row r="31" spans="1:22" ht="18" hidden="1" customHeight="1" x14ac:dyDescent="0.2">
      <c r="A31" s="38"/>
      <c r="B31" s="552"/>
      <c r="C31" s="4"/>
      <c r="D31" s="3"/>
      <c r="E31" s="631"/>
      <c r="F31" s="9" t="str">
        <f>IFERROR(VLOOKUP(A31,Honorarios!$A$9:$C$15,2,FALSE),"")</f>
        <v/>
      </c>
      <c r="G31" s="553" t="str">
        <f>IFERROR(((VLOOKUP(A31,Honorarios!$A$9:$C$15,3,FALSE))),"")</f>
        <v/>
      </c>
      <c r="H31" s="102">
        <f t="shared" si="3"/>
        <v>0</v>
      </c>
      <c r="I31" s="152">
        <f t="shared" si="4"/>
        <v>0</v>
      </c>
      <c r="J31" s="632"/>
      <c r="K31" s="130"/>
      <c r="L31" s="130"/>
      <c r="M31" s="131"/>
      <c r="N31" s="125">
        <f t="shared" si="1"/>
        <v>0</v>
      </c>
      <c r="O31" s="627"/>
      <c r="P31" s="130"/>
      <c r="Q31" s="130"/>
      <c r="R31" s="130"/>
      <c r="S31" s="130"/>
      <c r="T31" s="131"/>
      <c r="U31" s="125">
        <f t="shared" si="2"/>
        <v>0</v>
      </c>
      <c r="V31" s="125"/>
    </row>
    <row r="32" spans="1:22" ht="18" hidden="1" customHeight="1" x14ac:dyDescent="0.2">
      <c r="A32" s="38"/>
      <c r="B32" s="552"/>
      <c r="C32" s="4"/>
      <c r="D32" s="3"/>
      <c r="E32" s="631"/>
      <c r="F32" s="9" t="str">
        <f>IFERROR(VLOOKUP(A32,Honorarios!$A$9:$C$15,2,FALSE),"")</f>
        <v/>
      </c>
      <c r="G32" s="553" t="str">
        <f>IFERROR(((VLOOKUP(A32,Honorarios!$A$9:$C$15,3,FALSE))),"")</f>
        <v/>
      </c>
      <c r="H32" s="102">
        <f t="shared" si="3"/>
        <v>0</v>
      </c>
      <c r="I32" s="152">
        <f t="shared" si="4"/>
        <v>0</v>
      </c>
      <c r="J32" s="632"/>
      <c r="K32" s="130"/>
      <c r="L32" s="130"/>
      <c r="M32" s="131"/>
      <c r="N32" s="125">
        <f t="shared" si="1"/>
        <v>0</v>
      </c>
      <c r="O32" s="627"/>
      <c r="P32" s="130"/>
      <c r="Q32" s="130"/>
      <c r="R32" s="130"/>
      <c r="S32" s="130"/>
      <c r="T32" s="131"/>
      <c r="U32" s="125">
        <f t="shared" si="2"/>
        <v>0</v>
      </c>
      <c r="V32" s="125"/>
    </row>
    <row r="33" spans="1:22" ht="18" hidden="1" customHeight="1" x14ac:dyDescent="0.2">
      <c r="A33" s="38"/>
      <c r="B33" s="552"/>
      <c r="C33" s="4"/>
      <c r="D33" s="3"/>
      <c r="E33" s="631"/>
      <c r="F33" s="9" t="str">
        <f>IFERROR(VLOOKUP(A33,Honorarios!$A$9:$C$15,2,FALSE),"")</f>
        <v/>
      </c>
      <c r="G33" s="553" t="str">
        <f>IFERROR(((VLOOKUP(A33,Honorarios!$A$9:$C$15,3,FALSE))),"")</f>
        <v/>
      </c>
      <c r="H33" s="102">
        <f t="shared" si="3"/>
        <v>0</v>
      </c>
      <c r="I33" s="152">
        <f t="shared" si="4"/>
        <v>0</v>
      </c>
      <c r="J33" s="632"/>
      <c r="K33" s="130"/>
      <c r="L33" s="130"/>
      <c r="M33" s="131"/>
      <c r="N33" s="125">
        <f t="shared" si="1"/>
        <v>0</v>
      </c>
      <c r="O33" s="627"/>
      <c r="P33" s="130"/>
      <c r="Q33" s="130"/>
      <c r="R33" s="130"/>
      <c r="S33" s="130"/>
      <c r="T33" s="131"/>
      <c r="U33" s="125">
        <f t="shared" si="2"/>
        <v>0</v>
      </c>
      <c r="V33" s="125"/>
    </row>
    <row r="34" spans="1:22" ht="18" hidden="1" customHeight="1" x14ac:dyDescent="0.2">
      <c r="A34" s="38"/>
      <c r="B34" s="552"/>
      <c r="C34" s="4"/>
      <c r="D34" s="3"/>
      <c r="E34" s="631"/>
      <c r="F34" s="9" t="str">
        <f>IFERROR(VLOOKUP(A34,Honorarios!$A$9:$C$15,2,FALSE),"")</f>
        <v/>
      </c>
      <c r="G34" s="553" t="str">
        <f>IFERROR(((VLOOKUP(A34,Honorarios!$A$9:$C$15,3,FALSE))),"")</f>
        <v/>
      </c>
      <c r="H34" s="102">
        <f t="shared" si="3"/>
        <v>0</v>
      </c>
      <c r="I34" s="152">
        <f t="shared" si="4"/>
        <v>0</v>
      </c>
      <c r="J34" s="632"/>
      <c r="K34" s="130"/>
      <c r="L34" s="130"/>
      <c r="M34" s="131"/>
      <c r="N34" s="125">
        <f t="shared" si="1"/>
        <v>0</v>
      </c>
      <c r="O34" s="627"/>
      <c r="P34" s="130"/>
      <c r="Q34" s="130"/>
      <c r="R34" s="130"/>
      <c r="S34" s="130"/>
      <c r="T34" s="131"/>
      <c r="U34" s="125">
        <f t="shared" si="2"/>
        <v>0</v>
      </c>
      <c r="V34" s="125"/>
    </row>
    <row r="35" spans="1:22" ht="18" hidden="1" customHeight="1" x14ac:dyDescent="0.2">
      <c r="A35" s="38"/>
      <c r="B35" s="552"/>
      <c r="C35" s="4"/>
      <c r="D35" s="3"/>
      <c r="E35" s="12"/>
      <c r="F35" s="9" t="str">
        <f>IFERROR(VLOOKUP(A35,Honorarios!$A$9:$C$15,2,FALSE),"")</f>
        <v/>
      </c>
      <c r="G35" s="553" t="str">
        <f>IFERROR(((VLOOKUP(A35,Honorarios!$A$9:$C$15,3,FALSE))),"")</f>
        <v/>
      </c>
      <c r="H35" s="102">
        <f t="shared" si="0"/>
        <v>0</v>
      </c>
      <c r="I35" s="152">
        <f t="shared" ref="I35:I43" si="5">IFERROR(H35/$H$100,0)</f>
        <v>0</v>
      </c>
      <c r="J35" s="554"/>
      <c r="K35" s="126"/>
      <c r="L35" s="126"/>
      <c r="M35" s="127"/>
      <c r="N35" s="125">
        <f t="shared" si="1"/>
        <v>0</v>
      </c>
      <c r="O35" s="627"/>
      <c r="P35" s="130"/>
      <c r="Q35" s="130"/>
      <c r="R35" s="130"/>
      <c r="S35" s="130"/>
      <c r="T35" s="131"/>
      <c r="U35" s="125">
        <f t="shared" si="2"/>
        <v>0</v>
      </c>
      <c r="V35" s="125"/>
    </row>
    <row r="36" spans="1:22" ht="18" hidden="1" customHeight="1" x14ac:dyDescent="0.2">
      <c r="A36" s="38"/>
      <c r="B36" s="552"/>
      <c r="C36" s="4"/>
      <c r="D36" s="3"/>
      <c r="E36" s="12"/>
      <c r="F36" s="9" t="str">
        <f>IFERROR(VLOOKUP(A36,Honorarios!$A$9:$C$15,2,FALSE),"")</f>
        <v/>
      </c>
      <c r="G36" s="553" t="str">
        <f>IFERROR(((VLOOKUP(A36,Honorarios!$A$9:$C$15,3,FALSE))),"")</f>
        <v/>
      </c>
      <c r="H36" s="102">
        <f t="shared" si="0"/>
        <v>0</v>
      </c>
      <c r="I36" s="152">
        <f t="shared" si="5"/>
        <v>0</v>
      </c>
      <c r="J36" s="554"/>
      <c r="K36" s="126"/>
      <c r="L36" s="126"/>
      <c r="M36" s="127"/>
      <c r="N36" s="125">
        <f t="shared" si="1"/>
        <v>0</v>
      </c>
      <c r="O36" s="627"/>
      <c r="P36" s="130"/>
      <c r="Q36" s="130"/>
      <c r="R36" s="130"/>
      <c r="S36" s="130"/>
      <c r="T36" s="131"/>
      <c r="U36" s="125">
        <f t="shared" si="2"/>
        <v>0</v>
      </c>
      <c r="V36" s="125"/>
    </row>
    <row r="37" spans="1:22" ht="18" hidden="1" customHeight="1" x14ac:dyDescent="0.2">
      <c r="A37" s="38"/>
      <c r="B37" s="552"/>
      <c r="C37" s="4"/>
      <c r="D37" s="3"/>
      <c r="E37" s="12"/>
      <c r="F37" s="9" t="str">
        <f>IFERROR(VLOOKUP(A37,Honorarios!$A$9:$C$15,2,FALSE),"")</f>
        <v/>
      </c>
      <c r="G37" s="553" t="str">
        <f>IFERROR(((VLOOKUP(A37,Honorarios!$A$9:$C$15,3,FALSE))),"")</f>
        <v/>
      </c>
      <c r="H37" s="102">
        <f t="shared" si="0"/>
        <v>0</v>
      </c>
      <c r="I37" s="152">
        <f t="shared" si="5"/>
        <v>0</v>
      </c>
      <c r="J37" s="554"/>
      <c r="K37" s="126"/>
      <c r="L37" s="126"/>
      <c r="M37" s="127"/>
      <c r="N37" s="125">
        <f t="shared" si="1"/>
        <v>0</v>
      </c>
      <c r="O37" s="627"/>
      <c r="P37" s="130"/>
      <c r="Q37" s="130"/>
      <c r="R37" s="130"/>
      <c r="S37" s="130"/>
      <c r="T37" s="131"/>
      <c r="U37" s="125">
        <f t="shared" si="2"/>
        <v>0</v>
      </c>
      <c r="V37" s="125"/>
    </row>
    <row r="38" spans="1:22" ht="18" hidden="1" customHeight="1" x14ac:dyDescent="0.2">
      <c r="A38" s="38"/>
      <c r="B38" s="552"/>
      <c r="C38" s="4"/>
      <c r="D38" s="3"/>
      <c r="E38" s="12"/>
      <c r="F38" s="9" t="str">
        <f>IFERROR(VLOOKUP(A38,Honorarios!$A$9:$C$15,2,FALSE),"")</f>
        <v/>
      </c>
      <c r="G38" s="553" t="str">
        <f>IFERROR(((VLOOKUP(A38,Honorarios!$A$9:$C$15,3,FALSE))),"")</f>
        <v/>
      </c>
      <c r="H38" s="102">
        <f t="shared" si="0"/>
        <v>0</v>
      </c>
      <c r="I38" s="152">
        <f t="shared" si="5"/>
        <v>0</v>
      </c>
      <c r="J38" s="554"/>
      <c r="K38" s="126"/>
      <c r="L38" s="126"/>
      <c r="M38" s="127"/>
      <c r="N38" s="125">
        <f t="shared" si="1"/>
        <v>0</v>
      </c>
      <c r="O38" s="627"/>
      <c r="P38" s="130"/>
      <c r="Q38" s="130"/>
      <c r="R38" s="130"/>
      <c r="S38" s="130"/>
      <c r="T38" s="131"/>
      <c r="U38" s="125">
        <f t="shared" si="2"/>
        <v>0</v>
      </c>
      <c r="V38" s="125"/>
    </row>
    <row r="39" spans="1:22" ht="18" hidden="1" customHeight="1" x14ac:dyDescent="0.2">
      <c r="A39" s="38"/>
      <c r="B39" s="552"/>
      <c r="C39" s="4"/>
      <c r="D39" s="3"/>
      <c r="E39" s="12"/>
      <c r="F39" s="9" t="str">
        <f>IFERROR(VLOOKUP(A39,Honorarios!$A$9:$C$15,2,FALSE),"")</f>
        <v/>
      </c>
      <c r="G39" s="553" t="str">
        <f>IFERROR(((VLOOKUP(A39,Honorarios!$A$9:$C$15,3,FALSE))),"")</f>
        <v/>
      </c>
      <c r="H39" s="102">
        <f t="shared" si="0"/>
        <v>0</v>
      </c>
      <c r="I39" s="152">
        <f t="shared" si="5"/>
        <v>0</v>
      </c>
      <c r="J39" s="554"/>
      <c r="K39" s="126"/>
      <c r="L39" s="126"/>
      <c r="M39" s="127"/>
      <c r="N39" s="125">
        <f t="shared" si="1"/>
        <v>0</v>
      </c>
      <c r="O39" s="627"/>
      <c r="P39" s="130"/>
      <c r="Q39" s="130"/>
      <c r="R39" s="130"/>
      <c r="S39" s="130"/>
      <c r="T39" s="131"/>
      <c r="U39" s="125">
        <f t="shared" si="2"/>
        <v>0</v>
      </c>
      <c r="V39" s="125"/>
    </row>
    <row r="40" spans="1:22" ht="18" hidden="1" customHeight="1" x14ac:dyDescent="0.2">
      <c r="A40" s="38"/>
      <c r="B40" s="552"/>
      <c r="C40" s="4"/>
      <c r="D40" s="3"/>
      <c r="E40" s="12"/>
      <c r="F40" s="9" t="str">
        <f>IFERROR(VLOOKUP(A40,Honorarios!$A$9:$C$15,2,FALSE),"")</f>
        <v/>
      </c>
      <c r="G40" s="553" t="str">
        <f>IFERROR(((VLOOKUP(A40,Honorarios!$A$9:$C$15,3,FALSE))),"")</f>
        <v/>
      </c>
      <c r="H40" s="102">
        <f t="shared" si="0"/>
        <v>0</v>
      </c>
      <c r="I40" s="152">
        <f t="shared" si="5"/>
        <v>0</v>
      </c>
      <c r="J40" s="554"/>
      <c r="K40" s="126"/>
      <c r="L40" s="126"/>
      <c r="M40" s="127"/>
      <c r="N40" s="125">
        <f t="shared" si="1"/>
        <v>0</v>
      </c>
      <c r="O40" s="627"/>
      <c r="P40" s="130"/>
      <c r="Q40" s="130"/>
      <c r="R40" s="130"/>
      <c r="S40" s="130"/>
      <c r="T40" s="131"/>
      <c r="U40" s="125">
        <f t="shared" si="2"/>
        <v>0</v>
      </c>
      <c r="V40" s="125"/>
    </row>
    <row r="41" spans="1:22" ht="18" hidden="1" customHeight="1" x14ac:dyDescent="0.2">
      <c r="A41" s="38"/>
      <c r="B41" s="552"/>
      <c r="C41" s="4"/>
      <c r="D41" s="3"/>
      <c r="E41" s="12"/>
      <c r="F41" s="9" t="str">
        <f>IFERROR(VLOOKUP(A41,Honorarios!$A$9:$C$15,2,FALSE),"")</f>
        <v/>
      </c>
      <c r="G41" s="553" t="str">
        <f>IFERROR(((VLOOKUP(A41,Honorarios!$A$9:$C$15,3,FALSE))),"")</f>
        <v/>
      </c>
      <c r="H41" s="102">
        <f t="shared" si="0"/>
        <v>0</v>
      </c>
      <c r="I41" s="152">
        <f t="shared" si="5"/>
        <v>0</v>
      </c>
      <c r="J41" s="554"/>
      <c r="K41" s="126"/>
      <c r="L41" s="126"/>
      <c r="M41" s="127"/>
      <c r="N41" s="125">
        <f t="shared" si="1"/>
        <v>0</v>
      </c>
      <c r="O41" s="627"/>
      <c r="P41" s="130"/>
      <c r="Q41" s="130"/>
      <c r="R41" s="130"/>
      <c r="S41" s="130"/>
      <c r="T41" s="131"/>
      <c r="U41" s="125">
        <f t="shared" si="2"/>
        <v>0</v>
      </c>
      <c r="V41" s="125"/>
    </row>
    <row r="42" spans="1:22" ht="18" hidden="1" customHeight="1" x14ac:dyDescent="0.2">
      <c r="A42" s="38"/>
      <c r="B42" s="552"/>
      <c r="C42" s="4"/>
      <c r="D42" s="3"/>
      <c r="E42" s="12"/>
      <c r="F42" s="9" t="str">
        <f>IFERROR(VLOOKUP(A42,Honorarios!$A$9:$C$15,2,FALSE),"")</f>
        <v/>
      </c>
      <c r="G42" s="553" t="str">
        <f>IFERROR(((VLOOKUP(A42,Honorarios!$A$9:$C$15,3,FALSE))),"")</f>
        <v/>
      </c>
      <c r="H42" s="102">
        <f t="shared" si="0"/>
        <v>0</v>
      </c>
      <c r="I42" s="152">
        <f t="shared" si="5"/>
        <v>0</v>
      </c>
      <c r="J42" s="554"/>
      <c r="K42" s="126"/>
      <c r="L42" s="126"/>
      <c r="M42" s="127"/>
      <c r="N42" s="125">
        <f t="shared" si="1"/>
        <v>0</v>
      </c>
      <c r="O42" s="627"/>
      <c r="P42" s="130"/>
      <c r="Q42" s="130"/>
      <c r="R42" s="130"/>
      <c r="S42" s="130"/>
      <c r="T42" s="131"/>
      <c r="U42" s="125">
        <f t="shared" si="2"/>
        <v>0</v>
      </c>
      <c r="V42" s="125"/>
    </row>
    <row r="43" spans="1:22" ht="18" hidden="1" customHeight="1" x14ac:dyDescent="0.2">
      <c r="A43" s="38"/>
      <c r="B43" s="552"/>
      <c r="C43" s="4"/>
      <c r="D43" s="3"/>
      <c r="E43" s="12"/>
      <c r="F43" s="9" t="str">
        <f>IFERROR(VLOOKUP(A43,Honorarios!$A$9:$C$15,2,FALSE),"")</f>
        <v/>
      </c>
      <c r="G43" s="553" t="str">
        <f>IFERROR(((VLOOKUP(A43,Honorarios!$A$9:$C$15,3,FALSE))),"")</f>
        <v/>
      </c>
      <c r="H43" s="102">
        <f t="shared" si="0"/>
        <v>0</v>
      </c>
      <c r="I43" s="152">
        <f t="shared" si="5"/>
        <v>0</v>
      </c>
      <c r="J43" s="554"/>
      <c r="K43" s="126"/>
      <c r="L43" s="126"/>
      <c r="M43" s="127"/>
      <c r="N43" s="125">
        <f t="shared" si="1"/>
        <v>0</v>
      </c>
      <c r="O43" s="627"/>
      <c r="P43" s="130"/>
      <c r="Q43" s="130"/>
      <c r="R43" s="130"/>
      <c r="S43" s="130"/>
      <c r="T43" s="131"/>
      <c r="U43" s="125">
        <f t="shared" si="2"/>
        <v>0</v>
      </c>
      <c r="V43" s="125"/>
    </row>
    <row r="44" spans="1:22" ht="18" hidden="1" customHeight="1" x14ac:dyDescent="0.2">
      <c r="A44" s="38"/>
      <c r="B44" s="552"/>
      <c r="C44" s="4"/>
      <c r="D44" s="3"/>
      <c r="E44" s="12"/>
      <c r="F44" s="9" t="str">
        <f>IFERROR(VLOOKUP(A44,Honorarios!$A$9:$C$15,2,FALSE),"")</f>
        <v/>
      </c>
      <c r="G44" s="553" t="str">
        <f>IFERROR(((VLOOKUP(A44,Honorarios!$A$9:$C$15,3,FALSE))),"")</f>
        <v/>
      </c>
      <c r="H44" s="102">
        <f t="shared" ref="H44:H59" si="6">IFERROR(B44*C44*E44*F44*G44,0)</f>
        <v>0</v>
      </c>
      <c r="I44" s="152">
        <f t="shared" ref="I44:I59" si="7">IFERROR(H44/$H$100,0)</f>
        <v>0</v>
      </c>
      <c r="J44" s="554"/>
      <c r="K44" s="126"/>
      <c r="L44" s="126"/>
      <c r="M44" s="127"/>
      <c r="N44" s="125">
        <f t="shared" si="1"/>
        <v>0</v>
      </c>
      <c r="O44" s="627"/>
      <c r="P44" s="130"/>
      <c r="Q44" s="130"/>
      <c r="R44" s="130"/>
      <c r="S44" s="130"/>
      <c r="T44" s="131"/>
      <c r="U44" s="125">
        <f t="shared" si="2"/>
        <v>0</v>
      </c>
      <c r="V44" s="125"/>
    </row>
    <row r="45" spans="1:22" ht="18" hidden="1" customHeight="1" x14ac:dyDescent="0.2">
      <c r="A45" s="38"/>
      <c r="B45" s="552"/>
      <c r="C45" s="4"/>
      <c r="D45" s="3"/>
      <c r="E45" s="12"/>
      <c r="F45" s="9" t="str">
        <f>IFERROR(VLOOKUP(A45,Honorarios!$A$9:$C$15,2,FALSE),"")</f>
        <v/>
      </c>
      <c r="G45" s="553" t="str">
        <f>IFERROR(((VLOOKUP(A45,Honorarios!$A$9:$C$15,3,FALSE))),"")</f>
        <v/>
      </c>
      <c r="H45" s="102">
        <f t="shared" si="6"/>
        <v>0</v>
      </c>
      <c r="I45" s="152">
        <f t="shared" si="7"/>
        <v>0</v>
      </c>
      <c r="J45" s="554"/>
      <c r="K45" s="126"/>
      <c r="L45" s="126"/>
      <c r="M45" s="127"/>
      <c r="N45" s="125">
        <f t="shared" si="1"/>
        <v>0</v>
      </c>
      <c r="O45" s="627"/>
      <c r="P45" s="130"/>
      <c r="Q45" s="130"/>
      <c r="R45" s="130"/>
      <c r="S45" s="130"/>
      <c r="T45" s="131"/>
      <c r="U45" s="125">
        <f t="shared" si="2"/>
        <v>0</v>
      </c>
      <c r="V45" s="125"/>
    </row>
    <row r="46" spans="1:22" ht="18" hidden="1" customHeight="1" x14ac:dyDescent="0.2">
      <c r="A46" s="38"/>
      <c r="B46" s="552"/>
      <c r="C46" s="4"/>
      <c r="D46" s="3"/>
      <c r="E46" s="12"/>
      <c r="F46" s="9" t="str">
        <f>IFERROR(VLOOKUP(A46,Honorarios!$A$9:$C$15,2,FALSE),"")</f>
        <v/>
      </c>
      <c r="G46" s="553" t="str">
        <f>IFERROR(((VLOOKUP(A46,Honorarios!$A$9:$C$15,3,FALSE))),"")</f>
        <v/>
      </c>
      <c r="H46" s="102">
        <f t="shared" si="6"/>
        <v>0</v>
      </c>
      <c r="I46" s="152">
        <f t="shared" si="7"/>
        <v>0</v>
      </c>
      <c r="J46" s="554"/>
      <c r="K46" s="126"/>
      <c r="L46" s="126"/>
      <c r="M46" s="127"/>
      <c r="N46" s="125">
        <f t="shared" si="1"/>
        <v>0</v>
      </c>
      <c r="O46" s="627"/>
      <c r="P46" s="130"/>
      <c r="Q46" s="130"/>
      <c r="R46" s="130"/>
      <c r="S46" s="130"/>
      <c r="T46" s="131"/>
      <c r="U46" s="125">
        <f t="shared" si="2"/>
        <v>0</v>
      </c>
      <c r="V46" s="125"/>
    </row>
    <row r="47" spans="1:22" ht="18" hidden="1" customHeight="1" x14ac:dyDescent="0.2">
      <c r="A47" s="38"/>
      <c r="B47" s="552"/>
      <c r="C47" s="4"/>
      <c r="D47" s="3"/>
      <c r="E47" s="12"/>
      <c r="F47" s="9" t="str">
        <f>IFERROR(VLOOKUP(A47,Honorarios!$A$9:$C$15,2,FALSE),"")</f>
        <v/>
      </c>
      <c r="G47" s="553" t="str">
        <f>IFERROR(((VLOOKUP(A47,Honorarios!$A$9:$C$15,3,FALSE))),"")</f>
        <v/>
      </c>
      <c r="H47" s="102">
        <f t="shared" si="6"/>
        <v>0</v>
      </c>
      <c r="I47" s="152">
        <f t="shared" si="7"/>
        <v>0</v>
      </c>
      <c r="J47" s="554"/>
      <c r="K47" s="126"/>
      <c r="L47" s="126"/>
      <c r="M47" s="127"/>
      <c r="N47" s="125">
        <f t="shared" si="1"/>
        <v>0</v>
      </c>
      <c r="O47" s="627"/>
      <c r="P47" s="130"/>
      <c r="Q47" s="130"/>
      <c r="R47" s="130"/>
      <c r="S47" s="130"/>
      <c r="T47" s="131"/>
      <c r="U47" s="125">
        <f t="shared" si="2"/>
        <v>0</v>
      </c>
      <c r="V47" s="125"/>
    </row>
    <row r="48" spans="1:22" ht="18" hidden="1" customHeight="1" x14ac:dyDescent="0.2">
      <c r="A48" s="38"/>
      <c r="B48" s="552"/>
      <c r="C48" s="4"/>
      <c r="D48" s="3"/>
      <c r="E48" s="12"/>
      <c r="F48" s="9" t="str">
        <f>IFERROR(VLOOKUP(A48,Honorarios!$A$9:$C$15,2,FALSE),"")</f>
        <v/>
      </c>
      <c r="G48" s="553" t="str">
        <f>IFERROR(((VLOOKUP(A48,Honorarios!$A$9:$C$15,3,FALSE))),"")</f>
        <v/>
      </c>
      <c r="H48" s="102">
        <f t="shared" si="6"/>
        <v>0</v>
      </c>
      <c r="I48" s="152">
        <f t="shared" si="7"/>
        <v>0</v>
      </c>
      <c r="J48" s="554"/>
      <c r="K48" s="126"/>
      <c r="L48" s="126"/>
      <c r="M48" s="127"/>
      <c r="N48" s="125">
        <f t="shared" si="1"/>
        <v>0</v>
      </c>
      <c r="O48" s="627"/>
      <c r="P48" s="130"/>
      <c r="Q48" s="130"/>
      <c r="R48" s="130"/>
      <c r="S48" s="130"/>
      <c r="T48" s="131"/>
      <c r="U48" s="125">
        <f t="shared" si="2"/>
        <v>0</v>
      </c>
      <c r="V48" s="125"/>
    </row>
    <row r="49" spans="1:22" ht="18" hidden="1" customHeight="1" x14ac:dyDescent="0.2">
      <c r="A49" s="38"/>
      <c r="B49" s="552"/>
      <c r="C49" s="4"/>
      <c r="D49" s="3"/>
      <c r="E49" s="12"/>
      <c r="F49" s="9" t="str">
        <f>IFERROR(VLOOKUP(A49,Honorarios!$A$9:$C$15,2,FALSE),"")</f>
        <v/>
      </c>
      <c r="G49" s="553" t="str">
        <f>IFERROR(((VLOOKUP(A49,Honorarios!$A$9:$C$15,3,FALSE))),"")</f>
        <v/>
      </c>
      <c r="H49" s="102">
        <f t="shared" si="6"/>
        <v>0</v>
      </c>
      <c r="I49" s="152">
        <f t="shared" si="7"/>
        <v>0</v>
      </c>
      <c r="J49" s="554"/>
      <c r="K49" s="126"/>
      <c r="L49" s="126"/>
      <c r="M49" s="127"/>
      <c r="N49" s="125">
        <f t="shared" si="1"/>
        <v>0</v>
      </c>
      <c r="O49" s="627"/>
      <c r="P49" s="130"/>
      <c r="Q49" s="130"/>
      <c r="R49" s="130"/>
      <c r="S49" s="130"/>
      <c r="T49" s="131"/>
      <c r="U49" s="125">
        <f t="shared" si="2"/>
        <v>0</v>
      </c>
      <c r="V49" s="125"/>
    </row>
    <row r="50" spans="1:22" ht="18" hidden="1" customHeight="1" x14ac:dyDescent="0.2">
      <c r="A50" s="38"/>
      <c r="B50" s="552"/>
      <c r="C50" s="4"/>
      <c r="D50" s="3"/>
      <c r="E50" s="12"/>
      <c r="F50" s="9" t="str">
        <f>IFERROR(VLOOKUP(A50,Honorarios!$A$9:$C$15,2,FALSE),"")</f>
        <v/>
      </c>
      <c r="G50" s="553" t="str">
        <f>IFERROR(((VLOOKUP(A50,Honorarios!$A$9:$C$15,3,FALSE))),"")</f>
        <v/>
      </c>
      <c r="H50" s="102">
        <f t="shared" si="6"/>
        <v>0</v>
      </c>
      <c r="I50" s="152">
        <f t="shared" si="7"/>
        <v>0</v>
      </c>
      <c r="J50" s="554"/>
      <c r="K50" s="126"/>
      <c r="L50" s="126"/>
      <c r="M50" s="127"/>
      <c r="N50" s="125">
        <f t="shared" si="1"/>
        <v>0</v>
      </c>
      <c r="O50" s="627"/>
      <c r="P50" s="130"/>
      <c r="Q50" s="130"/>
      <c r="R50" s="130"/>
      <c r="S50" s="130"/>
      <c r="T50" s="131"/>
      <c r="U50" s="125">
        <f t="shared" si="2"/>
        <v>0</v>
      </c>
      <c r="V50" s="125"/>
    </row>
    <row r="51" spans="1:22" ht="18" hidden="1" customHeight="1" x14ac:dyDescent="0.2">
      <c r="A51" s="38"/>
      <c r="B51" s="552"/>
      <c r="C51" s="4"/>
      <c r="D51" s="3"/>
      <c r="E51" s="12"/>
      <c r="F51" s="9" t="str">
        <f>IFERROR(VLOOKUP(A51,Honorarios!$A$9:$C$15,2,FALSE),"")</f>
        <v/>
      </c>
      <c r="G51" s="553" t="str">
        <f>IFERROR(((VLOOKUP(A51,Honorarios!$A$9:$C$15,3,FALSE))),"")</f>
        <v/>
      </c>
      <c r="H51" s="102">
        <f t="shared" si="6"/>
        <v>0</v>
      </c>
      <c r="I51" s="152">
        <f t="shared" si="7"/>
        <v>0</v>
      </c>
      <c r="J51" s="554"/>
      <c r="K51" s="126"/>
      <c r="L51" s="126"/>
      <c r="M51" s="127"/>
      <c r="N51" s="125">
        <f t="shared" si="1"/>
        <v>0</v>
      </c>
      <c r="O51" s="627"/>
      <c r="P51" s="130"/>
      <c r="Q51" s="130"/>
      <c r="R51" s="130"/>
      <c r="S51" s="130"/>
      <c r="T51" s="131"/>
      <c r="U51" s="125">
        <f t="shared" si="2"/>
        <v>0</v>
      </c>
      <c r="V51" s="125"/>
    </row>
    <row r="52" spans="1:22" ht="18" hidden="1" customHeight="1" x14ac:dyDescent="0.2">
      <c r="A52" s="38"/>
      <c r="B52" s="552"/>
      <c r="C52" s="4"/>
      <c r="D52" s="3"/>
      <c r="E52" s="12"/>
      <c r="F52" s="9" t="str">
        <f>IFERROR(VLOOKUP(A52,Honorarios!$A$9:$C$15,2,FALSE),"")</f>
        <v/>
      </c>
      <c r="G52" s="553" t="str">
        <f>IFERROR(((VLOOKUP(A52,Honorarios!$A$9:$C$15,3,FALSE))),"")</f>
        <v/>
      </c>
      <c r="H52" s="102">
        <f t="shared" si="6"/>
        <v>0</v>
      </c>
      <c r="I52" s="152">
        <f t="shared" si="7"/>
        <v>0</v>
      </c>
      <c r="J52" s="554"/>
      <c r="K52" s="126"/>
      <c r="L52" s="126"/>
      <c r="M52" s="127"/>
      <c r="N52" s="125">
        <f t="shared" si="1"/>
        <v>0</v>
      </c>
      <c r="O52" s="627"/>
      <c r="P52" s="130"/>
      <c r="Q52" s="130"/>
      <c r="R52" s="130"/>
      <c r="S52" s="130"/>
      <c r="T52" s="131"/>
      <c r="U52" s="125">
        <f t="shared" si="2"/>
        <v>0</v>
      </c>
      <c r="V52" s="125"/>
    </row>
    <row r="53" spans="1:22" ht="18" hidden="1" customHeight="1" x14ac:dyDescent="0.2">
      <c r="A53" s="38"/>
      <c r="B53" s="552"/>
      <c r="C53" s="4"/>
      <c r="D53" s="3"/>
      <c r="E53" s="12"/>
      <c r="F53" s="9" t="str">
        <f>IFERROR(VLOOKUP(A53,Honorarios!$A$9:$C$15,2,FALSE),"")</f>
        <v/>
      </c>
      <c r="G53" s="553" t="str">
        <f>IFERROR(((VLOOKUP(A53,Honorarios!$A$9:$C$15,3,FALSE))),"")</f>
        <v/>
      </c>
      <c r="H53" s="102">
        <f t="shared" si="6"/>
        <v>0</v>
      </c>
      <c r="I53" s="152">
        <f t="shared" si="7"/>
        <v>0</v>
      </c>
      <c r="J53" s="554"/>
      <c r="K53" s="126"/>
      <c r="L53" s="126"/>
      <c r="M53" s="127"/>
      <c r="N53" s="125">
        <f t="shared" si="1"/>
        <v>0</v>
      </c>
      <c r="O53" s="627"/>
      <c r="P53" s="130"/>
      <c r="Q53" s="130"/>
      <c r="R53" s="130"/>
      <c r="S53" s="130"/>
      <c r="T53" s="131"/>
      <c r="U53" s="125">
        <f t="shared" si="2"/>
        <v>0</v>
      </c>
      <c r="V53" s="125"/>
    </row>
    <row r="54" spans="1:22" ht="18" hidden="1" customHeight="1" x14ac:dyDescent="0.2">
      <c r="A54" s="38"/>
      <c r="B54" s="552"/>
      <c r="C54" s="4"/>
      <c r="D54" s="3"/>
      <c r="E54" s="12"/>
      <c r="F54" s="9" t="str">
        <f>IFERROR(VLOOKUP(A54,Honorarios!$A$9:$C$15,2,FALSE),"")</f>
        <v/>
      </c>
      <c r="G54" s="553" t="str">
        <f>IFERROR(((VLOOKUP(A54,Honorarios!$A$9:$C$15,3,FALSE))),"")</f>
        <v/>
      </c>
      <c r="H54" s="102">
        <f t="shared" si="6"/>
        <v>0</v>
      </c>
      <c r="I54" s="152">
        <f t="shared" si="7"/>
        <v>0</v>
      </c>
      <c r="J54" s="554"/>
      <c r="K54" s="126"/>
      <c r="L54" s="126"/>
      <c r="M54" s="127"/>
      <c r="N54" s="125">
        <f t="shared" si="1"/>
        <v>0</v>
      </c>
      <c r="O54" s="627"/>
      <c r="P54" s="130"/>
      <c r="Q54" s="130"/>
      <c r="R54" s="130"/>
      <c r="S54" s="130"/>
      <c r="T54" s="131"/>
      <c r="U54" s="125">
        <f t="shared" si="2"/>
        <v>0</v>
      </c>
      <c r="V54" s="125"/>
    </row>
    <row r="55" spans="1:22" ht="18" hidden="1" customHeight="1" x14ac:dyDescent="0.2">
      <c r="A55" s="38"/>
      <c r="B55" s="552"/>
      <c r="C55" s="4"/>
      <c r="D55" s="3"/>
      <c r="E55" s="12"/>
      <c r="F55" s="9" t="str">
        <f>IFERROR(VLOOKUP(A55,Honorarios!$A$9:$C$15,2,FALSE),"")</f>
        <v/>
      </c>
      <c r="G55" s="553" t="str">
        <f>IFERROR(((VLOOKUP(A55,Honorarios!$A$9:$C$15,3,FALSE))),"")</f>
        <v/>
      </c>
      <c r="H55" s="102">
        <f t="shared" si="6"/>
        <v>0</v>
      </c>
      <c r="I55" s="152">
        <f t="shared" si="7"/>
        <v>0</v>
      </c>
      <c r="J55" s="554"/>
      <c r="K55" s="126"/>
      <c r="L55" s="126"/>
      <c r="M55" s="127"/>
      <c r="N55" s="125">
        <f t="shared" si="1"/>
        <v>0</v>
      </c>
      <c r="O55" s="627"/>
      <c r="P55" s="130"/>
      <c r="Q55" s="130"/>
      <c r="R55" s="130"/>
      <c r="S55" s="130"/>
      <c r="T55" s="131"/>
      <c r="U55" s="125">
        <f t="shared" si="2"/>
        <v>0</v>
      </c>
      <c r="V55" s="125"/>
    </row>
    <row r="56" spans="1:22" ht="18" hidden="1" customHeight="1" x14ac:dyDescent="0.2">
      <c r="A56" s="38"/>
      <c r="B56" s="552"/>
      <c r="C56" s="4"/>
      <c r="D56" s="3"/>
      <c r="E56" s="12"/>
      <c r="F56" s="9" t="str">
        <f>IFERROR(VLOOKUP(A56,Honorarios!$A$9:$C$15,2,FALSE),"")</f>
        <v/>
      </c>
      <c r="G56" s="553" t="str">
        <f>IFERROR(((VLOOKUP(A56,Honorarios!$A$9:$C$15,3,FALSE))),"")</f>
        <v/>
      </c>
      <c r="H56" s="102">
        <f t="shared" si="6"/>
        <v>0</v>
      </c>
      <c r="I56" s="152">
        <f t="shared" si="7"/>
        <v>0</v>
      </c>
      <c r="J56" s="554"/>
      <c r="K56" s="126"/>
      <c r="L56" s="126"/>
      <c r="M56" s="127"/>
      <c r="N56" s="125">
        <f t="shared" si="1"/>
        <v>0</v>
      </c>
      <c r="O56" s="627"/>
      <c r="P56" s="130"/>
      <c r="Q56" s="130"/>
      <c r="R56" s="130"/>
      <c r="S56" s="130"/>
      <c r="T56" s="131"/>
      <c r="U56" s="125">
        <f t="shared" si="2"/>
        <v>0</v>
      </c>
      <c r="V56" s="125"/>
    </row>
    <row r="57" spans="1:22" ht="18" hidden="1" customHeight="1" x14ac:dyDescent="0.2">
      <c r="A57" s="38"/>
      <c r="B57" s="552"/>
      <c r="C57" s="4"/>
      <c r="D57" s="3"/>
      <c r="E57" s="12"/>
      <c r="F57" s="9" t="str">
        <f>IFERROR(VLOOKUP(A57,Honorarios!$A$9:$C$15,2,FALSE),"")</f>
        <v/>
      </c>
      <c r="G57" s="553" t="str">
        <f>IFERROR(((VLOOKUP(A57,Honorarios!$A$9:$C$15,3,FALSE))),"")</f>
        <v/>
      </c>
      <c r="H57" s="102">
        <f t="shared" si="6"/>
        <v>0</v>
      </c>
      <c r="I57" s="152">
        <f t="shared" si="7"/>
        <v>0</v>
      </c>
      <c r="J57" s="554"/>
      <c r="K57" s="126"/>
      <c r="L57" s="126"/>
      <c r="M57" s="127"/>
      <c r="N57" s="125">
        <f t="shared" si="1"/>
        <v>0</v>
      </c>
      <c r="O57" s="627"/>
      <c r="P57" s="130"/>
      <c r="Q57" s="130"/>
      <c r="R57" s="130"/>
      <c r="S57" s="130"/>
      <c r="T57" s="131"/>
      <c r="U57" s="125">
        <f t="shared" si="2"/>
        <v>0</v>
      </c>
      <c r="V57" s="125"/>
    </row>
    <row r="58" spans="1:22" ht="18" hidden="1" customHeight="1" x14ac:dyDescent="0.2">
      <c r="A58" s="38"/>
      <c r="B58" s="552"/>
      <c r="C58" s="4"/>
      <c r="D58" s="3"/>
      <c r="E58" s="12"/>
      <c r="F58" s="9" t="str">
        <f>IFERROR(VLOOKUP(A58,Honorarios!$A$9:$C$15,2,FALSE),"")</f>
        <v/>
      </c>
      <c r="G58" s="553" t="str">
        <f>IFERROR(((VLOOKUP(A58,Honorarios!$A$9:$C$15,3,FALSE))),"")</f>
        <v/>
      </c>
      <c r="H58" s="102">
        <f t="shared" si="6"/>
        <v>0</v>
      </c>
      <c r="I58" s="152">
        <f t="shared" si="7"/>
        <v>0</v>
      </c>
      <c r="J58" s="554"/>
      <c r="K58" s="126"/>
      <c r="L58" s="126"/>
      <c r="M58" s="127"/>
      <c r="N58" s="125">
        <f t="shared" si="1"/>
        <v>0</v>
      </c>
      <c r="O58" s="627"/>
      <c r="P58" s="130"/>
      <c r="Q58" s="130"/>
      <c r="R58" s="130"/>
      <c r="S58" s="130"/>
      <c r="T58" s="131"/>
      <c r="U58" s="125">
        <f t="shared" si="2"/>
        <v>0</v>
      </c>
      <c r="V58" s="125"/>
    </row>
    <row r="59" spans="1:22" ht="18" hidden="1" customHeight="1" x14ac:dyDescent="0.2">
      <c r="A59" s="38"/>
      <c r="B59" s="552"/>
      <c r="C59" s="4"/>
      <c r="D59" s="3"/>
      <c r="E59" s="12"/>
      <c r="F59" s="9" t="str">
        <f>IFERROR(VLOOKUP(A59,Honorarios!$A$9:$C$15,2,FALSE),"")</f>
        <v/>
      </c>
      <c r="G59" s="553" t="str">
        <f>IFERROR(((VLOOKUP(A59,Honorarios!$A$9:$C$15,3,FALSE))),"")</f>
        <v/>
      </c>
      <c r="H59" s="102">
        <f t="shared" si="6"/>
        <v>0</v>
      </c>
      <c r="I59" s="152">
        <f t="shared" si="7"/>
        <v>0</v>
      </c>
      <c r="J59" s="554"/>
      <c r="K59" s="126"/>
      <c r="L59" s="126"/>
      <c r="M59" s="127"/>
      <c r="N59" s="125">
        <f t="shared" si="1"/>
        <v>0</v>
      </c>
      <c r="O59" s="627"/>
      <c r="P59" s="130"/>
      <c r="Q59" s="130"/>
      <c r="R59" s="130"/>
      <c r="S59" s="130"/>
      <c r="T59" s="131"/>
      <c r="U59" s="125">
        <f t="shared" si="2"/>
        <v>0</v>
      </c>
      <c r="V59" s="125"/>
    </row>
    <row r="60" spans="1:22" ht="18" hidden="1" customHeight="1" x14ac:dyDescent="0.2">
      <c r="A60" s="38"/>
      <c r="B60" s="552"/>
      <c r="C60" s="4"/>
      <c r="D60" s="3"/>
      <c r="E60" s="12"/>
      <c r="F60" s="9" t="str">
        <f>IFERROR(VLOOKUP(A60,Honorarios!$A$9:$C$15,2,FALSE),"")</f>
        <v/>
      </c>
      <c r="G60" s="553" t="str">
        <f>IFERROR(((VLOOKUP(A60,Honorarios!$A$9:$C$15,3,FALSE))),"")</f>
        <v/>
      </c>
      <c r="H60" s="102">
        <f t="shared" si="0"/>
        <v>0</v>
      </c>
      <c r="I60" s="152">
        <f>IFERROR(H60/$H$100,0)</f>
        <v>0</v>
      </c>
      <c r="J60" s="554"/>
      <c r="K60" s="126"/>
      <c r="L60" s="126"/>
      <c r="M60" s="127"/>
      <c r="N60" s="125">
        <f t="shared" si="1"/>
        <v>0</v>
      </c>
      <c r="O60" s="627"/>
      <c r="P60" s="130"/>
      <c r="Q60" s="130"/>
      <c r="R60" s="130"/>
      <c r="S60" s="130"/>
      <c r="T60" s="131"/>
      <c r="U60" s="125">
        <f t="shared" si="2"/>
        <v>0</v>
      </c>
      <c r="V60" s="125"/>
    </row>
    <row r="61" spans="1:22" ht="18" customHeight="1" x14ac:dyDescent="0.2">
      <c r="A61" s="1174" t="s">
        <v>379</v>
      </c>
      <c r="B61" s="1175"/>
      <c r="C61" s="1175"/>
      <c r="D61" s="1175"/>
      <c r="E61" s="1175"/>
      <c r="F61" s="1175"/>
      <c r="G61" s="1175"/>
      <c r="H61" s="103">
        <f>SUM(H12:H60)</f>
        <v>0</v>
      </c>
      <c r="I61" s="151">
        <f>SUM(I12:I60)</f>
        <v>0</v>
      </c>
      <c r="J61" s="128">
        <f>SUM(J12:J60)</f>
        <v>0</v>
      </c>
      <c r="K61" s="128">
        <f t="shared" ref="K61" si="8">SUM(K12:K60)</f>
        <v>0</v>
      </c>
      <c r="L61" s="128">
        <f>SUM(L12:L60)</f>
        <v>0</v>
      </c>
      <c r="M61" s="129">
        <f>SUM(M12:M60)</f>
        <v>0</v>
      </c>
      <c r="N61" s="125">
        <f t="shared" ref="N61" si="9">H61-SUM(J61:M61)</f>
        <v>0</v>
      </c>
      <c r="O61" s="627"/>
      <c r="P61" s="130"/>
      <c r="Q61" s="130"/>
      <c r="R61" s="130"/>
      <c r="S61" s="130"/>
      <c r="T61" s="131"/>
      <c r="U61" s="125"/>
      <c r="V61" s="125"/>
    </row>
    <row r="62" spans="1:22" ht="18" customHeight="1" x14ac:dyDescent="0.2">
      <c r="A62" s="1176" t="s">
        <v>380</v>
      </c>
      <c r="B62" s="1177"/>
      <c r="C62" s="1177"/>
      <c r="D62" s="1177"/>
      <c r="E62" s="1177"/>
      <c r="F62" s="1177"/>
      <c r="G62" s="1177"/>
      <c r="H62" s="1177"/>
      <c r="I62" s="1177"/>
      <c r="J62" s="1177"/>
      <c r="K62" s="1177"/>
      <c r="L62" s="1177"/>
      <c r="M62" s="1178"/>
      <c r="N62" s="125"/>
      <c r="O62" s="627"/>
      <c r="P62" s="130"/>
      <c r="Q62" s="130"/>
      <c r="R62" s="130"/>
      <c r="S62" s="130"/>
      <c r="T62" s="131"/>
      <c r="U62" s="125"/>
      <c r="V62" s="125"/>
    </row>
    <row r="63" spans="1:22" ht="18" customHeight="1" x14ac:dyDescent="0.2">
      <c r="A63" s="8"/>
      <c r="B63" s="5"/>
      <c r="C63" s="6"/>
      <c r="D63" s="3"/>
      <c r="E63" s="11"/>
      <c r="F63" s="9"/>
      <c r="G63" s="610"/>
      <c r="H63" s="102">
        <f t="shared" ref="H63:H98" si="10">IFERROR(B63*C63*E63*F63*G63,0)</f>
        <v>0</v>
      </c>
      <c r="I63" s="152">
        <f>IFERROR(H63/$H$100,0)</f>
        <v>0</v>
      </c>
      <c r="J63" s="130"/>
      <c r="K63" s="130"/>
      <c r="L63" s="130"/>
      <c r="M63" s="131"/>
      <c r="N63" s="125">
        <f t="shared" ref="N63:N149" si="11">H63-SUM(J63:M63)</f>
        <v>0</v>
      </c>
      <c r="O63" s="627"/>
      <c r="P63" s="130"/>
      <c r="Q63" s="130"/>
      <c r="R63" s="130"/>
      <c r="S63" s="130"/>
      <c r="T63" s="131"/>
      <c r="U63" s="125">
        <f t="shared" si="2"/>
        <v>0</v>
      </c>
      <c r="V63" s="125"/>
    </row>
    <row r="64" spans="1:22" ht="18" customHeight="1" x14ac:dyDescent="0.2">
      <c r="A64" s="10"/>
      <c r="B64" s="5"/>
      <c r="C64" s="6"/>
      <c r="D64" s="3"/>
      <c r="E64" s="11"/>
      <c r="F64" s="55"/>
      <c r="G64" s="12"/>
      <c r="H64" s="102">
        <f t="shared" si="10"/>
        <v>0</v>
      </c>
      <c r="I64" s="152">
        <f>IFERROR(H64/$H$100,0)</f>
        <v>0</v>
      </c>
      <c r="J64" s="130"/>
      <c r="K64" s="130"/>
      <c r="L64" s="130"/>
      <c r="M64" s="131"/>
      <c r="N64" s="125">
        <f t="shared" si="11"/>
        <v>0</v>
      </c>
      <c r="O64" s="627"/>
      <c r="P64" s="130"/>
      <c r="Q64" s="130"/>
      <c r="R64" s="130"/>
      <c r="S64" s="130"/>
      <c r="T64" s="131"/>
      <c r="U64" s="125">
        <f t="shared" si="2"/>
        <v>0</v>
      </c>
      <c r="V64" s="125"/>
    </row>
    <row r="65" spans="1:22" ht="18" customHeight="1" x14ac:dyDescent="0.2">
      <c r="A65" s="10"/>
      <c r="B65" s="5"/>
      <c r="C65" s="6"/>
      <c r="D65" s="3"/>
      <c r="E65" s="11"/>
      <c r="F65" s="55"/>
      <c r="G65" s="12"/>
      <c r="H65" s="102">
        <f t="shared" si="10"/>
        <v>0</v>
      </c>
      <c r="I65" s="152">
        <f>IFERROR(H65/$H$100,0)</f>
        <v>0</v>
      </c>
      <c r="J65" s="130"/>
      <c r="K65" s="130"/>
      <c r="L65" s="130"/>
      <c r="M65" s="131"/>
      <c r="N65" s="125">
        <f t="shared" si="11"/>
        <v>0</v>
      </c>
      <c r="O65" s="627"/>
      <c r="P65" s="130"/>
      <c r="Q65" s="130"/>
      <c r="R65" s="130"/>
      <c r="S65" s="130"/>
      <c r="T65" s="131"/>
      <c r="U65" s="125">
        <f t="shared" si="2"/>
        <v>0</v>
      </c>
      <c r="V65" s="125"/>
    </row>
    <row r="66" spans="1:22" ht="18" customHeight="1" x14ac:dyDescent="0.2">
      <c r="A66" s="10"/>
      <c r="B66" s="5"/>
      <c r="C66" s="6"/>
      <c r="D66" s="3"/>
      <c r="E66" s="11"/>
      <c r="F66" s="55"/>
      <c r="G66" s="12"/>
      <c r="H66" s="102">
        <f t="shared" ref="H66:H89" si="12">IFERROR(B66*C66*E66*F66*G66,0)</f>
        <v>0</v>
      </c>
      <c r="I66" s="152">
        <f t="shared" ref="I66:I89" si="13">IFERROR(H66/$H$100,0)</f>
        <v>0</v>
      </c>
      <c r="J66" s="130"/>
      <c r="K66" s="130"/>
      <c r="L66" s="130"/>
      <c r="M66" s="131"/>
      <c r="N66" s="125">
        <f t="shared" si="11"/>
        <v>0</v>
      </c>
      <c r="O66" s="627"/>
      <c r="P66" s="130"/>
      <c r="Q66" s="130"/>
      <c r="R66" s="130"/>
      <c r="S66" s="130"/>
      <c r="T66" s="131"/>
      <c r="U66" s="125">
        <f t="shared" si="2"/>
        <v>0</v>
      </c>
      <c r="V66" s="125"/>
    </row>
    <row r="67" spans="1:22" ht="18" customHeight="1" x14ac:dyDescent="0.2">
      <c r="A67" s="10"/>
      <c r="B67" s="5"/>
      <c r="C67" s="6"/>
      <c r="D67" s="3"/>
      <c r="E67" s="11"/>
      <c r="F67" s="55"/>
      <c r="G67" s="12"/>
      <c r="H67" s="102">
        <f t="shared" si="12"/>
        <v>0</v>
      </c>
      <c r="I67" s="152">
        <f t="shared" si="13"/>
        <v>0</v>
      </c>
      <c r="J67" s="130"/>
      <c r="K67" s="130"/>
      <c r="L67" s="130"/>
      <c r="M67" s="131"/>
      <c r="N67" s="125">
        <f t="shared" si="11"/>
        <v>0</v>
      </c>
      <c r="O67" s="627"/>
      <c r="P67" s="130"/>
      <c r="Q67" s="130"/>
      <c r="R67" s="130"/>
      <c r="S67" s="130"/>
      <c r="T67" s="131"/>
      <c r="U67" s="125">
        <f t="shared" si="2"/>
        <v>0</v>
      </c>
      <c r="V67" s="125"/>
    </row>
    <row r="68" spans="1:22" ht="18" hidden="1" customHeight="1" x14ac:dyDescent="0.2">
      <c r="A68" s="10"/>
      <c r="B68" s="5"/>
      <c r="C68" s="6"/>
      <c r="D68" s="3"/>
      <c r="E68" s="11"/>
      <c r="F68" s="55"/>
      <c r="G68" s="12"/>
      <c r="H68" s="102">
        <f t="shared" si="12"/>
        <v>0</v>
      </c>
      <c r="I68" s="152">
        <f t="shared" si="13"/>
        <v>0</v>
      </c>
      <c r="J68" s="130"/>
      <c r="K68" s="130"/>
      <c r="L68" s="130"/>
      <c r="M68" s="131"/>
      <c r="N68" s="125">
        <f t="shared" si="11"/>
        <v>0</v>
      </c>
      <c r="O68" s="627"/>
      <c r="P68" s="130"/>
      <c r="Q68" s="130"/>
      <c r="R68" s="130"/>
      <c r="S68" s="130"/>
      <c r="T68" s="131"/>
      <c r="U68" s="125">
        <f t="shared" si="2"/>
        <v>0</v>
      </c>
      <c r="V68" s="125"/>
    </row>
    <row r="69" spans="1:22" ht="18" hidden="1" customHeight="1" x14ac:dyDescent="0.2">
      <c r="A69" s="10"/>
      <c r="B69" s="5"/>
      <c r="C69" s="6"/>
      <c r="D69" s="3"/>
      <c r="E69" s="11"/>
      <c r="F69" s="55"/>
      <c r="G69" s="12"/>
      <c r="H69" s="102">
        <f t="shared" si="12"/>
        <v>0</v>
      </c>
      <c r="I69" s="152">
        <f t="shared" si="13"/>
        <v>0</v>
      </c>
      <c r="J69" s="130"/>
      <c r="K69" s="130"/>
      <c r="L69" s="130"/>
      <c r="M69" s="131"/>
      <c r="N69" s="125">
        <f t="shared" si="11"/>
        <v>0</v>
      </c>
      <c r="O69" s="627"/>
      <c r="P69" s="130"/>
      <c r="Q69" s="130"/>
      <c r="R69" s="130"/>
      <c r="S69" s="130"/>
      <c r="T69" s="131"/>
      <c r="U69" s="125">
        <f t="shared" si="2"/>
        <v>0</v>
      </c>
      <c r="V69" s="125"/>
    </row>
    <row r="70" spans="1:22" ht="18" hidden="1" customHeight="1" x14ac:dyDescent="0.2">
      <c r="A70" s="10"/>
      <c r="B70" s="5"/>
      <c r="C70" s="6"/>
      <c r="D70" s="3"/>
      <c r="E70" s="11"/>
      <c r="F70" s="55"/>
      <c r="G70" s="12"/>
      <c r="H70" s="102">
        <f t="shared" si="12"/>
        <v>0</v>
      </c>
      <c r="I70" s="152">
        <f t="shared" si="13"/>
        <v>0</v>
      </c>
      <c r="J70" s="130"/>
      <c r="K70" s="130"/>
      <c r="L70" s="130"/>
      <c r="M70" s="131"/>
      <c r="N70" s="125">
        <f t="shared" si="11"/>
        <v>0</v>
      </c>
      <c r="O70" s="627"/>
      <c r="P70" s="130"/>
      <c r="Q70" s="130"/>
      <c r="R70" s="130"/>
      <c r="S70" s="130"/>
      <c r="T70" s="131"/>
      <c r="U70" s="125">
        <f t="shared" si="2"/>
        <v>0</v>
      </c>
      <c r="V70" s="125"/>
    </row>
    <row r="71" spans="1:22" ht="18" hidden="1" customHeight="1" x14ac:dyDescent="0.2">
      <c r="A71" s="10"/>
      <c r="B71" s="5"/>
      <c r="C71" s="6"/>
      <c r="D71" s="3"/>
      <c r="E71" s="11"/>
      <c r="F71" s="55"/>
      <c r="G71" s="12"/>
      <c r="H71" s="102">
        <f t="shared" si="12"/>
        <v>0</v>
      </c>
      <c r="I71" s="152">
        <f t="shared" si="13"/>
        <v>0</v>
      </c>
      <c r="J71" s="130"/>
      <c r="K71" s="130"/>
      <c r="L71" s="130"/>
      <c r="M71" s="131"/>
      <c r="N71" s="125">
        <f t="shared" si="11"/>
        <v>0</v>
      </c>
      <c r="O71" s="627"/>
      <c r="P71" s="130"/>
      <c r="Q71" s="130"/>
      <c r="R71" s="130"/>
      <c r="S71" s="130"/>
      <c r="T71" s="131"/>
      <c r="U71" s="125">
        <f t="shared" si="2"/>
        <v>0</v>
      </c>
      <c r="V71" s="125"/>
    </row>
    <row r="72" spans="1:22" ht="18" hidden="1" customHeight="1" x14ac:dyDescent="0.2">
      <c r="A72" s="10"/>
      <c r="B72" s="5"/>
      <c r="C72" s="6"/>
      <c r="D72" s="3"/>
      <c r="E72" s="11"/>
      <c r="F72" s="55"/>
      <c r="G72" s="12"/>
      <c r="H72" s="102">
        <f t="shared" si="12"/>
        <v>0</v>
      </c>
      <c r="I72" s="152">
        <f t="shared" si="13"/>
        <v>0</v>
      </c>
      <c r="J72" s="130"/>
      <c r="K72" s="130"/>
      <c r="L72" s="130"/>
      <c r="M72" s="131"/>
      <c r="N72" s="125">
        <f t="shared" si="11"/>
        <v>0</v>
      </c>
      <c r="O72" s="627"/>
      <c r="P72" s="130"/>
      <c r="Q72" s="130"/>
      <c r="R72" s="130"/>
      <c r="S72" s="130"/>
      <c r="T72" s="131"/>
      <c r="U72" s="125">
        <f t="shared" si="2"/>
        <v>0</v>
      </c>
      <c r="V72" s="125"/>
    </row>
    <row r="73" spans="1:22" ht="18" hidden="1" customHeight="1" x14ac:dyDescent="0.2">
      <c r="A73" s="10"/>
      <c r="B73" s="5"/>
      <c r="C73" s="6"/>
      <c r="D73" s="3"/>
      <c r="E73" s="11"/>
      <c r="F73" s="55"/>
      <c r="G73" s="12"/>
      <c r="H73" s="102">
        <f t="shared" si="12"/>
        <v>0</v>
      </c>
      <c r="I73" s="152">
        <f t="shared" si="13"/>
        <v>0</v>
      </c>
      <c r="J73" s="130"/>
      <c r="K73" s="130"/>
      <c r="L73" s="130"/>
      <c r="M73" s="131"/>
      <c r="N73" s="125">
        <f t="shared" si="11"/>
        <v>0</v>
      </c>
      <c r="O73" s="627"/>
      <c r="P73" s="130"/>
      <c r="Q73" s="130"/>
      <c r="R73" s="130"/>
      <c r="S73" s="130"/>
      <c r="T73" s="131"/>
      <c r="U73" s="125">
        <f t="shared" si="2"/>
        <v>0</v>
      </c>
      <c r="V73" s="125"/>
    </row>
    <row r="74" spans="1:22" ht="18" hidden="1" customHeight="1" x14ac:dyDescent="0.2">
      <c r="A74" s="10"/>
      <c r="B74" s="5"/>
      <c r="C74" s="6"/>
      <c r="D74" s="3"/>
      <c r="E74" s="11"/>
      <c r="F74" s="55"/>
      <c r="G74" s="12"/>
      <c r="H74" s="102">
        <f t="shared" si="12"/>
        <v>0</v>
      </c>
      <c r="I74" s="152">
        <f t="shared" si="13"/>
        <v>0</v>
      </c>
      <c r="J74" s="130"/>
      <c r="K74" s="130"/>
      <c r="L74" s="130"/>
      <c r="M74" s="131"/>
      <c r="N74" s="125">
        <f t="shared" si="11"/>
        <v>0</v>
      </c>
      <c r="O74" s="627"/>
      <c r="P74" s="130"/>
      <c r="Q74" s="130"/>
      <c r="R74" s="130"/>
      <c r="S74" s="130"/>
      <c r="T74" s="131"/>
      <c r="U74" s="125">
        <f t="shared" si="2"/>
        <v>0</v>
      </c>
      <c r="V74" s="125"/>
    </row>
    <row r="75" spans="1:22" ht="18" hidden="1" customHeight="1" x14ac:dyDescent="0.2">
      <c r="A75" s="10"/>
      <c r="B75" s="5"/>
      <c r="C75" s="6"/>
      <c r="D75" s="3"/>
      <c r="E75" s="11"/>
      <c r="F75" s="55"/>
      <c r="G75" s="12"/>
      <c r="H75" s="102">
        <f t="shared" si="12"/>
        <v>0</v>
      </c>
      <c r="I75" s="152">
        <f t="shared" si="13"/>
        <v>0</v>
      </c>
      <c r="J75" s="130"/>
      <c r="K75" s="130"/>
      <c r="L75" s="130"/>
      <c r="M75" s="131"/>
      <c r="N75" s="125">
        <f t="shared" si="11"/>
        <v>0</v>
      </c>
      <c r="O75" s="627"/>
      <c r="P75" s="130"/>
      <c r="Q75" s="130"/>
      <c r="R75" s="130"/>
      <c r="S75" s="130"/>
      <c r="T75" s="131"/>
      <c r="U75" s="125">
        <f t="shared" si="2"/>
        <v>0</v>
      </c>
      <c r="V75" s="125"/>
    </row>
    <row r="76" spans="1:22" ht="18" hidden="1" customHeight="1" x14ac:dyDescent="0.2">
      <c r="A76" s="10"/>
      <c r="B76" s="5"/>
      <c r="C76" s="6"/>
      <c r="D76" s="3"/>
      <c r="E76" s="11"/>
      <c r="F76" s="55"/>
      <c r="G76" s="12"/>
      <c r="H76" s="102">
        <f t="shared" si="12"/>
        <v>0</v>
      </c>
      <c r="I76" s="152">
        <f t="shared" si="13"/>
        <v>0</v>
      </c>
      <c r="J76" s="130"/>
      <c r="K76" s="130"/>
      <c r="L76" s="130"/>
      <c r="M76" s="131"/>
      <c r="N76" s="125">
        <f t="shared" si="11"/>
        <v>0</v>
      </c>
      <c r="O76" s="627"/>
      <c r="P76" s="130"/>
      <c r="Q76" s="130"/>
      <c r="R76" s="130"/>
      <c r="S76" s="130"/>
      <c r="T76" s="131"/>
      <c r="U76" s="125">
        <f t="shared" si="2"/>
        <v>0</v>
      </c>
      <c r="V76" s="125"/>
    </row>
    <row r="77" spans="1:22" ht="18" hidden="1" customHeight="1" x14ac:dyDescent="0.2">
      <c r="A77" s="10"/>
      <c r="B77" s="5"/>
      <c r="C77" s="6"/>
      <c r="D77" s="3"/>
      <c r="E77" s="11"/>
      <c r="F77" s="55"/>
      <c r="G77" s="12"/>
      <c r="H77" s="102">
        <f t="shared" si="12"/>
        <v>0</v>
      </c>
      <c r="I77" s="152">
        <f t="shared" si="13"/>
        <v>0</v>
      </c>
      <c r="J77" s="130"/>
      <c r="K77" s="130"/>
      <c r="L77" s="130"/>
      <c r="M77" s="131"/>
      <c r="N77" s="125">
        <f t="shared" si="11"/>
        <v>0</v>
      </c>
      <c r="O77" s="627"/>
      <c r="P77" s="130"/>
      <c r="Q77" s="130"/>
      <c r="R77" s="130"/>
      <c r="S77" s="130"/>
      <c r="T77" s="131"/>
      <c r="U77" s="125">
        <f t="shared" ref="U77:U140" si="14">J77-SUM(O77:T77)</f>
        <v>0</v>
      </c>
      <c r="V77" s="125"/>
    </row>
    <row r="78" spans="1:22" ht="18" hidden="1" customHeight="1" x14ac:dyDescent="0.2">
      <c r="A78" s="10"/>
      <c r="B78" s="5"/>
      <c r="C78" s="6"/>
      <c r="D78" s="3"/>
      <c r="E78" s="11"/>
      <c r="F78" s="55"/>
      <c r="G78" s="12"/>
      <c r="H78" s="102">
        <f t="shared" si="12"/>
        <v>0</v>
      </c>
      <c r="I78" s="152">
        <f t="shared" si="13"/>
        <v>0</v>
      </c>
      <c r="J78" s="130"/>
      <c r="K78" s="130"/>
      <c r="L78" s="130"/>
      <c r="M78" s="131"/>
      <c r="N78" s="125">
        <f t="shared" si="11"/>
        <v>0</v>
      </c>
      <c r="O78" s="627"/>
      <c r="P78" s="130"/>
      <c r="Q78" s="130"/>
      <c r="R78" s="130"/>
      <c r="S78" s="130"/>
      <c r="T78" s="131"/>
      <c r="U78" s="125">
        <f t="shared" si="14"/>
        <v>0</v>
      </c>
      <c r="V78" s="125"/>
    </row>
    <row r="79" spans="1:22" ht="18" hidden="1" customHeight="1" x14ac:dyDescent="0.2">
      <c r="A79" s="10"/>
      <c r="B79" s="5"/>
      <c r="C79" s="6"/>
      <c r="D79" s="3"/>
      <c r="E79" s="11"/>
      <c r="F79" s="55"/>
      <c r="G79" s="12"/>
      <c r="H79" s="102">
        <f t="shared" si="12"/>
        <v>0</v>
      </c>
      <c r="I79" s="152">
        <f t="shared" si="13"/>
        <v>0</v>
      </c>
      <c r="J79" s="130"/>
      <c r="K79" s="130"/>
      <c r="L79" s="130"/>
      <c r="M79" s="131"/>
      <c r="N79" s="125">
        <f t="shared" si="11"/>
        <v>0</v>
      </c>
      <c r="O79" s="627"/>
      <c r="P79" s="130"/>
      <c r="Q79" s="130"/>
      <c r="R79" s="130"/>
      <c r="S79" s="130"/>
      <c r="T79" s="131"/>
      <c r="U79" s="125">
        <f t="shared" si="14"/>
        <v>0</v>
      </c>
      <c r="V79" s="125"/>
    </row>
    <row r="80" spans="1:22" ht="18" hidden="1" customHeight="1" x14ac:dyDescent="0.2">
      <c r="A80" s="10"/>
      <c r="B80" s="5"/>
      <c r="C80" s="6"/>
      <c r="D80" s="3"/>
      <c r="E80" s="11"/>
      <c r="F80" s="55"/>
      <c r="G80" s="12"/>
      <c r="H80" s="102">
        <f t="shared" si="12"/>
        <v>0</v>
      </c>
      <c r="I80" s="152">
        <f t="shared" si="13"/>
        <v>0</v>
      </c>
      <c r="J80" s="130"/>
      <c r="K80" s="130"/>
      <c r="L80" s="130"/>
      <c r="M80" s="131"/>
      <c r="N80" s="125">
        <f t="shared" si="11"/>
        <v>0</v>
      </c>
      <c r="O80" s="627"/>
      <c r="P80" s="130"/>
      <c r="Q80" s="130"/>
      <c r="R80" s="130"/>
      <c r="S80" s="130"/>
      <c r="T80" s="131"/>
      <c r="U80" s="125">
        <f t="shared" si="14"/>
        <v>0</v>
      </c>
      <c r="V80" s="125"/>
    </row>
    <row r="81" spans="1:22" ht="18" hidden="1" customHeight="1" x14ac:dyDescent="0.2">
      <c r="A81" s="10"/>
      <c r="B81" s="5"/>
      <c r="C81" s="6"/>
      <c r="D81" s="3"/>
      <c r="E81" s="11"/>
      <c r="F81" s="55"/>
      <c r="G81" s="12"/>
      <c r="H81" s="102">
        <f t="shared" si="12"/>
        <v>0</v>
      </c>
      <c r="I81" s="152">
        <f t="shared" si="13"/>
        <v>0</v>
      </c>
      <c r="J81" s="130"/>
      <c r="K81" s="130"/>
      <c r="L81" s="130"/>
      <c r="M81" s="131"/>
      <c r="N81" s="125">
        <f t="shared" si="11"/>
        <v>0</v>
      </c>
      <c r="O81" s="627"/>
      <c r="P81" s="130"/>
      <c r="Q81" s="130"/>
      <c r="R81" s="130"/>
      <c r="S81" s="130"/>
      <c r="T81" s="131"/>
      <c r="U81" s="125">
        <f t="shared" si="14"/>
        <v>0</v>
      </c>
      <c r="V81" s="125"/>
    </row>
    <row r="82" spans="1:22" ht="18" hidden="1" customHeight="1" x14ac:dyDescent="0.2">
      <c r="A82" s="10"/>
      <c r="B82" s="5"/>
      <c r="C82" s="6"/>
      <c r="D82" s="3"/>
      <c r="E82" s="11"/>
      <c r="F82" s="55"/>
      <c r="G82" s="12"/>
      <c r="H82" s="102">
        <f t="shared" si="12"/>
        <v>0</v>
      </c>
      <c r="I82" s="152">
        <f t="shared" si="13"/>
        <v>0</v>
      </c>
      <c r="J82" s="130"/>
      <c r="K82" s="130"/>
      <c r="L82" s="130"/>
      <c r="M82" s="131"/>
      <c r="N82" s="125">
        <f t="shared" si="11"/>
        <v>0</v>
      </c>
      <c r="O82" s="627"/>
      <c r="P82" s="130"/>
      <c r="Q82" s="130"/>
      <c r="R82" s="130"/>
      <c r="S82" s="130"/>
      <c r="T82" s="131"/>
      <c r="U82" s="125">
        <f t="shared" si="14"/>
        <v>0</v>
      </c>
      <c r="V82" s="125"/>
    </row>
    <row r="83" spans="1:22" ht="18" hidden="1" customHeight="1" x14ac:dyDescent="0.2">
      <c r="A83" s="10"/>
      <c r="B83" s="5"/>
      <c r="C83" s="6"/>
      <c r="D83" s="3"/>
      <c r="E83" s="11"/>
      <c r="F83" s="55"/>
      <c r="G83" s="12"/>
      <c r="H83" s="102">
        <f t="shared" si="12"/>
        <v>0</v>
      </c>
      <c r="I83" s="152">
        <f t="shared" si="13"/>
        <v>0</v>
      </c>
      <c r="J83" s="130"/>
      <c r="K83" s="130"/>
      <c r="L83" s="130"/>
      <c r="M83" s="131"/>
      <c r="N83" s="125">
        <f t="shared" si="11"/>
        <v>0</v>
      </c>
      <c r="O83" s="627"/>
      <c r="P83" s="130"/>
      <c r="Q83" s="130"/>
      <c r="R83" s="130"/>
      <c r="S83" s="130"/>
      <c r="T83" s="131"/>
      <c r="U83" s="125">
        <f t="shared" si="14"/>
        <v>0</v>
      </c>
      <c r="V83" s="125"/>
    </row>
    <row r="84" spans="1:22" ht="18" hidden="1" customHeight="1" x14ac:dyDescent="0.2">
      <c r="A84" s="10"/>
      <c r="B84" s="5"/>
      <c r="C84" s="6"/>
      <c r="D84" s="3"/>
      <c r="E84" s="11"/>
      <c r="F84" s="55"/>
      <c r="G84" s="12"/>
      <c r="H84" s="102">
        <f t="shared" si="12"/>
        <v>0</v>
      </c>
      <c r="I84" s="152">
        <f t="shared" si="13"/>
        <v>0</v>
      </c>
      <c r="J84" s="130"/>
      <c r="K84" s="130"/>
      <c r="L84" s="130"/>
      <c r="M84" s="131"/>
      <c r="N84" s="125">
        <f t="shared" si="11"/>
        <v>0</v>
      </c>
      <c r="O84" s="627"/>
      <c r="P84" s="130"/>
      <c r="Q84" s="130"/>
      <c r="R84" s="130"/>
      <c r="S84" s="130"/>
      <c r="T84" s="131"/>
      <c r="U84" s="125">
        <f t="shared" si="14"/>
        <v>0</v>
      </c>
      <c r="V84" s="125"/>
    </row>
    <row r="85" spans="1:22" ht="18" hidden="1" customHeight="1" x14ac:dyDescent="0.2">
      <c r="A85" s="10"/>
      <c r="B85" s="5"/>
      <c r="C85" s="6"/>
      <c r="D85" s="3"/>
      <c r="E85" s="11"/>
      <c r="F85" s="55"/>
      <c r="G85" s="12"/>
      <c r="H85" s="102">
        <f t="shared" si="12"/>
        <v>0</v>
      </c>
      <c r="I85" s="152">
        <f t="shared" si="13"/>
        <v>0</v>
      </c>
      <c r="J85" s="130"/>
      <c r="K85" s="130"/>
      <c r="L85" s="130"/>
      <c r="M85" s="131"/>
      <c r="N85" s="125">
        <f t="shared" si="11"/>
        <v>0</v>
      </c>
      <c r="O85" s="627"/>
      <c r="P85" s="130"/>
      <c r="Q85" s="130"/>
      <c r="R85" s="130"/>
      <c r="S85" s="130"/>
      <c r="T85" s="131"/>
      <c r="U85" s="125">
        <f t="shared" si="14"/>
        <v>0</v>
      </c>
      <c r="V85" s="125"/>
    </row>
    <row r="86" spans="1:22" ht="18" hidden="1" customHeight="1" x14ac:dyDescent="0.2">
      <c r="A86" s="10"/>
      <c r="B86" s="5"/>
      <c r="C86" s="6"/>
      <c r="D86" s="3"/>
      <c r="E86" s="11"/>
      <c r="F86" s="55"/>
      <c r="G86" s="12"/>
      <c r="H86" s="102">
        <f t="shared" si="12"/>
        <v>0</v>
      </c>
      <c r="I86" s="152">
        <f t="shared" si="13"/>
        <v>0</v>
      </c>
      <c r="J86" s="130"/>
      <c r="K86" s="130"/>
      <c r="L86" s="130"/>
      <c r="M86" s="131"/>
      <c r="N86" s="125">
        <f t="shared" si="11"/>
        <v>0</v>
      </c>
      <c r="O86" s="627"/>
      <c r="P86" s="130"/>
      <c r="Q86" s="130"/>
      <c r="R86" s="130"/>
      <c r="S86" s="130"/>
      <c r="T86" s="131"/>
      <c r="U86" s="125">
        <f t="shared" si="14"/>
        <v>0</v>
      </c>
      <c r="V86" s="125"/>
    </row>
    <row r="87" spans="1:22" ht="18" hidden="1" customHeight="1" x14ac:dyDescent="0.2">
      <c r="A87" s="10"/>
      <c r="B87" s="5"/>
      <c r="C87" s="6"/>
      <c r="D87" s="3"/>
      <c r="E87" s="11"/>
      <c r="F87" s="55"/>
      <c r="G87" s="12"/>
      <c r="H87" s="102">
        <f t="shared" si="12"/>
        <v>0</v>
      </c>
      <c r="I87" s="152">
        <f t="shared" si="13"/>
        <v>0</v>
      </c>
      <c r="J87" s="130"/>
      <c r="K87" s="130"/>
      <c r="L87" s="130"/>
      <c r="M87" s="131"/>
      <c r="N87" s="125">
        <f t="shared" si="11"/>
        <v>0</v>
      </c>
      <c r="O87" s="627"/>
      <c r="P87" s="130"/>
      <c r="Q87" s="130"/>
      <c r="R87" s="130"/>
      <c r="S87" s="130"/>
      <c r="T87" s="131"/>
      <c r="U87" s="125">
        <f t="shared" si="14"/>
        <v>0</v>
      </c>
      <c r="V87" s="125"/>
    </row>
    <row r="88" spans="1:22" ht="18" hidden="1" customHeight="1" x14ac:dyDescent="0.2">
      <c r="A88" s="10"/>
      <c r="B88" s="5"/>
      <c r="C88" s="6"/>
      <c r="D88" s="3"/>
      <c r="E88" s="11"/>
      <c r="F88" s="55"/>
      <c r="G88" s="12"/>
      <c r="H88" s="102">
        <f t="shared" si="12"/>
        <v>0</v>
      </c>
      <c r="I88" s="152">
        <f t="shared" si="13"/>
        <v>0</v>
      </c>
      <c r="J88" s="130"/>
      <c r="K88" s="130"/>
      <c r="L88" s="130"/>
      <c r="M88" s="131"/>
      <c r="N88" s="125">
        <f t="shared" si="11"/>
        <v>0</v>
      </c>
      <c r="O88" s="627"/>
      <c r="P88" s="130"/>
      <c r="Q88" s="130"/>
      <c r="R88" s="130"/>
      <c r="S88" s="130"/>
      <c r="T88" s="131"/>
      <c r="U88" s="125">
        <f t="shared" si="14"/>
        <v>0</v>
      </c>
      <c r="V88" s="125"/>
    </row>
    <row r="89" spans="1:22" ht="18" hidden="1" customHeight="1" x14ac:dyDescent="0.2">
      <c r="A89" s="10"/>
      <c r="B89" s="5"/>
      <c r="C89" s="6"/>
      <c r="D89" s="3"/>
      <c r="E89" s="11"/>
      <c r="F89" s="55"/>
      <c r="G89" s="12"/>
      <c r="H89" s="102">
        <f t="shared" si="12"/>
        <v>0</v>
      </c>
      <c r="I89" s="152">
        <f t="shared" si="13"/>
        <v>0</v>
      </c>
      <c r="J89" s="130"/>
      <c r="K89" s="130"/>
      <c r="L89" s="130"/>
      <c r="M89" s="131"/>
      <c r="N89" s="125">
        <f t="shared" si="11"/>
        <v>0</v>
      </c>
      <c r="O89" s="627"/>
      <c r="P89" s="130"/>
      <c r="Q89" s="130"/>
      <c r="R89" s="130"/>
      <c r="S89" s="130"/>
      <c r="T89" s="131"/>
      <c r="U89" s="125">
        <f t="shared" si="14"/>
        <v>0</v>
      </c>
      <c r="V89" s="125"/>
    </row>
    <row r="90" spans="1:22" ht="18" hidden="1" customHeight="1" x14ac:dyDescent="0.2">
      <c r="A90" s="10"/>
      <c r="B90" s="5"/>
      <c r="C90" s="6"/>
      <c r="D90" s="3"/>
      <c r="E90" s="11"/>
      <c r="F90" s="55"/>
      <c r="G90" s="12"/>
      <c r="H90" s="102">
        <f t="shared" si="10"/>
        <v>0</v>
      </c>
      <c r="I90" s="152">
        <f t="shared" ref="I90:I98" si="15">IFERROR(H90/$H$100,0)</f>
        <v>0</v>
      </c>
      <c r="J90" s="130"/>
      <c r="K90" s="130"/>
      <c r="L90" s="130"/>
      <c r="M90" s="131"/>
      <c r="N90" s="125">
        <f t="shared" si="11"/>
        <v>0</v>
      </c>
      <c r="O90" s="627"/>
      <c r="P90" s="130"/>
      <c r="Q90" s="130"/>
      <c r="R90" s="130"/>
      <c r="S90" s="130"/>
      <c r="T90" s="131"/>
      <c r="U90" s="125">
        <f t="shared" si="14"/>
        <v>0</v>
      </c>
      <c r="V90" s="125"/>
    </row>
    <row r="91" spans="1:22" ht="18" hidden="1" customHeight="1" x14ac:dyDescent="0.2">
      <c r="A91" s="10"/>
      <c r="B91" s="5"/>
      <c r="C91" s="6"/>
      <c r="D91" s="3"/>
      <c r="E91" s="11"/>
      <c r="F91" s="55"/>
      <c r="G91" s="12"/>
      <c r="H91" s="102">
        <f t="shared" si="10"/>
        <v>0</v>
      </c>
      <c r="I91" s="152">
        <f t="shared" si="15"/>
        <v>0</v>
      </c>
      <c r="J91" s="130"/>
      <c r="K91" s="130"/>
      <c r="L91" s="130"/>
      <c r="M91" s="131"/>
      <c r="N91" s="125">
        <f t="shared" si="11"/>
        <v>0</v>
      </c>
      <c r="O91" s="627"/>
      <c r="P91" s="130"/>
      <c r="Q91" s="130"/>
      <c r="R91" s="130"/>
      <c r="S91" s="130"/>
      <c r="T91" s="131"/>
      <c r="U91" s="125">
        <f t="shared" si="14"/>
        <v>0</v>
      </c>
      <c r="V91" s="125"/>
    </row>
    <row r="92" spans="1:22" ht="18" hidden="1" customHeight="1" x14ac:dyDescent="0.2">
      <c r="A92" s="10"/>
      <c r="B92" s="5"/>
      <c r="C92" s="6"/>
      <c r="D92" s="3"/>
      <c r="E92" s="11"/>
      <c r="F92" s="55"/>
      <c r="G92" s="12"/>
      <c r="H92" s="102">
        <f t="shared" si="10"/>
        <v>0</v>
      </c>
      <c r="I92" s="152">
        <f t="shared" si="15"/>
        <v>0</v>
      </c>
      <c r="J92" s="130"/>
      <c r="K92" s="130"/>
      <c r="L92" s="130"/>
      <c r="M92" s="131"/>
      <c r="N92" s="125">
        <f t="shared" si="11"/>
        <v>0</v>
      </c>
      <c r="O92" s="627"/>
      <c r="P92" s="130"/>
      <c r="Q92" s="130"/>
      <c r="R92" s="130"/>
      <c r="S92" s="130"/>
      <c r="T92" s="131"/>
      <c r="U92" s="125">
        <f t="shared" si="14"/>
        <v>0</v>
      </c>
      <c r="V92" s="125"/>
    </row>
    <row r="93" spans="1:22" ht="18" hidden="1" customHeight="1" x14ac:dyDescent="0.2">
      <c r="A93" s="10"/>
      <c r="B93" s="5"/>
      <c r="C93" s="6"/>
      <c r="D93" s="3"/>
      <c r="E93" s="11"/>
      <c r="F93" s="55"/>
      <c r="G93" s="12"/>
      <c r="H93" s="102">
        <f t="shared" si="10"/>
        <v>0</v>
      </c>
      <c r="I93" s="152">
        <f t="shared" si="15"/>
        <v>0</v>
      </c>
      <c r="J93" s="130"/>
      <c r="K93" s="130"/>
      <c r="L93" s="130"/>
      <c r="M93" s="131"/>
      <c r="N93" s="125">
        <f t="shared" si="11"/>
        <v>0</v>
      </c>
      <c r="O93" s="627"/>
      <c r="P93" s="130"/>
      <c r="Q93" s="130"/>
      <c r="R93" s="130"/>
      <c r="S93" s="130"/>
      <c r="T93" s="131"/>
      <c r="U93" s="125">
        <f t="shared" si="14"/>
        <v>0</v>
      </c>
      <c r="V93" s="125"/>
    </row>
    <row r="94" spans="1:22" ht="18" hidden="1" customHeight="1" x14ac:dyDescent="0.2">
      <c r="A94" s="10"/>
      <c r="B94" s="5"/>
      <c r="C94" s="6"/>
      <c r="D94" s="3"/>
      <c r="E94" s="11"/>
      <c r="F94" s="55"/>
      <c r="G94" s="12"/>
      <c r="H94" s="102">
        <f t="shared" si="10"/>
        <v>0</v>
      </c>
      <c r="I94" s="152">
        <f t="shared" si="15"/>
        <v>0</v>
      </c>
      <c r="J94" s="130"/>
      <c r="K94" s="130"/>
      <c r="L94" s="130"/>
      <c r="M94" s="131"/>
      <c r="N94" s="125">
        <f t="shared" si="11"/>
        <v>0</v>
      </c>
      <c r="O94" s="627"/>
      <c r="P94" s="130"/>
      <c r="Q94" s="130"/>
      <c r="R94" s="130"/>
      <c r="S94" s="130"/>
      <c r="T94" s="131"/>
      <c r="U94" s="125">
        <f t="shared" si="14"/>
        <v>0</v>
      </c>
      <c r="V94" s="125"/>
    </row>
    <row r="95" spans="1:22" ht="18" hidden="1" customHeight="1" x14ac:dyDescent="0.2">
      <c r="A95" s="10"/>
      <c r="B95" s="5"/>
      <c r="C95" s="6"/>
      <c r="D95" s="3"/>
      <c r="E95" s="11"/>
      <c r="F95" s="55"/>
      <c r="G95" s="12"/>
      <c r="H95" s="102">
        <f t="shared" si="10"/>
        <v>0</v>
      </c>
      <c r="I95" s="152">
        <f t="shared" si="15"/>
        <v>0</v>
      </c>
      <c r="J95" s="130"/>
      <c r="K95" s="130"/>
      <c r="L95" s="130"/>
      <c r="M95" s="131"/>
      <c r="N95" s="125">
        <f t="shared" si="11"/>
        <v>0</v>
      </c>
      <c r="O95" s="627"/>
      <c r="P95" s="130"/>
      <c r="Q95" s="130"/>
      <c r="R95" s="130"/>
      <c r="S95" s="130"/>
      <c r="T95" s="131"/>
      <c r="U95" s="125">
        <f t="shared" si="14"/>
        <v>0</v>
      </c>
      <c r="V95" s="125"/>
    </row>
    <row r="96" spans="1:22" ht="18" hidden="1" customHeight="1" x14ac:dyDescent="0.2">
      <c r="A96" s="10"/>
      <c r="B96" s="5"/>
      <c r="C96" s="6"/>
      <c r="D96" s="3"/>
      <c r="E96" s="11"/>
      <c r="F96" s="55"/>
      <c r="G96" s="12"/>
      <c r="H96" s="102">
        <f t="shared" si="10"/>
        <v>0</v>
      </c>
      <c r="I96" s="152">
        <f t="shared" si="15"/>
        <v>0</v>
      </c>
      <c r="J96" s="130"/>
      <c r="K96" s="130"/>
      <c r="L96" s="130"/>
      <c r="M96" s="131"/>
      <c r="N96" s="125">
        <f t="shared" si="11"/>
        <v>0</v>
      </c>
      <c r="O96" s="627"/>
      <c r="P96" s="130"/>
      <c r="Q96" s="130"/>
      <c r="R96" s="130"/>
      <c r="S96" s="130"/>
      <c r="T96" s="131"/>
      <c r="U96" s="125">
        <f t="shared" si="14"/>
        <v>0</v>
      </c>
      <c r="V96" s="125"/>
    </row>
    <row r="97" spans="1:22" ht="18" hidden="1" customHeight="1" x14ac:dyDescent="0.2">
      <c r="A97" s="10"/>
      <c r="B97" s="5"/>
      <c r="C97" s="6"/>
      <c r="D97" s="3"/>
      <c r="E97" s="11"/>
      <c r="F97" s="3"/>
      <c r="G97" s="12"/>
      <c r="H97" s="102">
        <f t="shared" si="10"/>
        <v>0</v>
      </c>
      <c r="I97" s="152">
        <f t="shared" si="15"/>
        <v>0</v>
      </c>
      <c r="J97" s="126"/>
      <c r="K97" s="126"/>
      <c r="L97" s="126"/>
      <c r="M97" s="127"/>
      <c r="N97" s="125">
        <f t="shared" si="11"/>
        <v>0</v>
      </c>
      <c r="O97" s="627"/>
      <c r="P97" s="130"/>
      <c r="Q97" s="130"/>
      <c r="R97" s="130"/>
      <c r="S97" s="130"/>
      <c r="T97" s="131"/>
      <c r="U97" s="125">
        <f t="shared" si="14"/>
        <v>0</v>
      </c>
      <c r="V97" s="125"/>
    </row>
    <row r="98" spans="1:22" ht="18" hidden="1" customHeight="1" x14ac:dyDescent="0.2">
      <c r="A98" s="10"/>
      <c r="B98" s="5"/>
      <c r="C98" s="6"/>
      <c r="D98" s="3"/>
      <c r="E98" s="11"/>
      <c r="F98" s="3"/>
      <c r="G98" s="12"/>
      <c r="H98" s="102">
        <f t="shared" si="10"/>
        <v>0</v>
      </c>
      <c r="I98" s="152">
        <f t="shared" si="15"/>
        <v>0</v>
      </c>
      <c r="J98" s="126"/>
      <c r="K98" s="126"/>
      <c r="L98" s="126"/>
      <c r="M98" s="127"/>
      <c r="N98" s="125">
        <f t="shared" si="11"/>
        <v>0</v>
      </c>
      <c r="O98" s="627"/>
      <c r="P98" s="130"/>
      <c r="Q98" s="130"/>
      <c r="R98" s="130"/>
      <c r="S98" s="130"/>
      <c r="T98" s="131"/>
      <c r="U98" s="125">
        <f t="shared" si="14"/>
        <v>0</v>
      </c>
      <c r="V98" s="125"/>
    </row>
    <row r="99" spans="1:22" ht="18" customHeight="1" x14ac:dyDescent="0.2">
      <c r="A99" s="1174" t="s">
        <v>381</v>
      </c>
      <c r="B99" s="1175"/>
      <c r="C99" s="1175"/>
      <c r="D99" s="1175"/>
      <c r="E99" s="1175"/>
      <c r="F99" s="1175"/>
      <c r="G99" s="1175"/>
      <c r="H99" s="103">
        <f>SUM(H63:H98)</f>
        <v>0</v>
      </c>
      <c r="I99" s="151">
        <f>SUM(I63:I98)</f>
        <v>0</v>
      </c>
      <c r="J99" s="128">
        <f>SUM(J63:J98)</f>
        <v>0</v>
      </c>
      <c r="K99" s="128">
        <f t="shared" ref="K99:L99" si="16">SUM(K63:K98)</f>
        <v>0</v>
      </c>
      <c r="L99" s="128">
        <f t="shared" si="16"/>
        <v>0</v>
      </c>
      <c r="M99" s="129">
        <f>SUM(M63:M98)</f>
        <v>0</v>
      </c>
      <c r="N99" s="125">
        <f t="shared" si="11"/>
        <v>0</v>
      </c>
      <c r="O99" s="627"/>
      <c r="P99" s="130"/>
      <c r="Q99" s="130"/>
      <c r="R99" s="130"/>
      <c r="S99" s="130"/>
      <c r="T99" s="131"/>
      <c r="U99" s="125"/>
      <c r="V99" s="125"/>
    </row>
    <row r="100" spans="1:22" ht="18" customHeight="1" thickBot="1" x14ac:dyDescent="0.25">
      <c r="A100" s="1164" t="s">
        <v>382</v>
      </c>
      <c r="B100" s="1165"/>
      <c r="C100" s="1165"/>
      <c r="D100" s="1165"/>
      <c r="E100" s="1165"/>
      <c r="F100" s="1165"/>
      <c r="G100" s="1165"/>
      <c r="H100" s="104">
        <f>H61+H99</f>
        <v>0</v>
      </c>
      <c r="I100" s="153">
        <f>I61+I99</f>
        <v>0</v>
      </c>
      <c r="J100" s="132">
        <f>J61+J99</f>
        <v>0</v>
      </c>
      <c r="K100" s="132">
        <f t="shared" ref="K100:M100" si="17">K61+K99</f>
        <v>0</v>
      </c>
      <c r="L100" s="132">
        <f t="shared" si="17"/>
        <v>0</v>
      </c>
      <c r="M100" s="133">
        <f t="shared" si="17"/>
        <v>0</v>
      </c>
      <c r="N100" s="125">
        <f t="shared" si="11"/>
        <v>0</v>
      </c>
      <c r="O100" s="627"/>
      <c r="P100" s="130"/>
      <c r="Q100" s="130"/>
      <c r="R100" s="130"/>
      <c r="S100" s="130"/>
      <c r="T100" s="131"/>
      <c r="U100" s="125"/>
      <c r="V100" s="125"/>
    </row>
    <row r="101" spans="1:22" ht="18" customHeight="1" thickBot="1" x14ac:dyDescent="0.25">
      <c r="A101" s="105"/>
      <c r="B101" s="105"/>
      <c r="C101" s="105"/>
      <c r="D101" s="106"/>
      <c r="E101" s="106"/>
      <c r="F101" s="106"/>
      <c r="G101" s="106"/>
      <c r="H101" s="107"/>
      <c r="J101" s="134"/>
      <c r="K101" s="134"/>
      <c r="L101" s="134"/>
      <c r="M101" s="134"/>
      <c r="N101" s="125"/>
      <c r="O101" s="627"/>
      <c r="P101" s="130"/>
      <c r="Q101" s="130"/>
      <c r="R101" s="130"/>
      <c r="S101" s="130"/>
      <c r="T101" s="131"/>
      <c r="U101" s="125"/>
      <c r="V101" s="125"/>
    </row>
    <row r="102" spans="1:22" ht="18" customHeight="1" x14ac:dyDescent="0.2">
      <c r="A102" s="1151" t="s">
        <v>383</v>
      </c>
      <c r="B102" s="1152"/>
      <c r="C102" s="1152"/>
      <c r="D102" s="1152"/>
      <c r="E102" s="1152"/>
      <c r="F102" s="1152"/>
      <c r="G102" s="1152"/>
      <c r="H102" s="1152"/>
      <c r="I102" s="1183"/>
      <c r="J102" s="1169" t="s">
        <v>403</v>
      </c>
      <c r="K102" s="1169"/>
      <c r="L102" s="1169"/>
      <c r="M102" s="1170"/>
      <c r="N102" s="125"/>
      <c r="O102" s="627"/>
      <c r="P102" s="130"/>
      <c r="Q102" s="130"/>
      <c r="R102" s="130"/>
      <c r="S102" s="130"/>
      <c r="T102" s="131"/>
      <c r="U102" s="125"/>
      <c r="V102" s="125"/>
    </row>
    <row r="103" spans="1:22" ht="18" customHeight="1" x14ac:dyDescent="0.2">
      <c r="A103" s="1205" t="s">
        <v>370</v>
      </c>
      <c r="B103" s="1206"/>
      <c r="C103" s="1207"/>
      <c r="D103" s="1184" t="s">
        <v>119</v>
      </c>
      <c r="E103" s="1184" t="s">
        <v>373</v>
      </c>
      <c r="F103" s="1211" t="s">
        <v>384</v>
      </c>
      <c r="G103" s="1207"/>
      <c r="H103" s="1184" t="s">
        <v>376</v>
      </c>
      <c r="I103" s="1202" t="s">
        <v>377</v>
      </c>
      <c r="J103" s="1172" t="s">
        <v>405</v>
      </c>
      <c r="K103" s="1172"/>
      <c r="L103" s="1172" t="s">
        <v>409</v>
      </c>
      <c r="M103" s="1204"/>
      <c r="N103" s="125"/>
      <c r="O103" s="627"/>
      <c r="P103" s="130"/>
      <c r="Q103" s="130"/>
      <c r="R103" s="130"/>
      <c r="S103" s="130"/>
      <c r="T103" s="131"/>
      <c r="U103" s="125"/>
      <c r="V103" s="125"/>
    </row>
    <row r="104" spans="1:22" ht="18" customHeight="1" x14ac:dyDescent="0.2">
      <c r="A104" s="1208"/>
      <c r="B104" s="1209"/>
      <c r="C104" s="1210"/>
      <c r="D104" s="1185"/>
      <c r="E104" s="1185"/>
      <c r="F104" s="1212"/>
      <c r="G104" s="1210"/>
      <c r="H104" s="1185"/>
      <c r="I104" s="1203"/>
      <c r="J104" s="135" t="s">
        <v>407</v>
      </c>
      <c r="K104" s="135" t="s">
        <v>408</v>
      </c>
      <c r="L104" s="135" t="s">
        <v>407</v>
      </c>
      <c r="M104" s="136" t="s">
        <v>408</v>
      </c>
      <c r="N104" s="125"/>
      <c r="O104" s="627"/>
      <c r="P104" s="130"/>
      <c r="Q104" s="130"/>
      <c r="R104" s="130"/>
      <c r="S104" s="130"/>
      <c r="T104" s="131"/>
      <c r="U104" s="125"/>
      <c r="V104" s="125"/>
    </row>
    <row r="105" spans="1:22" ht="18" customHeight="1" x14ac:dyDescent="0.2">
      <c r="A105" s="1120"/>
      <c r="B105" s="1121"/>
      <c r="C105" s="1121"/>
      <c r="D105" s="109"/>
      <c r="E105" s="612"/>
      <c r="F105" s="1122"/>
      <c r="G105" s="1123"/>
      <c r="H105" s="613">
        <f>+F105*E105</f>
        <v>0</v>
      </c>
      <c r="I105" s="154">
        <f t="shared" ref="I105:I114" si="18">IFERROR(H105/$H$149,0)</f>
        <v>0</v>
      </c>
      <c r="J105" s="130"/>
      <c r="K105" s="130"/>
      <c r="L105" s="130"/>
      <c r="M105" s="131"/>
      <c r="N105" s="125">
        <f t="shared" si="11"/>
        <v>0</v>
      </c>
      <c r="O105" s="627"/>
      <c r="P105" s="130"/>
      <c r="Q105" s="130"/>
      <c r="R105" s="130"/>
      <c r="S105" s="130"/>
      <c r="T105" s="131"/>
      <c r="U105" s="125">
        <f t="shared" si="14"/>
        <v>0</v>
      </c>
      <c r="V105" s="125"/>
    </row>
    <row r="106" spans="1:22" ht="18" customHeight="1" x14ac:dyDescent="0.2">
      <c r="A106" s="1120"/>
      <c r="B106" s="1121"/>
      <c r="C106" s="1121"/>
      <c r="D106" s="109"/>
      <c r="E106" s="614"/>
      <c r="F106" s="1122"/>
      <c r="G106" s="1123"/>
      <c r="H106" s="613">
        <f>+F106*E106</f>
        <v>0</v>
      </c>
      <c r="I106" s="154">
        <f t="shared" si="18"/>
        <v>0</v>
      </c>
      <c r="J106" s="130"/>
      <c r="K106" s="130"/>
      <c r="L106" s="130"/>
      <c r="M106" s="131"/>
      <c r="N106" s="125">
        <f t="shared" si="11"/>
        <v>0</v>
      </c>
      <c r="O106" s="627"/>
      <c r="P106" s="130"/>
      <c r="Q106" s="130"/>
      <c r="R106" s="130"/>
      <c r="S106" s="130"/>
      <c r="T106" s="131"/>
      <c r="U106" s="125">
        <f t="shared" si="14"/>
        <v>0</v>
      </c>
      <c r="V106" s="125"/>
    </row>
    <row r="107" spans="1:22" ht="18" customHeight="1" x14ac:dyDescent="0.2">
      <c r="A107" s="1120"/>
      <c r="B107" s="1121"/>
      <c r="C107" s="1121"/>
      <c r="D107" s="109"/>
      <c r="E107" s="110"/>
      <c r="F107" s="1122"/>
      <c r="G107" s="1123"/>
      <c r="H107" s="613">
        <f>+F107*E107</f>
        <v>0</v>
      </c>
      <c r="I107" s="154">
        <f t="shared" si="18"/>
        <v>0</v>
      </c>
      <c r="J107" s="130"/>
      <c r="K107" s="130"/>
      <c r="L107" s="130"/>
      <c r="M107" s="131"/>
      <c r="N107" s="125">
        <f t="shared" si="11"/>
        <v>0</v>
      </c>
      <c r="O107" s="627"/>
      <c r="P107" s="130"/>
      <c r="Q107" s="130"/>
      <c r="R107" s="130"/>
      <c r="S107" s="130"/>
      <c r="T107" s="131"/>
      <c r="U107" s="125">
        <f t="shared" si="14"/>
        <v>0</v>
      </c>
      <c r="V107" s="125"/>
    </row>
    <row r="108" spans="1:22" ht="18" customHeight="1" x14ac:dyDescent="0.2">
      <c r="A108" s="1120"/>
      <c r="B108" s="1121"/>
      <c r="C108" s="1121"/>
      <c r="D108" s="109"/>
      <c r="E108" s="110"/>
      <c r="F108" s="1122"/>
      <c r="G108" s="1123"/>
      <c r="H108" s="111">
        <f t="shared" ref="H108" si="19">+F108*E108</f>
        <v>0</v>
      </c>
      <c r="I108" s="154">
        <f t="shared" si="18"/>
        <v>0</v>
      </c>
      <c r="J108" s="126"/>
      <c r="K108" s="126"/>
      <c r="L108" s="126"/>
      <c r="M108" s="127"/>
      <c r="N108" s="125">
        <f t="shared" si="11"/>
        <v>0</v>
      </c>
      <c r="O108" s="627"/>
      <c r="P108" s="130"/>
      <c r="Q108" s="130"/>
      <c r="R108" s="130"/>
      <c r="S108" s="130"/>
      <c r="T108" s="131"/>
      <c r="U108" s="125">
        <f t="shared" si="14"/>
        <v>0</v>
      </c>
      <c r="V108" s="125"/>
    </row>
    <row r="109" spans="1:22" ht="18" customHeight="1" x14ac:dyDescent="0.2">
      <c r="A109" s="1120"/>
      <c r="B109" s="1121"/>
      <c r="C109" s="1121"/>
      <c r="D109" s="109"/>
      <c r="E109" s="110"/>
      <c r="F109" s="1122"/>
      <c r="G109" s="1123"/>
      <c r="H109" s="111">
        <f t="shared" ref="H109:H145" si="20">+F109*E109</f>
        <v>0</v>
      </c>
      <c r="I109" s="154">
        <f t="shared" si="18"/>
        <v>0</v>
      </c>
      <c r="J109" s="126"/>
      <c r="K109" s="126"/>
      <c r="L109" s="126"/>
      <c r="M109" s="127"/>
      <c r="N109" s="125">
        <f t="shared" si="11"/>
        <v>0</v>
      </c>
      <c r="O109" s="627"/>
      <c r="P109" s="130"/>
      <c r="Q109" s="130"/>
      <c r="R109" s="130"/>
      <c r="S109" s="130"/>
      <c r="T109" s="131"/>
      <c r="U109" s="125">
        <f t="shared" si="14"/>
        <v>0</v>
      </c>
      <c r="V109" s="125"/>
    </row>
    <row r="110" spans="1:22" ht="18" hidden="1" customHeight="1" x14ac:dyDescent="0.2">
      <c r="A110" s="1120"/>
      <c r="B110" s="1121"/>
      <c r="C110" s="1121"/>
      <c r="D110" s="109"/>
      <c r="E110" s="110"/>
      <c r="F110" s="1122"/>
      <c r="G110" s="1123"/>
      <c r="H110" s="111">
        <f t="shared" si="20"/>
        <v>0</v>
      </c>
      <c r="I110" s="154">
        <f t="shared" si="18"/>
        <v>0</v>
      </c>
      <c r="J110" s="126"/>
      <c r="K110" s="126"/>
      <c r="L110" s="126"/>
      <c r="M110" s="127"/>
      <c r="N110" s="125">
        <f t="shared" si="11"/>
        <v>0</v>
      </c>
      <c r="O110" s="627"/>
      <c r="P110" s="130"/>
      <c r="Q110" s="130"/>
      <c r="R110" s="130"/>
      <c r="S110" s="130"/>
      <c r="T110" s="131"/>
      <c r="U110" s="125">
        <f t="shared" si="14"/>
        <v>0</v>
      </c>
      <c r="V110" s="125"/>
    </row>
    <row r="111" spans="1:22" ht="18" hidden="1" customHeight="1" x14ac:dyDescent="0.2">
      <c r="A111" s="1120"/>
      <c r="B111" s="1121"/>
      <c r="C111" s="1121"/>
      <c r="D111" s="109"/>
      <c r="E111" s="110"/>
      <c r="F111" s="1122"/>
      <c r="G111" s="1123"/>
      <c r="H111" s="111">
        <f t="shared" si="20"/>
        <v>0</v>
      </c>
      <c r="I111" s="154">
        <f t="shared" si="18"/>
        <v>0</v>
      </c>
      <c r="J111" s="126"/>
      <c r="K111" s="126"/>
      <c r="L111" s="126"/>
      <c r="M111" s="127"/>
      <c r="N111" s="125">
        <f t="shared" si="11"/>
        <v>0</v>
      </c>
      <c r="O111" s="627"/>
      <c r="P111" s="130"/>
      <c r="Q111" s="130"/>
      <c r="R111" s="130"/>
      <c r="S111" s="130"/>
      <c r="T111" s="131"/>
      <c r="U111" s="125">
        <f t="shared" si="14"/>
        <v>0</v>
      </c>
      <c r="V111" s="125"/>
    </row>
    <row r="112" spans="1:22" ht="18" hidden="1" customHeight="1" x14ac:dyDescent="0.2">
      <c r="A112" s="1120"/>
      <c r="B112" s="1121"/>
      <c r="C112" s="1121"/>
      <c r="D112" s="109"/>
      <c r="E112" s="110"/>
      <c r="F112" s="1122"/>
      <c r="G112" s="1123"/>
      <c r="H112" s="111">
        <f t="shared" si="20"/>
        <v>0</v>
      </c>
      <c r="I112" s="154">
        <f t="shared" si="18"/>
        <v>0</v>
      </c>
      <c r="J112" s="126"/>
      <c r="K112" s="126"/>
      <c r="L112" s="126"/>
      <c r="M112" s="127"/>
      <c r="N112" s="125">
        <f t="shared" si="11"/>
        <v>0</v>
      </c>
      <c r="O112" s="627"/>
      <c r="P112" s="130"/>
      <c r="Q112" s="130"/>
      <c r="R112" s="130"/>
      <c r="S112" s="130"/>
      <c r="T112" s="131"/>
      <c r="U112" s="125">
        <f t="shared" si="14"/>
        <v>0</v>
      </c>
      <c r="V112" s="125"/>
    </row>
    <row r="113" spans="1:22" ht="18" hidden="1" customHeight="1" x14ac:dyDescent="0.2">
      <c r="A113" s="1120"/>
      <c r="B113" s="1121"/>
      <c r="C113" s="1121"/>
      <c r="D113" s="109"/>
      <c r="E113" s="110"/>
      <c r="F113" s="1122"/>
      <c r="G113" s="1123"/>
      <c r="H113" s="111">
        <f t="shared" si="20"/>
        <v>0</v>
      </c>
      <c r="I113" s="154">
        <f t="shared" si="18"/>
        <v>0</v>
      </c>
      <c r="J113" s="126"/>
      <c r="K113" s="126"/>
      <c r="L113" s="126"/>
      <c r="M113" s="127"/>
      <c r="N113" s="125">
        <f t="shared" si="11"/>
        <v>0</v>
      </c>
      <c r="O113" s="627"/>
      <c r="P113" s="130"/>
      <c r="Q113" s="130"/>
      <c r="R113" s="130"/>
      <c r="S113" s="130"/>
      <c r="T113" s="131"/>
      <c r="U113" s="125">
        <f t="shared" si="14"/>
        <v>0</v>
      </c>
      <c r="V113" s="125"/>
    </row>
    <row r="114" spans="1:22" ht="18" hidden="1" customHeight="1" x14ac:dyDescent="0.2">
      <c r="A114" s="1120"/>
      <c r="B114" s="1121"/>
      <c r="C114" s="1121"/>
      <c r="D114" s="109"/>
      <c r="E114" s="110"/>
      <c r="F114" s="1122"/>
      <c r="G114" s="1123"/>
      <c r="H114" s="111">
        <f t="shared" si="20"/>
        <v>0</v>
      </c>
      <c r="I114" s="154">
        <f t="shared" si="18"/>
        <v>0</v>
      </c>
      <c r="J114" s="126"/>
      <c r="K114" s="126"/>
      <c r="L114" s="126"/>
      <c r="M114" s="127"/>
      <c r="N114" s="125">
        <f t="shared" si="11"/>
        <v>0</v>
      </c>
      <c r="O114" s="627"/>
      <c r="P114" s="130"/>
      <c r="Q114" s="130"/>
      <c r="R114" s="130"/>
      <c r="S114" s="130"/>
      <c r="T114" s="131"/>
      <c r="U114" s="125">
        <f t="shared" si="14"/>
        <v>0</v>
      </c>
      <c r="V114" s="125"/>
    </row>
    <row r="115" spans="1:22" ht="18" hidden="1" customHeight="1" x14ac:dyDescent="0.2">
      <c r="A115" s="1120"/>
      <c r="B115" s="1121"/>
      <c r="C115" s="1121"/>
      <c r="D115" s="109"/>
      <c r="E115" s="110"/>
      <c r="F115" s="1122"/>
      <c r="G115" s="1123"/>
      <c r="H115" s="111">
        <f t="shared" ref="H115:H138" si="21">+F115*E115</f>
        <v>0</v>
      </c>
      <c r="I115" s="154">
        <f t="shared" ref="I115:I138" si="22">IFERROR(H115/$H$149,0)</f>
        <v>0</v>
      </c>
      <c r="J115" s="126"/>
      <c r="K115" s="126"/>
      <c r="L115" s="126"/>
      <c r="M115" s="127"/>
      <c r="N115" s="125">
        <f t="shared" si="11"/>
        <v>0</v>
      </c>
      <c r="O115" s="627"/>
      <c r="P115" s="130"/>
      <c r="Q115" s="130"/>
      <c r="R115" s="130"/>
      <c r="S115" s="130"/>
      <c r="T115" s="131"/>
      <c r="U115" s="125">
        <f t="shared" si="14"/>
        <v>0</v>
      </c>
      <c r="V115" s="125"/>
    </row>
    <row r="116" spans="1:22" ht="18" hidden="1" customHeight="1" x14ac:dyDescent="0.2">
      <c r="A116" s="1120"/>
      <c r="B116" s="1121"/>
      <c r="C116" s="1121"/>
      <c r="D116" s="109"/>
      <c r="E116" s="110"/>
      <c r="F116" s="1122"/>
      <c r="G116" s="1123"/>
      <c r="H116" s="111">
        <f t="shared" si="21"/>
        <v>0</v>
      </c>
      <c r="I116" s="154">
        <f t="shared" si="22"/>
        <v>0</v>
      </c>
      <c r="J116" s="126"/>
      <c r="K116" s="126"/>
      <c r="L116" s="126"/>
      <c r="M116" s="127"/>
      <c r="N116" s="125">
        <f t="shared" si="11"/>
        <v>0</v>
      </c>
      <c r="O116" s="627"/>
      <c r="P116" s="130"/>
      <c r="Q116" s="130"/>
      <c r="R116" s="130"/>
      <c r="S116" s="130"/>
      <c r="T116" s="131"/>
      <c r="U116" s="125">
        <f t="shared" si="14"/>
        <v>0</v>
      </c>
      <c r="V116" s="125"/>
    </row>
    <row r="117" spans="1:22" ht="18" hidden="1" customHeight="1" x14ac:dyDescent="0.2">
      <c r="A117" s="1120"/>
      <c r="B117" s="1121"/>
      <c r="C117" s="1121"/>
      <c r="D117" s="109"/>
      <c r="E117" s="110"/>
      <c r="F117" s="1122"/>
      <c r="G117" s="1123"/>
      <c r="H117" s="111">
        <f t="shared" si="21"/>
        <v>0</v>
      </c>
      <c r="I117" s="154">
        <f t="shared" si="22"/>
        <v>0</v>
      </c>
      <c r="J117" s="126"/>
      <c r="K117" s="126"/>
      <c r="L117" s="126"/>
      <c r="M117" s="127"/>
      <c r="N117" s="125">
        <f t="shared" si="11"/>
        <v>0</v>
      </c>
      <c r="O117" s="627"/>
      <c r="P117" s="130"/>
      <c r="Q117" s="130"/>
      <c r="R117" s="130"/>
      <c r="S117" s="130"/>
      <c r="T117" s="131"/>
      <c r="U117" s="125">
        <f t="shared" si="14"/>
        <v>0</v>
      </c>
      <c r="V117" s="125"/>
    </row>
    <row r="118" spans="1:22" ht="18" hidden="1" customHeight="1" x14ac:dyDescent="0.2">
      <c r="A118" s="1120"/>
      <c r="B118" s="1121"/>
      <c r="C118" s="1121"/>
      <c r="D118" s="109"/>
      <c r="E118" s="110"/>
      <c r="F118" s="1122"/>
      <c r="G118" s="1123"/>
      <c r="H118" s="111">
        <f t="shared" si="21"/>
        <v>0</v>
      </c>
      <c r="I118" s="154">
        <f t="shared" si="22"/>
        <v>0</v>
      </c>
      <c r="J118" s="126"/>
      <c r="K118" s="126"/>
      <c r="L118" s="126"/>
      <c r="M118" s="127"/>
      <c r="N118" s="125">
        <f t="shared" si="11"/>
        <v>0</v>
      </c>
      <c r="O118" s="627"/>
      <c r="P118" s="130"/>
      <c r="Q118" s="130"/>
      <c r="R118" s="130"/>
      <c r="S118" s="130"/>
      <c r="T118" s="131"/>
      <c r="U118" s="125">
        <f t="shared" si="14"/>
        <v>0</v>
      </c>
      <c r="V118" s="125"/>
    </row>
    <row r="119" spans="1:22" ht="18" hidden="1" customHeight="1" x14ac:dyDescent="0.2">
      <c r="A119" s="1120"/>
      <c r="B119" s="1121"/>
      <c r="C119" s="1121"/>
      <c r="D119" s="109"/>
      <c r="E119" s="110"/>
      <c r="F119" s="1122"/>
      <c r="G119" s="1123"/>
      <c r="H119" s="111">
        <f t="shared" si="21"/>
        <v>0</v>
      </c>
      <c r="I119" s="154">
        <f t="shared" si="22"/>
        <v>0</v>
      </c>
      <c r="J119" s="126"/>
      <c r="K119" s="126"/>
      <c r="L119" s="126"/>
      <c r="M119" s="127"/>
      <c r="N119" s="125">
        <f t="shared" si="11"/>
        <v>0</v>
      </c>
      <c r="O119" s="627"/>
      <c r="P119" s="130"/>
      <c r="Q119" s="130"/>
      <c r="R119" s="130"/>
      <c r="S119" s="130"/>
      <c r="T119" s="131"/>
      <c r="U119" s="125">
        <f t="shared" si="14"/>
        <v>0</v>
      </c>
      <c r="V119" s="125"/>
    </row>
    <row r="120" spans="1:22" ht="18" hidden="1" customHeight="1" x14ac:dyDescent="0.2">
      <c r="A120" s="1120"/>
      <c r="B120" s="1121"/>
      <c r="C120" s="1121"/>
      <c r="D120" s="109"/>
      <c r="E120" s="110"/>
      <c r="F120" s="1122"/>
      <c r="G120" s="1123"/>
      <c r="H120" s="111">
        <f t="shared" si="21"/>
        <v>0</v>
      </c>
      <c r="I120" s="154">
        <f t="shared" si="22"/>
        <v>0</v>
      </c>
      <c r="J120" s="126"/>
      <c r="K120" s="126"/>
      <c r="L120" s="126"/>
      <c r="M120" s="127"/>
      <c r="N120" s="125">
        <f t="shared" si="11"/>
        <v>0</v>
      </c>
      <c r="O120" s="627"/>
      <c r="P120" s="130"/>
      <c r="Q120" s="130"/>
      <c r="R120" s="130"/>
      <c r="S120" s="130"/>
      <c r="T120" s="131"/>
      <c r="U120" s="125">
        <f t="shared" si="14"/>
        <v>0</v>
      </c>
      <c r="V120" s="125"/>
    </row>
    <row r="121" spans="1:22" ht="18" hidden="1" customHeight="1" x14ac:dyDescent="0.2">
      <c r="A121" s="1120"/>
      <c r="B121" s="1121"/>
      <c r="C121" s="1121"/>
      <c r="D121" s="109"/>
      <c r="E121" s="110"/>
      <c r="F121" s="1122"/>
      <c r="G121" s="1123"/>
      <c r="H121" s="111">
        <f t="shared" si="21"/>
        <v>0</v>
      </c>
      <c r="I121" s="154">
        <f t="shared" si="22"/>
        <v>0</v>
      </c>
      <c r="J121" s="126"/>
      <c r="K121" s="126"/>
      <c r="L121" s="126"/>
      <c r="M121" s="127"/>
      <c r="N121" s="125">
        <f t="shared" si="11"/>
        <v>0</v>
      </c>
      <c r="O121" s="627"/>
      <c r="P121" s="130"/>
      <c r="Q121" s="130"/>
      <c r="R121" s="130"/>
      <c r="S121" s="130"/>
      <c r="T121" s="131"/>
      <c r="U121" s="125">
        <f t="shared" si="14"/>
        <v>0</v>
      </c>
      <c r="V121" s="125"/>
    </row>
    <row r="122" spans="1:22" ht="18" hidden="1" customHeight="1" x14ac:dyDescent="0.2">
      <c r="A122" s="1120"/>
      <c r="B122" s="1121"/>
      <c r="C122" s="1121"/>
      <c r="D122" s="109"/>
      <c r="E122" s="110"/>
      <c r="F122" s="1122"/>
      <c r="G122" s="1123"/>
      <c r="H122" s="111">
        <f t="shared" si="21"/>
        <v>0</v>
      </c>
      <c r="I122" s="154">
        <f t="shared" si="22"/>
        <v>0</v>
      </c>
      <c r="J122" s="126"/>
      <c r="K122" s="126"/>
      <c r="L122" s="126"/>
      <c r="M122" s="127"/>
      <c r="N122" s="125">
        <f t="shared" si="11"/>
        <v>0</v>
      </c>
      <c r="O122" s="627"/>
      <c r="P122" s="130"/>
      <c r="Q122" s="130"/>
      <c r="R122" s="130"/>
      <c r="S122" s="130"/>
      <c r="T122" s="131"/>
      <c r="U122" s="125">
        <f t="shared" si="14"/>
        <v>0</v>
      </c>
      <c r="V122" s="125"/>
    </row>
    <row r="123" spans="1:22" ht="18" hidden="1" customHeight="1" x14ac:dyDescent="0.2">
      <c r="A123" s="1120"/>
      <c r="B123" s="1121"/>
      <c r="C123" s="1121"/>
      <c r="D123" s="109"/>
      <c r="E123" s="110"/>
      <c r="F123" s="1122"/>
      <c r="G123" s="1123"/>
      <c r="H123" s="111">
        <f t="shared" si="21"/>
        <v>0</v>
      </c>
      <c r="I123" s="154">
        <f t="shared" si="22"/>
        <v>0</v>
      </c>
      <c r="J123" s="126"/>
      <c r="K123" s="126"/>
      <c r="L123" s="126"/>
      <c r="M123" s="127"/>
      <c r="N123" s="125">
        <f t="shared" si="11"/>
        <v>0</v>
      </c>
      <c r="O123" s="627"/>
      <c r="P123" s="130"/>
      <c r="Q123" s="130"/>
      <c r="R123" s="130"/>
      <c r="S123" s="130"/>
      <c r="T123" s="131"/>
      <c r="U123" s="125">
        <f t="shared" si="14"/>
        <v>0</v>
      </c>
      <c r="V123" s="125"/>
    </row>
    <row r="124" spans="1:22" ht="18" hidden="1" customHeight="1" x14ac:dyDescent="0.2">
      <c r="A124" s="1120"/>
      <c r="B124" s="1121"/>
      <c r="C124" s="1121"/>
      <c r="D124" s="109"/>
      <c r="E124" s="110"/>
      <c r="F124" s="1122"/>
      <c r="G124" s="1123"/>
      <c r="H124" s="111">
        <f t="shared" si="21"/>
        <v>0</v>
      </c>
      <c r="I124" s="154">
        <f t="shared" si="22"/>
        <v>0</v>
      </c>
      <c r="J124" s="126"/>
      <c r="K124" s="126"/>
      <c r="L124" s="126"/>
      <c r="M124" s="127"/>
      <c r="N124" s="125">
        <f t="shared" si="11"/>
        <v>0</v>
      </c>
      <c r="O124" s="627"/>
      <c r="P124" s="130"/>
      <c r="Q124" s="130"/>
      <c r="R124" s="130"/>
      <c r="S124" s="130"/>
      <c r="T124" s="131"/>
      <c r="U124" s="125">
        <f t="shared" si="14"/>
        <v>0</v>
      </c>
      <c r="V124" s="125"/>
    </row>
    <row r="125" spans="1:22" ht="18" hidden="1" customHeight="1" x14ac:dyDescent="0.2">
      <c r="A125" s="1120"/>
      <c r="B125" s="1121"/>
      <c r="C125" s="1121"/>
      <c r="D125" s="109"/>
      <c r="E125" s="110"/>
      <c r="F125" s="1122"/>
      <c r="G125" s="1123"/>
      <c r="H125" s="111">
        <f t="shared" si="21"/>
        <v>0</v>
      </c>
      <c r="I125" s="154">
        <f t="shared" si="22"/>
        <v>0</v>
      </c>
      <c r="J125" s="126"/>
      <c r="K125" s="126"/>
      <c r="L125" s="126"/>
      <c r="M125" s="127"/>
      <c r="N125" s="125">
        <f t="shared" si="11"/>
        <v>0</v>
      </c>
      <c r="O125" s="627"/>
      <c r="P125" s="130"/>
      <c r="Q125" s="130"/>
      <c r="R125" s="130"/>
      <c r="S125" s="130"/>
      <c r="T125" s="131"/>
      <c r="U125" s="125">
        <f t="shared" si="14"/>
        <v>0</v>
      </c>
      <c r="V125" s="125"/>
    </row>
    <row r="126" spans="1:22" ht="18" hidden="1" customHeight="1" x14ac:dyDescent="0.2">
      <c r="A126" s="1120"/>
      <c r="B126" s="1121"/>
      <c r="C126" s="1121"/>
      <c r="D126" s="109"/>
      <c r="E126" s="110"/>
      <c r="F126" s="1122"/>
      <c r="G126" s="1123"/>
      <c r="H126" s="111">
        <f t="shared" si="21"/>
        <v>0</v>
      </c>
      <c r="I126" s="154">
        <f t="shared" si="22"/>
        <v>0</v>
      </c>
      <c r="J126" s="126"/>
      <c r="K126" s="126"/>
      <c r="L126" s="126"/>
      <c r="M126" s="127"/>
      <c r="N126" s="125">
        <f t="shared" si="11"/>
        <v>0</v>
      </c>
      <c r="O126" s="627"/>
      <c r="P126" s="130"/>
      <c r="Q126" s="130"/>
      <c r="R126" s="130"/>
      <c r="S126" s="130"/>
      <c r="T126" s="131"/>
      <c r="U126" s="125">
        <f t="shared" si="14"/>
        <v>0</v>
      </c>
      <c r="V126" s="125"/>
    </row>
    <row r="127" spans="1:22" ht="18" hidden="1" customHeight="1" x14ac:dyDescent="0.2">
      <c r="A127" s="1120"/>
      <c r="B127" s="1121"/>
      <c r="C127" s="1121"/>
      <c r="D127" s="109"/>
      <c r="E127" s="110"/>
      <c r="F127" s="1122"/>
      <c r="G127" s="1123"/>
      <c r="H127" s="111">
        <f t="shared" si="21"/>
        <v>0</v>
      </c>
      <c r="I127" s="154">
        <f t="shared" si="22"/>
        <v>0</v>
      </c>
      <c r="J127" s="126"/>
      <c r="K127" s="126"/>
      <c r="L127" s="126"/>
      <c r="M127" s="127"/>
      <c r="N127" s="125">
        <f t="shared" si="11"/>
        <v>0</v>
      </c>
      <c r="O127" s="627"/>
      <c r="P127" s="130"/>
      <c r="Q127" s="130"/>
      <c r="R127" s="130"/>
      <c r="S127" s="130"/>
      <c r="T127" s="131"/>
      <c r="U127" s="125">
        <f t="shared" si="14"/>
        <v>0</v>
      </c>
      <c r="V127" s="125"/>
    </row>
    <row r="128" spans="1:22" ht="18" hidden="1" customHeight="1" x14ac:dyDescent="0.2">
      <c r="A128" s="1120"/>
      <c r="B128" s="1121"/>
      <c r="C128" s="1121"/>
      <c r="D128" s="109"/>
      <c r="E128" s="110"/>
      <c r="F128" s="1122"/>
      <c r="G128" s="1123"/>
      <c r="H128" s="111">
        <f t="shared" si="21"/>
        <v>0</v>
      </c>
      <c r="I128" s="154">
        <f t="shared" si="22"/>
        <v>0</v>
      </c>
      <c r="J128" s="126"/>
      <c r="K128" s="126"/>
      <c r="L128" s="126"/>
      <c r="M128" s="127"/>
      <c r="N128" s="125">
        <f t="shared" si="11"/>
        <v>0</v>
      </c>
      <c r="O128" s="627"/>
      <c r="P128" s="130"/>
      <c r="Q128" s="130"/>
      <c r="R128" s="130"/>
      <c r="S128" s="130"/>
      <c r="T128" s="131"/>
      <c r="U128" s="125">
        <f t="shared" si="14"/>
        <v>0</v>
      </c>
      <c r="V128" s="125"/>
    </row>
    <row r="129" spans="1:22" ht="18" hidden="1" customHeight="1" x14ac:dyDescent="0.2">
      <c r="A129" s="1120"/>
      <c r="B129" s="1121"/>
      <c r="C129" s="1121"/>
      <c r="D129" s="109"/>
      <c r="E129" s="110"/>
      <c r="F129" s="1122"/>
      <c r="G129" s="1123"/>
      <c r="H129" s="111">
        <f t="shared" si="21"/>
        <v>0</v>
      </c>
      <c r="I129" s="154">
        <f t="shared" si="22"/>
        <v>0</v>
      </c>
      <c r="J129" s="126"/>
      <c r="K129" s="126"/>
      <c r="L129" s="126"/>
      <c r="M129" s="127"/>
      <c r="N129" s="125">
        <f t="shared" si="11"/>
        <v>0</v>
      </c>
      <c r="O129" s="627"/>
      <c r="P129" s="130"/>
      <c r="Q129" s="130"/>
      <c r="R129" s="130"/>
      <c r="S129" s="130"/>
      <c r="T129" s="131"/>
      <c r="U129" s="125">
        <f t="shared" si="14"/>
        <v>0</v>
      </c>
      <c r="V129" s="125"/>
    </row>
    <row r="130" spans="1:22" ht="18" hidden="1" customHeight="1" x14ac:dyDescent="0.2">
      <c r="A130" s="1120"/>
      <c r="B130" s="1121"/>
      <c r="C130" s="1121"/>
      <c r="D130" s="109"/>
      <c r="E130" s="110"/>
      <c r="F130" s="1122"/>
      <c r="G130" s="1123"/>
      <c r="H130" s="111">
        <f t="shared" si="21"/>
        <v>0</v>
      </c>
      <c r="I130" s="154">
        <f t="shared" si="22"/>
        <v>0</v>
      </c>
      <c r="J130" s="126"/>
      <c r="K130" s="126"/>
      <c r="L130" s="126"/>
      <c r="M130" s="127"/>
      <c r="N130" s="125">
        <f t="shared" si="11"/>
        <v>0</v>
      </c>
      <c r="O130" s="627"/>
      <c r="P130" s="130"/>
      <c r="Q130" s="130"/>
      <c r="R130" s="130"/>
      <c r="S130" s="130"/>
      <c r="T130" s="131"/>
      <c r="U130" s="125">
        <f t="shared" si="14"/>
        <v>0</v>
      </c>
      <c r="V130" s="125"/>
    </row>
    <row r="131" spans="1:22" ht="18" hidden="1" customHeight="1" x14ac:dyDescent="0.2">
      <c r="A131" s="1120"/>
      <c r="B131" s="1121"/>
      <c r="C131" s="1121"/>
      <c r="D131" s="109"/>
      <c r="E131" s="110"/>
      <c r="F131" s="1122"/>
      <c r="G131" s="1123"/>
      <c r="H131" s="111">
        <f t="shared" si="21"/>
        <v>0</v>
      </c>
      <c r="I131" s="154">
        <f t="shared" si="22"/>
        <v>0</v>
      </c>
      <c r="J131" s="126"/>
      <c r="K131" s="126"/>
      <c r="L131" s="126"/>
      <c r="M131" s="127"/>
      <c r="N131" s="125">
        <f t="shared" si="11"/>
        <v>0</v>
      </c>
      <c r="O131" s="627"/>
      <c r="P131" s="130"/>
      <c r="Q131" s="130"/>
      <c r="R131" s="130"/>
      <c r="S131" s="130"/>
      <c r="T131" s="131"/>
      <c r="U131" s="125">
        <f t="shared" si="14"/>
        <v>0</v>
      </c>
      <c r="V131" s="125"/>
    </row>
    <row r="132" spans="1:22" ht="18" hidden="1" customHeight="1" x14ac:dyDescent="0.2">
      <c r="A132" s="1120"/>
      <c r="B132" s="1121"/>
      <c r="C132" s="1121"/>
      <c r="D132" s="109"/>
      <c r="E132" s="110"/>
      <c r="F132" s="1122"/>
      <c r="G132" s="1123"/>
      <c r="H132" s="111">
        <f t="shared" si="21"/>
        <v>0</v>
      </c>
      <c r="I132" s="154">
        <f t="shared" si="22"/>
        <v>0</v>
      </c>
      <c r="J132" s="126"/>
      <c r="K132" s="126"/>
      <c r="L132" s="126"/>
      <c r="M132" s="127"/>
      <c r="N132" s="125">
        <f t="shared" si="11"/>
        <v>0</v>
      </c>
      <c r="O132" s="627"/>
      <c r="P132" s="130"/>
      <c r="Q132" s="130"/>
      <c r="R132" s="130"/>
      <c r="S132" s="130"/>
      <c r="T132" s="131"/>
      <c r="U132" s="125">
        <f t="shared" si="14"/>
        <v>0</v>
      </c>
      <c r="V132" s="125"/>
    </row>
    <row r="133" spans="1:22" ht="18" hidden="1" customHeight="1" x14ac:dyDescent="0.2">
      <c r="A133" s="1120"/>
      <c r="B133" s="1121"/>
      <c r="C133" s="1121"/>
      <c r="D133" s="109"/>
      <c r="E133" s="110"/>
      <c r="F133" s="1122"/>
      <c r="G133" s="1123"/>
      <c r="H133" s="111">
        <f t="shared" si="21"/>
        <v>0</v>
      </c>
      <c r="I133" s="154">
        <f t="shared" si="22"/>
        <v>0</v>
      </c>
      <c r="J133" s="126"/>
      <c r="K133" s="126"/>
      <c r="L133" s="126"/>
      <c r="M133" s="127"/>
      <c r="N133" s="125">
        <f t="shared" si="11"/>
        <v>0</v>
      </c>
      <c r="O133" s="627"/>
      <c r="P133" s="130"/>
      <c r="Q133" s="130"/>
      <c r="R133" s="130"/>
      <c r="S133" s="130"/>
      <c r="T133" s="131"/>
      <c r="U133" s="125">
        <f t="shared" si="14"/>
        <v>0</v>
      </c>
      <c r="V133" s="125"/>
    </row>
    <row r="134" spans="1:22" ht="18" hidden="1" customHeight="1" x14ac:dyDescent="0.2">
      <c r="A134" s="1120"/>
      <c r="B134" s="1121"/>
      <c r="C134" s="1121"/>
      <c r="D134" s="109"/>
      <c r="E134" s="110"/>
      <c r="F134" s="1122"/>
      <c r="G134" s="1123"/>
      <c r="H134" s="111">
        <f t="shared" si="21"/>
        <v>0</v>
      </c>
      <c r="I134" s="154">
        <f t="shared" si="22"/>
        <v>0</v>
      </c>
      <c r="J134" s="126"/>
      <c r="K134" s="126"/>
      <c r="L134" s="126"/>
      <c r="M134" s="127"/>
      <c r="N134" s="125">
        <f t="shared" si="11"/>
        <v>0</v>
      </c>
      <c r="O134" s="627"/>
      <c r="P134" s="130"/>
      <c r="Q134" s="130"/>
      <c r="R134" s="130"/>
      <c r="S134" s="130"/>
      <c r="T134" s="131"/>
      <c r="U134" s="125">
        <f t="shared" si="14"/>
        <v>0</v>
      </c>
      <c r="V134" s="125"/>
    </row>
    <row r="135" spans="1:22" ht="18" hidden="1" customHeight="1" x14ac:dyDescent="0.2">
      <c r="A135" s="1120"/>
      <c r="B135" s="1121"/>
      <c r="C135" s="1121"/>
      <c r="D135" s="109"/>
      <c r="E135" s="110"/>
      <c r="F135" s="1122"/>
      <c r="G135" s="1123"/>
      <c r="H135" s="111">
        <f t="shared" si="21"/>
        <v>0</v>
      </c>
      <c r="I135" s="154">
        <f t="shared" si="22"/>
        <v>0</v>
      </c>
      <c r="J135" s="126"/>
      <c r="K135" s="126"/>
      <c r="L135" s="126"/>
      <c r="M135" s="127"/>
      <c r="N135" s="125">
        <f t="shared" si="11"/>
        <v>0</v>
      </c>
      <c r="O135" s="627"/>
      <c r="P135" s="130"/>
      <c r="Q135" s="130"/>
      <c r="R135" s="130"/>
      <c r="S135" s="130"/>
      <c r="T135" s="131"/>
      <c r="U135" s="125">
        <f t="shared" si="14"/>
        <v>0</v>
      </c>
      <c r="V135" s="125"/>
    </row>
    <row r="136" spans="1:22" ht="18" hidden="1" customHeight="1" x14ac:dyDescent="0.2">
      <c r="A136" s="1120"/>
      <c r="B136" s="1121"/>
      <c r="C136" s="1121"/>
      <c r="D136" s="109"/>
      <c r="E136" s="110"/>
      <c r="F136" s="1122"/>
      <c r="G136" s="1123"/>
      <c r="H136" s="111">
        <f t="shared" si="21"/>
        <v>0</v>
      </c>
      <c r="I136" s="154">
        <f t="shared" si="22"/>
        <v>0</v>
      </c>
      <c r="J136" s="126"/>
      <c r="K136" s="126"/>
      <c r="L136" s="126"/>
      <c r="M136" s="127"/>
      <c r="N136" s="125">
        <f t="shared" si="11"/>
        <v>0</v>
      </c>
      <c r="O136" s="627"/>
      <c r="P136" s="130"/>
      <c r="Q136" s="130"/>
      <c r="R136" s="130"/>
      <c r="S136" s="130"/>
      <c r="T136" s="131"/>
      <c r="U136" s="125">
        <f t="shared" si="14"/>
        <v>0</v>
      </c>
      <c r="V136" s="125"/>
    </row>
    <row r="137" spans="1:22" ht="18" hidden="1" customHeight="1" x14ac:dyDescent="0.2">
      <c r="A137" s="1120"/>
      <c r="B137" s="1121"/>
      <c r="C137" s="1121"/>
      <c r="D137" s="109"/>
      <c r="E137" s="110"/>
      <c r="F137" s="1122"/>
      <c r="G137" s="1123"/>
      <c r="H137" s="111">
        <f t="shared" si="21"/>
        <v>0</v>
      </c>
      <c r="I137" s="154">
        <f t="shared" si="22"/>
        <v>0</v>
      </c>
      <c r="J137" s="126"/>
      <c r="K137" s="126"/>
      <c r="L137" s="126"/>
      <c r="M137" s="127"/>
      <c r="N137" s="125">
        <f t="shared" si="11"/>
        <v>0</v>
      </c>
      <c r="O137" s="627"/>
      <c r="P137" s="130"/>
      <c r="Q137" s="130"/>
      <c r="R137" s="130"/>
      <c r="S137" s="130"/>
      <c r="T137" s="131"/>
      <c r="U137" s="125">
        <f t="shared" si="14"/>
        <v>0</v>
      </c>
      <c r="V137" s="125"/>
    </row>
    <row r="138" spans="1:22" ht="18" hidden="1" customHeight="1" x14ac:dyDescent="0.2">
      <c r="A138" s="1120"/>
      <c r="B138" s="1121"/>
      <c r="C138" s="1121"/>
      <c r="D138" s="109"/>
      <c r="E138" s="110"/>
      <c r="F138" s="1122"/>
      <c r="G138" s="1123"/>
      <c r="H138" s="111">
        <f t="shared" si="21"/>
        <v>0</v>
      </c>
      <c r="I138" s="154">
        <f t="shared" si="22"/>
        <v>0</v>
      </c>
      <c r="J138" s="126"/>
      <c r="K138" s="126"/>
      <c r="L138" s="126"/>
      <c r="M138" s="127"/>
      <c r="N138" s="125">
        <f t="shared" si="11"/>
        <v>0</v>
      </c>
      <c r="O138" s="627"/>
      <c r="P138" s="130"/>
      <c r="Q138" s="130"/>
      <c r="R138" s="130"/>
      <c r="S138" s="130"/>
      <c r="T138" s="131"/>
      <c r="U138" s="125">
        <f t="shared" si="14"/>
        <v>0</v>
      </c>
      <c r="V138" s="125"/>
    </row>
    <row r="139" spans="1:22" ht="18" hidden="1" customHeight="1" x14ac:dyDescent="0.2">
      <c r="A139" s="1120"/>
      <c r="B139" s="1121"/>
      <c r="C139" s="1121"/>
      <c r="D139" s="109"/>
      <c r="E139" s="110"/>
      <c r="F139" s="1122"/>
      <c r="G139" s="1123"/>
      <c r="H139" s="111">
        <f t="shared" si="20"/>
        <v>0</v>
      </c>
      <c r="I139" s="154">
        <f t="shared" ref="I139:I148" si="23">IFERROR(H139/$H$149,0)</f>
        <v>0</v>
      </c>
      <c r="J139" s="126"/>
      <c r="K139" s="126"/>
      <c r="L139" s="126"/>
      <c r="M139" s="127"/>
      <c r="N139" s="125">
        <f t="shared" si="11"/>
        <v>0</v>
      </c>
      <c r="O139" s="627"/>
      <c r="P139" s="130"/>
      <c r="Q139" s="130"/>
      <c r="R139" s="130"/>
      <c r="S139" s="130"/>
      <c r="T139" s="131"/>
      <c r="U139" s="125">
        <f t="shared" si="14"/>
        <v>0</v>
      </c>
      <c r="V139" s="125"/>
    </row>
    <row r="140" spans="1:22" ht="18" hidden="1" customHeight="1" x14ac:dyDescent="0.2">
      <c r="A140" s="1120"/>
      <c r="B140" s="1121"/>
      <c r="C140" s="1121"/>
      <c r="D140" s="109"/>
      <c r="E140" s="110"/>
      <c r="F140" s="1122"/>
      <c r="G140" s="1123"/>
      <c r="H140" s="111">
        <f t="shared" si="20"/>
        <v>0</v>
      </c>
      <c r="I140" s="154">
        <f t="shared" si="23"/>
        <v>0</v>
      </c>
      <c r="J140" s="126"/>
      <c r="K140" s="126"/>
      <c r="L140" s="126"/>
      <c r="M140" s="127"/>
      <c r="N140" s="125">
        <f t="shared" si="11"/>
        <v>0</v>
      </c>
      <c r="O140" s="627"/>
      <c r="P140" s="130"/>
      <c r="Q140" s="130"/>
      <c r="R140" s="130"/>
      <c r="S140" s="130"/>
      <c r="T140" s="131"/>
      <c r="U140" s="125">
        <f t="shared" si="14"/>
        <v>0</v>
      </c>
      <c r="V140" s="125"/>
    </row>
    <row r="141" spans="1:22" ht="18" hidden="1" customHeight="1" x14ac:dyDescent="0.2">
      <c r="A141" s="1120"/>
      <c r="B141" s="1121"/>
      <c r="C141" s="1121"/>
      <c r="D141" s="109"/>
      <c r="E141" s="110"/>
      <c r="F141" s="1122"/>
      <c r="G141" s="1123"/>
      <c r="H141" s="111">
        <f t="shared" si="20"/>
        <v>0</v>
      </c>
      <c r="I141" s="154">
        <f t="shared" si="23"/>
        <v>0</v>
      </c>
      <c r="J141" s="126"/>
      <c r="K141" s="126"/>
      <c r="L141" s="126"/>
      <c r="M141" s="127"/>
      <c r="N141" s="125">
        <f t="shared" si="11"/>
        <v>0</v>
      </c>
      <c r="O141" s="627"/>
      <c r="P141" s="130"/>
      <c r="Q141" s="130"/>
      <c r="R141" s="130"/>
      <c r="S141" s="130"/>
      <c r="T141" s="131"/>
      <c r="U141" s="125">
        <f t="shared" ref="U141:U148" si="24">J141-SUM(O141:T141)</f>
        <v>0</v>
      </c>
      <c r="V141" s="125"/>
    </row>
    <row r="142" spans="1:22" ht="18" hidden="1" customHeight="1" x14ac:dyDescent="0.2">
      <c r="A142" s="1120"/>
      <c r="B142" s="1121"/>
      <c r="C142" s="1121"/>
      <c r="D142" s="109"/>
      <c r="E142" s="110"/>
      <c r="F142" s="1122"/>
      <c r="G142" s="1123"/>
      <c r="H142" s="111">
        <f t="shared" si="20"/>
        <v>0</v>
      </c>
      <c r="I142" s="154">
        <f t="shared" si="23"/>
        <v>0</v>
      </c>
      <c r="J142" s="126"/>
      <c r="K142" s="126"/>
      <c r="L142" s="126"/>
      <c r="M142" s="127"/>
      <c r="N142" s="125">
        <f t="shared" si="11"/>
        <v>0</v>
      </c>
      <c r="O142" s="627"/>
      <c r="P142" s="130"/>
      <c r="Q142" s="130"/>
      <c r="R142" s="130"/>
      <c r="S142" s="130"/>
      <c r="T142" s="131"/>
      <c r="U142" s="125">
        <f t="shared" si="24"/>
        <v>0</v>
      </c>
      <c r="V142" s="125"/>
    </row>
    <row r="143" spans="1:22" ht="18" hidden="1" customHeight="1" x14ac:dyDescent="0.2">
      <c r="A143" s="1120"/>
      <c r="B143" s="1121"/>
      <c r="C143" s="1121"/>
      <c r="D143" s="109"/>
      <c r="E143" s="110"/>
      <c r="F143" s="1122"/>
      <c r="G143" s="1123"/>
      <c r="H143" s="111">
        <f t="shared" si="20"/>
        <v>0</v>
      </c>
      <c r="I143" s="154">
        <f t="shared" si="23"/>
        <v>0</v>
      </c>
      <c r="J143" s="126"/>
      <c r="K143" s="126"/>
      <c r="L143" s="126"/>
      <c r="M143" s="127"/>
      <c r="N143" s="125">
        <f t="shared" si="11"/>
        <v>0</v>
      </c>
      <c r="O143" s="627"/>
      <c r="P143" s="130"/>
      <c r="Q143" s="130"/>
      <c r="R143" s="130"/>
      <c r="S143" s="130"/>
      <c r="T143" s="131"/>
      <c r="U143" s="125">
        <f t="shared" si="24"/>
        <v>0</v>
      </c>
      <c r="V143" s="125"/>
    </row>
    <row r="144" spans="1:22" ht="18" hidden="1" customHeight="1" x14ac:dyDescent="0.2">
      <c r="A144" s="1120"/>
      <c r="B144" s="1121"/>
      <c r="C144" s="1121"/>
      <c r="D144" s="109"/>
      <c r="E144" s="110"/>
      <c r="F144" s="1122"/>
      <c r="G144" s="1123"/>
      <c r="H144" s="111">
        <f t="shared" si="20"/>
        <v>0</v>
      </c>
      <c r="I144" s="154">
        <f t="shared" si="23"/>
        <v>0</v>
      </c>
      <c r="J144" s="126"/>
      <c r="K144" s="126"/>
      <c r="L144" s="126"/>
      <c r="M144" s="127"/>
      <c r="N144" s="125">
        <f t="shared" si="11"/>
        <v>0</v>
      </c>
      <c r="O144" s="627"/>
      <c r="P144" s="130"/>
      <c r="Q144" s="130"/>
      <c r="R144" s="130"/>
      <c r="S144" s="130"/>
      <c r="T144" s="131"/>
      <c r="U144" s="125">
        <f t="shared" si="24"/>
        <v>0</v>
      </c>
      <c r="V144" s="125"/>
    </row>
    <row r="145" spans="1:22" ht="18" hidden="1" customHeight="1" x14ac:dyDescent="0.2">
      <c r="A145" s="1120"/>
      <c r="B145" s="1121"/>
      <c r="C145" s="1121"/>
      <c r="D145" s="109"/>
      <c r="E145" s="110"/>
      <c r="F145" s="1122"/>
      <c r="G145" s="1123"/>
      <c r="H145" s="111">
        <f t="shared" si="20"/>
        <v>0</v>
      </c>
      <c r="I145" s="154">
        <f t="shared" si="23"/>
        <v>0</v>
      </c>
      <c r="J145" s="126"/>
      <c r="K145" s="126"/>
      <c r="L145" s="126"/>
      <c r="M145" s="127"/>
      <c r="N145" s="125">
        <f t="shared" si="11"/>
        <v>0</v>
      </c>
      <c r="O145" s="627"/>
      <c r="P145" s="130"/>
      <c r="Q145" s="130"/>
      <c r="R145" s="130"/>
      <c r="S145" s="130"/>
      <c r="T145" s="131"/>
      <c r="U145" s="125">
        <f t="shared" si="24"/>
        <v>0</v>
      </c>
      <c r="V145" s="125"/>
    </row>
    <row r="146" spans="1:22" ht="18" hidden="1" customHeight="1" x14ac:dyDescent="0.2">
      <c r="A146" s="1120"/>
      <c r="B146" s="1121"/>
      <c r="C146" s="1121"/>
      <c r="D146" s="109"/>
      <c r="E146" s="110"/>
      <c r="F146" s="1122"/>
      <c r="G146" s="1123"/>
      <c r="H146" s="111">
        <f>+F146*E146</f>
        <v>0</v>
      </c>
      <c r="I146" s="154">
        <f t="shared" si="23"/>
        <v>0</v>
      </c>
      <c r="J146" s="126"/>
      <c r="K146" s="126"/>
      <c r="L146" s="126"/>
      <c r="M146" s="127"/>
      <c r="N146" s="125">
        <f t="shared" si="11"/>
        <v>0</v>
      </c>
      <c r="O146" s="627"/>
      <c r="P146" s="130"/>
      <c r="Q146" s="130"/>
      <c r="R146" s="130"/>
      <c r="S146" s="130"/>
      <c r="T146" s="131"/>
      <c r="U146" s="125">
        <f t="shared" si="24"/>
        <v>0</v>
      </c>
      <c r="V146" s="125"/>
    </row>
    <row r="147" spans="1:22" ht="18" hidden="1" customHeight="1" x14ac:dyDescent="0.2">
      <c r="A147" s="1120"/>
      <c r="B147" s="1121"/>
      <c r="C147" s="1121"/>
      <c r="D147" s="109"/>
      <c r="E147" s="110"/>
      <c r="F147" s="1122"/>
      <c r="G147" s="1123"/>
      <c r="H147" s="111">
        <f>+F147*E147</f>
        <v>0</v>
      </c>
      <c r="I147" s="154">
        <f t="shared" si="23"/>
        <v>0</v>
      </c>
      <c r="J147" s="126"/>
      <c r="K147" s="126"/>
      <c r="L147" s="126"/>
      <c r="M147" s="127"/>
      <c r="N147" s="125">
        <f t="shared" si="11"/>
        <v>0</v>
      </c>
      <c r="O147" s="627"/>
      <c r="P147" s="130"/>
      <c r="Q147" s="130"/>
      <c r="R147" s="130"/>
      <c r="S147" s="130"/>
      <c r="T147" s="131"/>
      <c r="U147" s="125">
        <f t="shared" si="24"/>
        <v>0</v>
      </c>
      <c r="V147" s="125"/>
    </row>
    <row r="148" spans="1:22" ht="18" hidden="1" customHeight="1" x14ac:dyDescent="0.2">
      <c r="A148" s="1120"/>
      <c r="B148" s="1121"/>
      <c r="C148" s="1121"/>
      <c r="D148" s="109"/>
      <c r="E148" s="110"/>
      <c r="F148" s="1122"/>
      <c r="G148" s="1123"/>
      <c r="H148" s="111">
        <f>+F148*E148</f>
        <v>0</v>
      </c>
      <c r="I148" s="154">
        <f t="shared" si="23"/>
        <v>0</v>
      </c>
      <c r="J148" s="126"/>
      <c r="K148" s="126"/>
      <c r="L148" s="126"/>
      <c r="M148" s="127"/>
      <c r="N148" s="125">
        <f t="shared" si="11"/>
        <v>0</v>
      </c>
      <c r="O148" s="627"/>
      <c r="P148" s="130"/>
      <c r="Q148" s="130"/>
      <c r="R148" s="130"/>
      <c r="S148" s="130"/>
      <c r="T148" s="131"/>
      <c r="U148" s="125">
        <f t="shared" si="24"/>
        <v>0</v>
      </c>
      <c r="V148" s="125"/>
    </row>
    <row r="149" spans="1:22" ht="18" customHeight="1" thickBot="1" x14ac:dyDescent="0.25">
      <c r="A149" s="1126" t="s">
        <v>388</v>
      </c>
      <c r="B149" s="1127"/>
      <c r="C149" s="1127"/>
      <c r="D149" s="1127"/>
      <c r="E149" s="1127"/>
      <c r="F149" s="1127"/>
      <c r="G149" s="1128"/>
      <c r="H149" s="112">
        <f>SUM(H105:H148)</f>
        <v>0</v>
      </c>
      <c r="I149" s="155">
        <f>SUM(I105:I148)</f>
        <v>0</v>
      </c>
      <c r="J149" s="132">
        <f>SUM(J105:J148)</f>
        <v>0</v>
      </c>
      <c r="K149" s="132">
        <f t="shared" ref="K149:M149" si="25">SUM(K105:K148)</f>
        <v>0</v>
      </c>
      <c r="L149" s="132">
        <f>SUM(L105:L148)</f>
        <v>0</v>
      </c>
      <c r="M149" s="133">
        <f t="shared" si="25"/>
        <v>0</v>
      </c>
      <c r="N149" s="125">
        <f t="shared" si="11"/>
        <v>0</v>
      </c>
      <c r="O149" s="628"/>
      <c r="P149" s="629"/>
      <c r="Q149" s="629"/>
      <c r="R149" s="629"/>
      <c r="S149" s="629"/>
      <c r="T149" s="630"/>
      <c r="U149" s="125"/>
      <c r="V149" s="125"/>
    </row>
    <row r="150" spans="1:22" ht="18" customHeight="1" x14ac:dyDescent="0.2">
      <c r="A150" s="105"/>
      <c r="B150" s="105"/>
      <c r="C150" s="105"/>
      <c r="D150" s="105"/>
      <c r="E150" s="105"/>
      <c r="F150" s="105"/>
      <c r="G150" s="105"/>
      <c r="H150" s="137"/>
      <c r="I150" s="734"/>
      <c r="J150" s="138"/>
      <c r="K150" s="138"/>
      <c r="L150" s="138"/>
      <c r="M150" s="138"/>
      <c r="N150" s="125"/>
      <c r="O150" s="138">
        <f>SUM(O11:O149)</f>
        <v>0</v>
      </c>
      <c r="P150" s="138">
        <f t="shared" ref="P150:T150" si="26">SUM(P11:P149)</f>
        <v>0</v>
      </c>
      <c r="Q150" s="138">
        <f t="shared" si="26"/>
        <v>0</v>
      </c>
      <c r="R150" s="138">
        <f t="shared" si="26"/>
        <v>0</v>
      </c>
      <c r="S150" s="138">
        <f t="shared" si="26"/>
        <v>0</v>
      </c>
      <c r="T150" s="138">
        <f t="shared" si="26"/>
        <v>0</v>
      </c>
      <c r="U150" s="125"/>
      <c r="V150" s="125"/>
    </row>
    <row r="151" spans="1:22" ht="18" customHeight="1" thickBot="1" x14ac:dyDescent="0.25">
      <c r="A151" s="105"/>
      <c r="B151" s="105"/>
      <c r="C151" s="105"/>
      <c r="D151" s="105"/>
      <c r="E151" s="105"/>
      <c r="F151" s="105"/>
      <c r="G151" s="105"/>
      <c r="H151" s="137"/>
      <c r="I151" s="114"/>
      <c r="J151" s="138"/>
      <c r="K151" s="138"/>
      <c r="L151" s="138"/>
      <c r="M151" s="138"/>
      <c r="N151" s="125"/>
      <c r="O151" s="125"/>
      <c r="P151" s="125"/>
      <c r="Q151" s="125"/>
      <c r="R151" s="125"/>
      <c r="S151" s="125"/>
      <c r="T151" s="125"/>
      <c r="U151" s="125"/>
      <c r="V151" s="125"/>
    </row>
    <row r="152" spans="1:22" ht="18" customHeight="1" x14ac:dyDescent="0.2">
      <c r="A152" s="105"/>
      <c r="B152" s="105"/>
      <c r="C152" s="105"/>
      <c r="D152" s="105"/>
      <c r="E152" s="105"/>
      <c r="F152" s="105"/>
      <c r="G152" s="105"/>
      <c r="H152" s="137"/>
      <c r="I152" s="114"/>
      <c r="J152" s="1168" t="s">
        <v>403</v>
      </c>
      <c r="K152" s="1169"/>
      <c r="L152" s="1169"/>
      <c r="M152" s="1170"/>
      <c r="N152" s="139"/>
      <c r="O152" s="139"/>
      <c r="P152" s="139"/>
      <c r="Q152" s="139"/>
      <c r="R152" s="139"/>
      <c r="S152" s="139"/>
      <c r="T152" s="139"/>
      <c r="U152" s="139"/>
      <c r="V152" s="139"/>
    </row>
    <row r="153" spans="1:22" ht="18" customHeight="1" x14ac:dyDescent="0.2">
      <c r="B153" s="105"/>
      <c r="C153" s="105"/>
      <c r="D153" s="105"/>
      <c r="E153" s="105"/>
      <c r="F153" s="105"/>
      <c r="H153" s="137"/>
      <c r="I153" s="114"/>
      <c r="J153" s="1171" t="s">
        <v>405</v>
      </c>
      <c r="K153" s="1172"/>
      <c r="L153" s="1172" t="s">
        <v>409</v>
      </c>
      <c r="M153" s="1204"/>
      <c r="N153" s="139"/>
      <c r="O153" s="139"/>
      <c r="P153" s="139"/>
      <c r="Q153" s="139"/>
      <c r="R153" s="139"/>
      <c r="S153" s="139"/>
      <c r="T153" s="139"/>
      <c r="U153" s="139"/>
      <c r="V153" s="139"/>
    </row>
    <row r="154" spans="1:22" ht="18" customHeight="1" thickBot="1" x14ac:dyDescent="0.25">
      <c r="A154" s="1226"/>
      <c r="B154" s="1226"/>
      <c r="C154" s="1226"/>
      <c r="D154" s="1226"/>
      <c r="E154" s="1226"/>
      <c r="F154" s="1226"/>
      <c r="G154" s="1226"/>
      <c r="H154" s="341"/>
      <c r="I154" s="114"/>
      <c r="J154" s="140" t="s">
        <v>407</v>
      </c>
      <c r="K154" s="135" t="s">
        <v>408</v>
      </c>
      <c r="L154" s="135" t="s">
        <v>407</v>
      </c>
      <c r="M154" s="136" t="s">
        <v>408</v>
      </c>
      <c r="N154" s="125"/>
      <c r="O154" s="125"/>
      <c r="P154" s="125"/>
      <c r="Q154" s="125"/>
      <c r="R154" s="125"/>
      <c r="S154" s="125"/>
      <c r="T154" s="125"/>
      <c r="U154" s="125"/>
      <c r="V154" s="125"/>
    </row>
    <row r="155" spans="1:22" ht="18" customHeight="1" x14ac:dyDescent="0.2">
      <c r="A155" s="1224" t="s">
        <v>410</v>
      </c>
      <c r="B155" s="1225"/>
      <c r="C155" s="1225"/>
      <c r="D155" s="1225"/>
      <c r="E155" s="1225"/>
      <c r="F155" s="1225"/>
      <c r="G155" s="1225"/>
      <c r="H155" s="615">
        <f>H100+H149</f>
        <v>0</v>
      </c>
      <c r="J155" s="141">
        <f>J100+J149</f>
        <v>0</v>
      </c>
      <c r="K155" s="142">
        <f>K100+K149</f>
        <v>0</v>
      </c>
      <c r="L155" s="142">
        <f>L100+L149</f>
        <v>0</v>
      </c>
      <c r="M155" s="143">
        <f>M100+M149</f>
        <v>0</v>
      </c>
      <c r="N155" s="125">
        <f>H155-SUM(J155:M155)</f>
        <v>0</v>
      </c>
      <c r="O155" s="125"/>
      <c r="P155" s="125"/>
      <c r="Q155" s="125"/>
      <c r="R155" s="125"/>
      <c r="S155" s="125"/>
      <c r="T155" s="125"/>
      <c r="U155" s="125"/>
      <c r="V155" s="125"/>
    </row>
    <row r="156" spans="1:22" ht="18" customHeight="1" x14ac:dyDescent="0.2">
      <c r="A156" s="1227" t="s">
        <v>411</v>
      </c>
      <c r="B156" s="1228"/>
      <c r="C156" s="1228"/>
      <c r="D156" s="1228"/>
      <c r="E156" s="1228"/>
      <c r="F156" s="1228"/>
      <c r="G156" s="1228"/>
      <c r="H156" s="633">
        <f>J156</f>
        <v>0</v>
      </c>
      <c r="J156" s="611">
        <f>J155</f>
        <v>0</v>
      </c>
      <c r="K156" s="144"/>
      <c r="L156" s="144">
        <f>IF(H154="Si",L155,0)</f>
        <v>0</v>
      </c>
      <c r="M156" s="145"/>
      <c r="N156" s="125">
        <f>H156-SUM(J156:M156)</f>
        <v>0</v>
      </c>
      <c r="O156" s="125"/>
      <c r="P156" s="125"/>
      <c r="Q156" s="125"/>
      <c r="R156" s="125"/>
      <c r="S156" s="125"/>
      <c r="T156" s="125"/>
      <c r="U156" s="125"/>
      <c r="V156" s="125"/>
    </row>
    <row r="157" spans="1:22" ht="18" customHeight="1" x14ac:dyDescent="0.2">
      <c r="A157" s="1227" t="s">
        <v>412</v>
      </c>
      <c r="B157" s="1228"/>
      <c r="C157" s="1228"/>
      <c r="D157" s="1228"/>
      <c r="E157" s="1228"/>
      <c r="F157" s="1228"/>
      <c r="G157" s="146"/>
      <c r="H157" s="634">
        <f>G157*H156</f>
        <v>0</v>
      </c>
      <c r="I157" s="147"/>
      <c r="J157" s="611">
        <f>J156*G157</f>
        <v>0</v>
      </c>
      <c r="K157" s="144"/>
      <c r="L157" s="144">
        <f>IF($H$154="Si",L156*G157,0)</f>
        <v>0</v>
      </c>
      <c r="M157" s="145"/>
      <c r="N157" s="125">
        <f t="shared" ref="N157" si="27">H157-SUM(J157:M157)</f>
        <v>0</v>
      </c>
      <c r="O157" s="125"/>
      <c r="P157" s="125"/>
      <c r="Q157" s="125"/>
      <c r="R157" s="125"/>
      <c r="S157" s="125"/>
      <c r="T157" s="125"/>
      <c r="U157" s="125"/>
      <c r="V157" s="125"/>
    </row>
    <row r="158" spans="1:22" ht="18" customHeight="1" thickBot="1" x14ac:dyDescent="0.25">
      <c r="A158" s="1229" t="s">
        <v>413</v>
      </c>
      <c r="B158" s="1230"/>
      <c r="C158" s="1230"/>
      <c r="D158" s="1230"/>
      <c r="E158" s="1230"/>
      <c r="F158" s="1230"/>
      <c r="G158" s="1230"/>
      <c r="H158" s="617">
        <f>H155+H157</f>
        <v>0</v>
      </c>
      <c r="J158" s="141">
        <f>SUM(J156:J157)</f>
        <v>0</v>
      </c>
      <c r="K158" s="142">
        <f>K155</f>
        <v>0</v>
      </c>
      <c r="L158" s="142">
        <f>IF(H154="Si",SUM(L156:L157),L155)</f>
        <v>0</v>
      </c>
      <c r="M158" s="143">
        <f>M155</f>
        <v>0</v>
      </c>
      <c r="N158" s="125">
        <f>H158-SUM(J158:M158)</f>
        <v>0</v>
      </c>
      <c r="O158" s="125"/>
      <c r="P158" s="125"/>
      <c r="Q158" s="125"/>
      <c r="R158" s="125"/>
      <c r="S158" s="125"/>
      <c r="T158" s="125"/>
      <c r="U158" s="125"/>
      <c r="V158" s="125"/>
    </row>
    <row r="159" spans="1:22" ht="18" customHeight="1" x14ac:dyDescent="0.2">
      <c r="A159" s="105"/>
      <c r="B159" s="105"/>
      <c r="C159" s="105"/>
      <c r="D159" s="105"/>
      <c r="E159" s="105"/>
      <c r="F159" s="105"/>
      <c r="H159" s="113"/>
      <c r="J159" s="1186">
        <f>J158+K158</f>
        <v>0</v>
      </c>
      <c r="K159" s="1187"/>
      <c r="L159" s="1187">
        <f>L158+M158</f>
        <v>0</v>
      </c>
      <c r="M159" s="1236"/>
      <c r="N159" s="148" t="s">
        <v>414</v>
      </c>
      <c r="O159" s="374">
        <f>H158-J159-L159</f>
        <v>0</v>
      </c>
      <c r="P159" s="338"/>
      <c r="Q159" s="338"/>
      <c r="R159" s="338"/>
      <c r="S159" s="338"/>
      <c r="T159" s="338"/>
      <c r="U159" s="338"/>
    </row>
    <row r="160" spans="1:22" ht="18" customHeight="1" thickBot="1" x14ac:dyDescent="0.25">
      <c r="A160" s="105"/>
      <c r="B160" s="105"/>
      <c r="C160" s="105"/>
      <c r="D160" s="105"/>
      <c r="E160" s="105"/>
      <c r="F160" s="105"/>
      <c r="G160" s="105"/>
      <c r="H160" s="113"/>
      <c r="J160" s="1194">
        <f>IFERROR(J159/H158,0)</f>
        <v>0</v>
      </c>
      <c r="K160" s="1195"/>
      <c r="L160" s="1237">
        <f>IFERROR(L159/H158,0)</f>
        <v>0</v>
      </c>
      <c r="M160" s="1238"/>
      <c r="N160" s="149" t="s">
        <v>415</v>
      </c>
      <c r="O160" s="338"/>
      <c r="P160" s="338"/>
      <c r="Q160" s="338"/>
      <c r="R160" s="338"/>
      <c r="S160" s="338"/>
      <c r="T160" s="338"/>
      <c r="U160" s="338"/>
      <c r="V160" s="338"/>
    </row>
    <row r="161" spans="1:23" ht="18" customHeight="1" thickBot="1" x14ac:dyDescent="0.25">
      <c r="A161" s="1231" t="s">
        <v>416</v>
      </c>
      <c r="B161" s="1232"/>
      <c r="C161" s="1232"/>
      <c r="D161" s="1232"/>
      <c r="E161" s="1232"/>
      <c r="F161" s="1233"/>
      <c r="G161" s="117"/>
      <c r="H161" s="113"/>
    </row>
    <row r="162" spans="1:23" ht="27" customHeight="1" x14ac:dyDescent="0.2">
      <c r="A162" s="1192" t="s">
        <v>370</v>
      </c>
      <c r="B162" s="1193"/>
      <c r="C162" s="1193"/>
      <c r="D162" s="561" t="s">
        <v>376</v>
      </c>
      <c r="E162" s="156" t="s">
        <v>417</v>
      </c>
      <c r="F162" s="157" t="s">
        <v>418</v>
      </c>
      <c r="G162" s="117"/>
    </row>
    <row r="163" spans="1:23" ht="30.75" customHeight="1" x14ac:dyDescent="0.2">
      <c r="A163" s="1234" t="str">
        <f>A100</f>
        <v>SUBTOTAL PERSONAL (Mano de Obra Calificada + Mano de Obra no Calificada)</v>
      </c>
      <c r="B163" s="1235"/>
      <c r="C163" s="1235"/>
      <c r="D163" s="102">
        <f>H100</f>
        <v>0</v>
      </c>
      <c r="E163" s="620">
        <f>IFERROR(D163/$H$155,0)</f>
        <v>0</v>
      </c>
      <c r="F163" s="621">
        <f>IFERROR(D163/$H$158,0)</f>
        <v>0</v>
      </c>
      <c r="G163" s="117"/>
      <c r="H163" s="150"/>
    </row>
    <row r="164" spans="1:23" ht="18" customHeight="1" x14ac:dyDescent="0.2">
      <c r="A164" s="1188" t="str">
        <f>A102</f>
        <v>COSTOS (Diferentes a los costos del personal)</v>
      </c>
      <c r="B164" s="1189"/>
      <c r="C164" s="1189"/>
      <c r="D164" s="102">
        <f>H149</f>
        <v>0</v>
      </c>
      <c r="E164" s="620">
        <f>IFERROR(D164/$H$155,0)</f>
        <v>0</v>
      </c>
      <c r="F164" s="621">
        <f t="shared" ref="F164:F165" si="28">IFERROR(D164/$H$158,0)</f>
        <v>0</v>
      </c>
      <c r="G164" s="117"/>
      <c r="H164" s="113"/>
    </row>
    <row r="165" spans="1:23" ht="18" customHeight="1" thickBot="1" x14ac:dyDescent="0.25">
      <c r="A165" s="1190" t="str">
        <f>A157</f>
        <v>Gastos de administración u operativos</v>
      </c>
      <c r="B165" s="1191"/>
      <c r="C165" s="1191"/>
      <c r="D165" s="635">
        <f>H157</f>
        <v>0</v>
      </c>
      <c r="E165" s="636" t="s">
        <v>419</v>
      </c>
      <c r="F165" s="622">
        <f t="shared" si="28"/>
        <v>0</v>
      </c>
      <c r="G165" s="117"/>
      <c r="H165" s="113"/>
      <c r="I165" s="150"/>
      <c r="J165" s="150"/>
      <c r="K165" s="150"/>
      <c r="L165" s="150"/>
      <c r="M165" s="150"/>
      <c r="N165" s="150"/>
      <c r="O165" s="150"/>
      <c r="P165" s="150"/>
      <c r="Q165" s="150"/>
      <c r="R165" s="150"/>
      <c r="S165" s="150"/>
      <c r="T165" s="150"/>
      <c r="U165" s="150"/>
      <c r="V165" s="150"/>
      <c r="W165" s="150"/>
    </row>
    <row r="166" spans="1:23" ht="18" customHeight="1" x14ac:dyDescent="0.2">
      <c r="E166" s="118">
        <f>SUM(E163:E164)</f>
        <v>0</v>
      </c>
      <c r="F166" s="118">
        <f>SUM(F163:F165)</f>
        <v>0</v>
      </c>
    </row>
    <row r="167" spans="1:23" ht="18" customHeight="1" thickBot="1" x14ac:dyDescent="0.25"/>
    <row r="168" spans="1:23" ht="100.5" customHeight="1" thickBot="1" x14ac:dyDescent="0.25">
      <c r="A168" s="1219" t="s">
        <v>420</v>
      </c>
      <c r="B168" s="1220"/>
      <c r="C168" s="1220"/>
      <c r="D168" s="1220"/>
      <c r="E168" s="1220"/>
      <c r="F168" s="1220"/>
      <c r="G168" s="1220"/>
      <c r="H168" s="1220"/>
      <c r="I168" s="1220"/>
      <c r="J168" s="1220"/>
      <c r="K168" s="1220"/>
      <c r="L168" s="1220"/>
      <c r="M168" s="1220"/>
      <c r="N168" s="1221"/>
      <c r="O168" s="70"/>
      <c r="P168" s="70"/>
      <c r="Q168" s="70"/>
      <c r="R168" s="70"/>
      <c r="S168" s="70"/>
      <c r="T168" s="70"/>
      <c r="U168" s="70"/>
    </row>
    <row r="169" spans="1:23" ht="21" customHeight="1" thickBot="1" x14ac:dyDescent="0.25">
      <c r="A169" s="1222" t="s">
        <v>421</v>
      </c>
      <c r="B169" s="1223"/>
      <c r="C169" s="377" t="s">
        <v>393</v>
      </c>
    </row>
    <row r="170" spans="1:23" ht="18" customHeight="1" thickBot="1" x14ac:dyDescent="0.25"/>
    <row r="171" spans="1:23" ht="18" customHeight="1" thickBot="1" x14ac:dyDescent="0.25">
      <c r="A171" s="1196" t="s">
        <v>422</v>
      </c>
      <c r="B171" s="1197"/>
      <c r="C171" s="1197"/>
      <c r="D171" s="1197"/>
      <c r="E171" s="1197"/>
      <c r="F171" s="1198"/>
    </row>
    <row r="172" spans="1:23" ht="66" customHeight="1" x14ac:dyDescent="0.2">
      <c r="A172" s="371" t="s">
        <v>423</v>
      </c>
      <c r="B172" s="372" t="s">
        <v>424</v>
      </c>
      <c r="C172" s="372" t="s">
        <v>425</v>
      </c>
      <c r="D172" s="372" t="s">
        <v>401</v>
      </c>
      <c r="E172" s="372" t="s">
        <v>426</v>
      </c>
      <c r="F172" s="373" t="s">
        <v>418</v>
      </c>
    </row>
    <row r="173" spans="1:23" ht="18" customHeight="1" x14ac:dyDescent="0.2">
      <c r="A173" s="365"/>
      <c r="B173" s="144"/>
      <c r="C173" s="144"/>
      <c r="D173" s="144">
        <f>SUM(B173:C173)</f>
        <v>0</v>
      </c>
      <c r="E173" s="364"/>
      <c r="F173" s="369">
        <f>IFERROR(D173/$J$158,0)</f>
        <v>0</v>
      </c>
    </row>
    <row r="174" spans="1:23" ht="18" customHeight="1" x14ac:dyDescent="0.2">
      <c r="A174" s="365"/>
      <c r="B174" s="144"/>
      <c r="C174" s="144"/>
      <c r="D174" s="144">
        <f t="shared" ref="D174:D192" si="29">SUM(B174:C174)</f>
        <v>0</v>
      </c>
      <c r="E174" s="364"/>
      <c r="F174" s="369">
        <f t="shared" ref="F174:F192" si="30">IFERROR(D174/$J$158,0)</f>
        <v>0</v>
      </c>
    </row>
    <row r="175" spans="1:23" ht="18" customHeight="1" x14ac:dyDescent="0.2">
      <c r="A175" s="365"/>
      <c r="B175" s="144"/>
      <c r="C175" s="144"/>
      <c r="D175" s="144">
        <f t="shared" si="29"/>
        <v>0</v>
      </c>
      <c r="E175" s="364"/>
      <c r="F175" s="369">
        <f t="shared" si="30"/>
        <v>0</v>
      </c>
    </row>
    <row r="176" spans="1:23" ht="18" customHeight="1" x14ac:dyDescent="0.2">
      <c r="A176" s="365"/>
      <c r="B176" s="144"/>
      <c r="C176" s="144"/>
      <c r="D176" s="144">
        <f t="shared" ref="D176:D185" si="31">SUM(B176:C176)</f>
        <v>0</v>
      </c>
      <c r="E176" s="364"/>
      <c r="F176" s="369">
        <f t="shared" ref="F176:F185" si="32">IFERROR(D176/$J$158,0)</f>
        <v>0</v>
      </c>
    </row>
    <row r="177" spans="1:6" ht="18" customHeight="1" x14ac:dyDescent="0.2">
      <c r="A177" s="365"/>
      <c r="B177" s="144"/>
      <c r="C177" s="144"/>
      <c r="D177" s="144">
        <f t="shared" si="31"/>
        <v>0</v>
      </c>
      <c r="E177" s="364"/>
      <c r="F177" s="369">
        <f t="shared" si="32"/>
        <v>0</v>
      </c>
    </row>
    <row r="178" spans="1:6" ht="18" customHeight="1" x14ac:dyDescent="0.2">
      <c r="A178" s="365"/>
      <c r="B178" s="144"/>
      <c r="C178" s="144"/>
      <c r="D178" s="144">
        <f t="shared" si="31"/>
        <v>0</v>
      </c>
      <c r="E178" s="364"/>
      <c r="F178" s="369">
        <f t="shared" si="32"/>
        <v>0</v>
      </c>
    </row>
    <row r="179" spans="1:6" ht="18" customHeight="1" x14ac:dyDescent="0.2">
      <c r="A179" s="365"/>
      <c r="B179" s="144"/>
      <c r="C179" s="144"/>
      <c r="D179" s="144">
        <f t="shared" si="31"/>
        <v>0</v>
      </c>
      <c r="E179" s="364"/>
      <c r="F179" s="369">
        <f t="shared" si="32"/>
        <v>0</v>
      </c>
    </row>
    <row r="180" spans="1:6" ht="18" customHeight="1" x14ac:dyDescent="0.2">
      <c r="A180" s="365"/>
      <c r="B180" s="144"/>
      <c r="C180" s="144"/>
      <c r="D180" s="144">
        <f t="shared" si="31"/>
        <v>0</v>
      </c>
      <c r="E180" s="364"/>
      <c r="F180" s="369">
        <f t="shared" si="32"/>
        <v>0</v>
      </c>
    </row>
    <row r="181" spans="1:6" ht="18" customHeight="1" x14ac:dyDescent="0.2">
      <c r="A181" s="365"/>
      <c r="B181" s="144"/>
      <c r="C181" s="144"/>
      <c r="D181" s="144">
        <f t="shared" si="31"/>
        <v>0</v>
      </c>
      <c r="E181" s="364"/>
      <c r="F181" s="369">
        <f>IFERROR(D181/$J$158,0)</f>
        <v>0</v>
      </c>
    </row>
    <row r="182" spans="1:6" ht="18" hidden="1" customHeight="1" x14ac:dyDescent="0.2">
      <c r="A182" s="365"/>
      <c r="B182" s="144"/>
      <c r="C182" s="144"/>
      <c r="D182" s="144">
        <f t="shared" si="31"/>
        <v>0</v>
      </c>
      <c r="E182" s="364"/>
      <c r="F182" s="369">
        <f t="shared" si="32"/>
        <v>0</v>
      </c>
    </row>
    <row r="183" spans="1:6" ht="18" hidden="1" customHeight="1" x14ac:dyDescent="0.2">
      <c r="A183" s="365"/>
      <c r="B183" s="144"/>
      <c r="C183" s="144"/>
      <c r="D183" s="144">
        <f t="shared" si="31"/>
        <v>0</v>
      </c>
      <c r="E183" s="364"/>
      <c r="F183" s="369">
        <f t="shared" si="32"/>
        <v>0</v>
      </c>
    </row>
    <row r="184" spans="1:6" ht="18" hidden="1" customHeight="1" x14ac:dyDescent="0.2">
      <c r="A184" s="365"/>
      <c r="B184" s="144"/>
      <c r="C184" s="144"/>
      <c r="D184" s="144">
        <f t="shared" si="31"/>
        <v>0</v>
      </c>
      <c r="E184" s="364"/>
      <c r="F184" s="369">
        <f t="shared" si="32"/>
        <v>0</v>
      </c>
    </row>
    <row r="185" spans="1:6" ht="18" hidden="1" customHeight="1" x14ac:dyDescent="0.2">
      <c r="A185" s="365"/>
      <c r="B185" s="144"/>
      <c r="C185" s="144"/>
      <c r="D185" s="144">
        <f t="shared" si="31"/>
        <v>0</v>
      </c>
      <c r="E185" s="364"/>
      <c r="F185" s="369">
        <f t="shared" si="32"/>
        <v>0</v>
      </c>
    </row>
    <row r="186" spans="1:6" ht="18" hidden="1" customHeight="1" x14ac:dyDescent="0.2">
      <c r="A186" s="365"/>
      <c r="B186" s="144"/>
      <c r="C186" s="144"/>
      <c r="D186" s="144">
        <f t="shared" si="29"/>
        <v>0</v>
      </c>
      <c r="E186" s="364"/>
      <c r="F186" s="369">
        <f>IFERROR(D186/$J$158,0)</f>
        <v>0</v>
      </c>
    </row>
    <row r="187" spans="1:6" ht="18" hidden="1" customHeight="1" x14ac:dyDescent="0.2">
      <c r="A187" s="365"/>
      <c r="B187" s="144"/>
      <c r="C187" s="144"/>
      <c r="D187" s="144">
        <f t="shared" si="29"/>
        <v>0</v>
      </c>
      <c r="E187" s="364"/>
      <c r="F187" s="369">
        <f t="shared" si="30"/>
        <v>0</v>
      </c>
    </row>
    <row r="188" spans="1:6" ht="18" hidden="1" customHeight="1" x14ac:dyDescent="0.2">
      <c r="A188" s="365"/>
      <c r="B188" s="144"/>
      <c r="C188" s="144"/>
      <c r="D188" s="144">
        <f t="shared" si="29"/>
        <v>0</v>
      </c>
      <c r="E188" s="364"/>
      <c r="F188" s="369">
        <f t="shared" si="30"/>
        <v>0</v>
      </c>
    </row>
    <row r="189" spans="1:6" ht="18" hidden="1" customHeight="1" x14ac:dyDescent="0.2">
      <c r="A189" s="365"/>
      <c r="B189" s="144"/>
      <c r="C189" s="144"/>
      <c r="D189" s="144">
        <f t="shared" si="29"/>
        <v>0</v>
      </c>
      <c r="E189" s="364"/>
      <c r="F189" s="369">
        <f t="shared" si="30"/>
        <v>0</v>
      </c>
    </row>
    <row r="190" spans="1:6" ht="18" hidden="1" customHeight="1" x14ac:dyDescent="0.2">
      <c r="A190" s="365"/>
      <c r="B190" s="144"/>
      <c r="C190" s="144"/>
      <c r="D190" s="144">
        <f t="shared" si="29"/>
        <v>0</v>
      </c>
      <c r="E190" s="364"/>
      <c r="F190" s="369">
        <f t="shared" si="30"/>
        <v>0</v>
      </c>
    </row>
    <row r="191" spans="1:6" ht="18" hidden="1" customHeight="1" x14ac:dyDescent="0.2">
      <c r="A191" s="365"/>
      <c r="B191" s="144"/>
      <c r="C191" s="144"/>
      <c r="D191" s="144">
        <f t="shared" si="29"/>
        <v>0</v>
      </c>
      <c r="E191" s="364"/>
      <c r="F191" s="369">
        <f t="shared" si="30"/>
        <v>0</v>
      </c>
    </row>
    <row r="192" spans="1:6" ht="18" customHeight="1" thickBot="1" x14ac:dyDescent="0.25">
      <c r="A192" s="366"/>
      <c r="B192" s="368"/>
      <c r="C192" s="368"/>
      <c r="D192" s="368">
        <f t="shared" si="29"/>
        <v>0</v>
      </c>
      <c r="E192" s="367"/>
      <c r="F192" s="370">
        <f t="shared" si="30"/>
        <v>0</v>
      </c>
    </row>
    <row r="193" spans="2:6" ht="18" customHeight="1" x14ac:dyDescent="0.2">
      <c r="B193" s="732">
        <f>SUM(B173:B192)</f>
        <v>0</v>
      </c>
      <c r="C193" s="732">
        <f>SUM(C173:C192)</f>
        <v>0</v>
      </c>
      <c r="D193" s="732">
        <f>SUM(D173:D192)</f>
        <v>0</v>
      </c>
      <c r="E193" s="731"/>
      <c r="F193" s="736">
        <f>SUM(F173:F192)</f>
        <v>0</v>
      </c>
    </row>
    <row r="194" spans="2:6" ht="18" customHeight="1" x14ac:dyDescent="0.2">
      <c r="B194" s="733">
        <f>B193-J156</f>
        <v>0</v>
      </c>
      <c r="C194" s="125">
        <f>C193-J157</f>
        <v>0</v>
      </c>
      <c r="D194" s="733">
        <f>D193-J158</f>
        <v>0</v>
      </c>
      <c r="E194" s="737"/>
      <c r="F194" s="737"/>
    </row>
  </sheetData>
  <sheetProtection formatCells="0" formatColumns="0" formatRows="0" insertColumns="0" insertRows="0" insertHyperlinks="0" deleteColumns="0" deleteRows="0" sort="0" autoFilter="0" pivotTables="0"/>
  <mergeCells count="147">
    <mergeCell ref="A143:C143"/>
    <mergeCell ref="A144:C144"/>
    <mergeCell ref="A145:C145"/>
    <mergeCell ref="A146:C146"/>
    <mergeCell ref="F143:G143"/>
    <mergeCell ref="F144:G144"/>
    <mergeCell ref="A168:N168"/>
    <mergeCell ref="A169:B169"/>
    <mergeCell ref="F145:G145"/>
    <mergeCell ref="F146:G146"/>
    <mergeCell ref="A149:G149"/>
    <mergeCell ref="A155:G155"/>
    <mergeCell ref="A154:G154"/>
    <mergeCell ref="A157:F157"/>
    <mergeCell ref="A158:G158"/>
    <mergeCell ref="A161:F161"/>
    <mergeCell ref="A163:C163"/>
    <mergeCell ref="L153:M153"/>
    <mergeCell ref="A156:G156"/>
    <mergeCell ref="A147:C147"/>
    <mergeCell ref="F147:G147"/>
    <mergeCell ref="A148:C148"/>
    <mergeCell ref="L159:M159"/>
    <mergeCell ref="L160:M160"/>
    <mergeCell ref="A140:C140"/>
    <mergeCell ref="A141:C141"/>
    <mergeCell ref="A142:C142"/>
    <mergeCell ref="F141:G141"/>
    <mergeCell ref="F142:G142"/>
    <mergeCell ref="F139:G139"/>
    <mergeCell ref="F140:G140"/>
    <mergeCell ref="F110:G110"/>
    <mergeCell ref="F111:G111"/>
    <mergeCell ref="F112:G112"/>
    <mergeCell ref="F113:G113"/>
    <mergeCell ref="F114:G114"/>
    <mergeCell ref="F115:G115"/>
    <mergeCell ref="F116:G116"/>
    <mergeCell ref="F117:G117"/>
    <mergeCell ref="F118:G118"/>
    <mergeCell ref="F119:G119"/>
    <mergeCell ref="F120:G120"/>
    <mergeCell ref="F121:G121"/>
    <mergeCell ref="F122:G122"/>
    <mergeCell ref="F123:G123"/>
    <mergeCell ref="A117:C117"/>
    <mergeCell ref="A118:C118"/>
    <mergeCell ref="A119:C119"/>
    <mergeCell ref="A120:C120"/>
    <mergeCell ref="A121:C121"/>
    <mergeCell ref="A122:C122"/>
    <mergeCell ref="A123:C123"/>
    <mergeCell ref="A124:C124"/>
    <mergeCell ref="A127:C127"/>
    <mergeCell ref="A171:F171"/>
    <mergeCell ref="O8:T9"/>
    <mergeCell ref="I103:I104"/>
    <mergeCell ref="J102:M102"/>
    <mergeCell ref="J103:K103"/>
    <mergeCell ref="L103:M103"/>
    <mergeCell ref="A103:C104"/>
    <mergeCell ref="D103:D104"/>
    <mergeCell ref="E103:E104"/>
    <mergeCell ref="F103:G104"/>
    <mergeCell ref="J8:M8"/>
    <mergeCell ref="J9:K9"/>
    <mergeCell ref="L9:M9"/>
    <mergeCell ref="A9:A10"/>
    <mergeCell ref="I9:I10"/>
    <mergeCell ref="B9:B10"/>
    <mergeCell ref="A8:I8"/>
    <mergeCell ref="A100:G100"/>
    <mergeCell ref="A102:I102"/>
    <mergeCell ref="A105:C105"/>
    <mergeCell ref="F105:G105"/>
    <mergeCell ref="A106:C106"/>
    <mergeCell ref="H103:H104"/>
    <mergeCell ref="A108:C108"/>
    <mergeCell ref="J159:K159"/>
    <mergeCell ref="A164:C164"/>
    <mergeCell ref="A165:C165"/>
    <mergeCell ref="A162:C162"/>
    <mergeCell ref="J160:K160"/>
    <mergeCell ref="F108:G108"/>
    <mergeCell ref="A109:C109"/>
    <mergeCell ref="F109:G109"/>
    <mergeCell ref="A110:C110"/>
    <mergeCell ref="A111:C111"/>
    <mergeCell ref="A112:C112"/>
    <mergeCell ref="A113:C113"/>
    <mergeCell ref="A114:C114"/>
    <mergeCell ref="F124:G124"/>
    <mergeCell ref="A125:C125"/>
    <mergeCell ref="F125:G125"/>
    <mergeCell ref="A126:C126"/>
    <mergeCell ref="F126:G126"/>
    <mergeCell ref="A1:D3"/>
    <mergeCell ref="E1:T1"/>
    <mergeCell ref="E2:T2"/>
    <mergeCell ref="E3:L3"/>
    <mergeCell ref="M3:T3"/>
    <mergeCell ref="A5:B5"/>
    <mergeCell ref="A6:B6"/>
    <mergeCell ref="C5:T5"/>
    <mergeCell ref="C6:T6"/>
    <mergeCell ref="F148:G148"/>
    <mergeCell ref="J152:M152"/>
    <mergeCell ref="J153:K153"/>
    <mergeCell ref="H9:H10"/>
    <mergeCell ref="C9:C10"/>
    <mergeCell ref="D9:D10"/>
    <mergeCell ref="E9:E10"/>
    <mergeCell ref="F9:F10"/>
    <mergeCell ref="G9:G10"/>
    <mergeCell ref="A107:C107"/>
    <mergeCell ref="F107:G107"/>
    <mergeCell ref="A61:G61"/>
    <mergeCell ref="F106:G106"/>
    <mergeCell ref="A11:M11"/>
    <mergeCell ref="A62:M62"/>
    <mergeCell ref="A99:G99"/>
    <mergeCell ref="A139:C139"/>
    <mergeCell ref="A115:C115"/>
    <mergeCell ref="A116:C116"/>
    <mergeCell ref="A130:C130"/>
    <mergeCell ref="F130:G130"/>
    <mergeCell ref="A131:C131"/>
    <mergeCell ref="F131:G131"/>
    <mergeCell ref="A132:C132"/>
    <mergeCell ref="F127:G127"/>
    <mergeCell ref="A128:C128"/>
    <mergeCell ref="F128:G128"/>
    <mergeCell ref="A129:C129"/>
    <mergeCell ref="F129:G129"/>
    <mergeCell ref="A136:C136"/>
    <mergeCell ref="F136:G136"/>
    <mergeCell ref="A137:C137"/>
    <mergeCell ref="F137:G137"/>
    <mergeCell ref="A138:C138"/>
    <mergeCell ref="F138:G138"/>
    <mergeCell ref="A133:C133"/>
    <mergeCell ref="F133:G133"/>
    <mergeCell ref="A134:C134"/>
    <mergeCell ref="F134:G134"/>
    <mergeCell ref="A135:C135"/>
    <mergeCell ref="F135:G135"/>
    <mergeCell ref="F132:G132"/>
  </mergeCells>
  <dataValidations xWindow="266" yWindow="562" count="8">
    <dataValidation allowBlank="1" showInputMessage="1" showErrorMessage="1" prompt="diligencie la cantidad del personal requerido" sqref="WVJ983176:WVJ983184 IX12:IX60 ST12:ST60 ACP12:ACP60 AML12:AML60 AWH12:AWH60 BGD12:BGD60 BPZ12:BPZ60 BZV12:BZV60 CJR12:CJR60 CTN12:CTN60 DDJ12:DDJ60 DNF12:DNF60 DXB12:DXB60 EGX12:EGX60 EQT12:EQT60 FAP12:FAP60 FKL12:FKL60 FUH12:FUH60 GED12:GED60 GNZ12:GNZ60 GXV12:GXV60 HHR12:HHR60 HRN12:HRN60 IBJ12:IBJ60 ILF12:ILF60 IVB12:IVB60 JEX12:JEX60 JOT12:JOT60 JYP12:JYP60 KIL12:KIL60 KSH12:KSH60 LCD12:LCD60 LLZ12:LLZ60 LVV12:LVV60 MFR12:MFR60 MPN12:MPN60 MZJ12:MZJ60 NJF12:NJF60 NTB12:NTB60 OCX12:OCX60 OMT12:OMT60 OWP12:OWP60 PGL12:PGL60 PQH12:PQH60 QAD12:QAD60 QJZ12:QJZ60 QTV12:QTV60 RDR12:RDR60 RNN12:RNN60 RXJ12:RXJ60 SHF12:SHF60 SRB12:SRB60 TAX12:TAX60 TKT12:TKT60 TUP12:TUP60 UEL12:UEL60 UOH12:UOH60 UYD12:UYD60 VHZ12:VHZ60 VRV12:VRV60 WBR12:WBR60 WLN12:WLN60 WVJ12:WVJ60 B65662:B65670 IX65661:IX65669 ST65661:ST65669 ACP65661:ACP65669 AML65661:AML65669 AWH65661:AWH65669 BGD65661:BGD65669 BPZ65661:BPZ65669 BZV65661:BZV65669 CJR65661:CJR65669 CTN65661:CTN65669 DDJ65661:DDJ65669 DNF65661:DNF65669 DXB65661:DXB65669 EGX65661:EGX65669 EQT65661:EQT65669 FAP65661:FAP65669 FKL65661:FKL65669 FUH65661:FUH65669 GED65661:GED65669 GNZ65661:GNZ65669 GXV65661:GXV65669 HHR65661:HHR65669 HRN65661:HRN65669 IBJ65661:IBJ65669 ILF65661:ILF65669 IVB65661:IVB65669 JEX65661:JEX65669 JOT65661:JOT65669 JYP65661:JYP65669 KIL65661:KIL65669 KSH65661:KSH65669 LCD65661:LCD65669 LLZ65661:LLZ65669 LVV65661:LVV65669 MFR65661:MFR65669 MPN65661:MPN65669 MZJ65661:MZJ65669 NJF65661:NJF65669 NTB65661:NTB65669 OCX65661:OCX65669 OMT65661:OMT65669 OWP65661:OWP65669 PGL65661:PGL65669 PQH65661:PQH65669 QAD65661:QAD65669 QJZ65661:QJZ65669 QTV65661:QTV65669 RDR65661:RDR65669 RNN65661:RNN65669 RXJ65661:RXJ65669 SHF65661:SHF65669 SRB65661:SRB65669 TAX65661:TAX65669 TKT65661:TKT65669 TUP65661:TUP65669 UEL65661:UEL65669 UOH65661:UOH65669 UYD65661:UYD65669 VHZ65661:VHZ65669 VRV65661:VRV65669 WBR65661:WBR65669 WLN65661:WLN65669 WVJ65661:WVJ65669 B131198:B131206 IX131197:IX131205 ST131197:ST131205 ACP131197:ACP131205 AML131197:AML131205 AWH131197:AWH131205 BGD131197:BGD131205 BPZ131197:BPZ131205 BZV131197:BZV131205 CJR131197:CJR131205 CTN131197:CTN131205 DDJ131197:DDJ131205 DNF131197:DNF131205 DXB131197:DXB131205 EGX131197:EGX131205 EQT131197:EQT131205 FAP131197:FAP131205 FKL131197:FKL131205 FUH131197:FUH131205 GED131197:GED131205 GNZ131197:GNZ131205 GXV131197:GXV131205 HHR131197:HHR131205 HRN131197:HRN131205 IBJ131197:IBJ131205 ILF131197:ILF131205 IVB131197:IVB131205 JEX131197:JEX131205 JOT131197:JOT131205 JYP131197:JYP131205 KIL131197:KIL131205 KSH131197:KSH131205 LCD131197:LCD131205 LLZ131197:LLZ131205 LVV131197:LVV131205 MFR131197:MFR131205 MPN131197:MPN131205 MZJ131197:MZJ131205 NJF131197:NJF131205 NTB131197:NTB131205 OCX131197:OCX131205 OMT131197:OMT131205 OWP131197:OWP131205 PGL131197:PGL131205 PQH131197:PQH131205 QAD131197:QAD131205 QJZ131197:QJZ131205 QTV131197:QTV131205 RDR131197:RDR131205 RNN131197:RNN131205 RXJ131197:RXJ131205 SHF131197:SHF131205 SRB131197:SRB131205 TAX131197:TAX131205 TKT131197:TKT131205 TUP131197:TUP131205 UEL131197:UEL131205 UOH131197:UOH131205 UYD131197:UYD131205 VHZ131197:VHZ131205 VRV131197:VRV131205 WBR131197:WBR131205 WLN131197:WLN131205 WVJ131197:WVJ131205 B196734:B196742 IX196733:IX196741 ST196733:ST196741 ACP196733:ACP196741 AML196733:AML196741 AWH196733:AWH196741 BGD196733:BGD196741 BPZ196733:BPZ196741 BZV196733:BZV196741 CJR196733:CJR196741 CTN196733:CTN196741 DDJ196733:DDJ196741 DNF196733:DNF196741 DXB196733:DXB196741 EGX196733:EGX196741 EQT196733:EQT196741 FAP196733:FAP196741 FKL196733:FKL196741 FUH196733:FUH196741 GED196733:GED196741 GNZ196733:GNZ196741 GXV196733:GXV196741 HHR196733:HHR196741 HRN196733:HRN196741 IBJ196733:IBJ196741 ILF196733:ILF196741 IVB196733:IVB196741 JEX196733:JEX196741 JOT196733:JOT196741 JYP196733:JYP196741 KIL196733:KIL196741 KSH196733:KSH196741 LCD196733:LCD196741 LLZ196733:LLZ196741 LVV196733:LVV196741 MFR196733:MFR196741 MPN196733:MPN196741 MZJ196733:MZJ196741 NJF196733:NJF196741 NTB196733:NTB196741 OCX196733:OCX196741 OMT196733:OMT196741 OWP196733:OWP196741 PGL196733:PGL196741 PQH196733:PQH196741 QAD196733:QAD196741 QJZ196733:QJZ196741 QTV196733:QTV196741 RDR196733:RDR196741 RNN196733:RNN196741 RXJ196733:RXJ196741 SHF196733:SHF196741 SRB196733:SRB196741 TAX196733:TAX196741 TKT196733:TKT196741 TUP196733:TUP196741 UEL196733:UEL196741 UOH196733:UOH196741 UYD196733:UYD196741 VHZ196733:VHZ196741 VRV196733:VRV196741 WBR196733:WBR196741 WLN196733:WLN196741 WVJ196733:WVJ196741 B262270:B262278 IX262269:IX262277 ST262269:ST262277 ACP262269:ACP262277 AML262269:AML262277 AWH262269:AWH262277 BGD262269:BGD262277 BPZ262269:BPZ262277 BZV262269:BZV262277 CJR262269:CJR262277 CTN262269:CTN262277 DDJ262269:DDJ262277 DNF262269:DNF262277 DXB262269:DXB262277 EGX262269:EGX262277 EQT262269:EQT262277 FAP262269:FAP262277 FKL262269:FKL262277 FUH262269:FUH262277 GED262269:GED262277 GNZ262269:GNZ262277 GXV262269:GXV262277 HHR262269:HHR262277 HRN262269:HRN262277 IBJ262269:IBJ262277 ILF262269:ILF262277 IVB262269:IVB262277 JEX262269:JEX262277 JOT262269:JOT262277 JYP262269:JYP262277 KIL262269:KIL262277 KSH262269:KSH262277 LCD262269:LCD262277 LLZ262269:LLZ262277 LVV262269:LVV262277 MFR262269:MFR262277 MPN262269:MPN262277 MZJ262269:MZJ262277 NJF262269:NJF262277 NTB262269:NTB262277 OCX262269:OCX262277 OMT262269:OMT262277 OWP262269:OWP262277 PGL262269:PGL262277 PQH262269:PQH262277 QAD262269:QAD262277 QJZ262269:QJZ262277 QTV262269:QTV262277 RDR262269:RDR262277 RNN262269:RNN262277 RXJ262269:RXJ262277 SHF262269:SHF262277 SRB262269:SRB262277 TAX262269:TAX262277 TKT262269:TKT262277 TUP262269:TUP262277 UEL262269:UEL262277 UOH262269:UOH262277 UYD262269:UYD262277 VHZ262269:VHZ262277 VRV262269:VRV262277 WBR262269:WBR262277 WLN262269:WLN262277 WVJ262269:WVJ262277 B327806:B327814 IX327805:IX327813 ST327805:ST327813 ACP327805:ACP327813 AML327805:AML327813 AWH327805:AWH327813 BGD327805:BGD327813 BPZ327805:BPZ327813 BZV327805:BZV327813 CJR327805:CJR327813 CTN327805:CTN327813 DDJ327805:DDJ327813 DNF327805:DNF327813 DXB327805:DXB327813 EGX327805:EGX327813 EQT327805:EQT327813 FAP327805:FAP327813 FKL327805:FKL327813 FUH327805:FUH327813 GED327805:GED327813 GNZ327805:GNZ327813 GXV327805:GXV327813 HHR327805:HHR327813 HRN327805:HRN327813 IBJ327805:IBJ327813 ILF327805:ILF327813 IVB327805:IVB327813 JEX327805:JEX327813 JOT327805:JOT327813 JYP327805:JYP327813 KIL327805:KIL327813 KSH327805:KSH327813 LCD327805:LCD327813 LLZ327805:LLZ327813 LVV327805:LVV327813 MFR327805:MFR327813 MPN327805:MPN327813 MZJ327805:MZJ327813 NJF327805:NJF327813 NTB327805:NTB327813 OCX327805:OCX327813 OMT327805:OMT327813 OWP327805:OWP327813 PGL327805:PGL327813 PQH327805:PQH327813 QAD327805:QAD327813 QJZ327805:QJZ327813 QTV327805:QTV327813 RDR327805:RDR327813 RNN327805:RNN327813 RXJ327805:RXJ327813 SHF327805:SHF327813 SRB327805:SRB327813 TAX327805:TAX327813 TKT327805:TKT327813 TUP327805:TUP327813 UEL327805:UEL327813 UOH327805:UOH327813 UYD327805:UYD327813 VHZ327805:VHZ327813 VRV327805:VRV327813 WBR327805:WBR327813 WLN327805:WLN327813 WVJ327805:WVJ327813 B393342:B393350 IX393341:IX393349 ST393341:ST393349 ACP393341:ACP393349 AML393341:AML393349 AWH393341:AWH393349 BGD393341:BGD393349 BPZ393341:BPZ393349 BZV393341:BZV393349 CJR393341:CJR393349 CTN393341:CTN393349 DDJ393341:DDJ393349 DNF393341:DNF393349 DXB393341:DXB393349 EGX393341:EGX393349 EQT393341:EQT393349 FAP393341:FAP393349 FKL393341:FKL393349 FUH393341:FUH393349 GED393341:GED393349 GNZ393341:GNZ393349 GXV393341:GXV393349 HHR393341:HHR393349 HRN393341:HRN393349 IBJ393341:IBJ393349 ILF393341:ILF393349 IVB393341:IVB393349 JEX393341:JEX393349 JOT393341:JOT393349 JYP393341:JYP393349 KIL393341:KIL393349 KSH393341:KSH393349 LCD393341:LCD393349 LLZ393341:LLZ393349 LVV393341:LVV393349 MFR393341:MFR393349 MPN393341:MPN393349 MZJ393341:MZJ393349 NJF393341:NJF393349 NTB393341:NTB393349 OCX393341:OCX393349 OMT393341:OMT393349 OWP393341:OWP393349 PGL393341:PGL393349 PQH393341:PQH393349 QAD393341:QAD393349 QJZ393341:QJZ393349 QTV393341:QTV393349 RDR393341:RDR393349 RNN393341:RNN393349 RXJ393341:RXJ393349 SHF393341:SHF393349 SRB393341:SRB393349 TAX393341:TAX393349 TKT393341:TKT393349 TUP393341:TUP393349 UEL393341:UEL393349 UOH393341:UOH393349 UYD393341:UYD393349 VHZ393341:VHZ393349 VRV393341:VRV393349 WBR393341:WBR393349 WLN393341:WLN393349 WVJ393341:WVJ393349 B458878:B458886 IX458877:IX458885 ST458877:ST458885 ACP458877:ACP458885 AML458877:AML458885 AWH458877:AWH458885 BGD458877:BGD458885 BPZ458877:BPZ458885 BZV458877:BZV458885 CJR458877:CJR458885 CTN458877:CTN458885 DDJ458877:DDJ458885 DNF458877:DNF458885 DXB458877:DXB458885 EGX458877:EGX458885 EQT458877:EQT458885 FAP458877:FAP458885 FKL458877:FKL458885 FUH458877:FUH458885 GED458877:GED458885 GNZ458877:GNZ458885 GXV458877:GXV458885 HHR458877:HHR458885 HRN458877:HRN458885 IBJ458877:IBJ458885 ILF458877:ILF458885 IVB458877:IVB458885 JEX458877:JEX458885 JOT458877:JOT458885 JYP458877:JYP458885 KIL458877:KIL458885 KSH458877:KSH458885 LCD458877:LCD458885 LLZ458877:LLZ458885 LVV458877:LVV458885 MFR458877:MFR458885 MPN458877:MPN458885 MZJ458877:MZJ458885 NJF458877:NJF458885 NTB458877:NTB458885 OCX458877:OCX458885 OMT458877:OMT458885 OWP458877:OWP458885 PGL458877:PGL458885 PQH458877:PQH458885 QAD458877:QAD458885 QJZ458877:QJZ458885 QTV458877:QTV458885 RDR458877:RDR458885 RNN458877:RNN458885 RXJ458877:RXJ458885 SHF458877:SHF458885 SRB458877:SRB458885 TAX458877:TAX458885 TKT458877:TKT458885 TUP458877:TUP458885 UEL458877:UEL458885 UOH458877:UOH458885 UYD458877:UYD458885 VHZ458877:VHZ458885 VRV458877:VRV458885 WBR458877:WBR458885 WLN458877:WLN458885 WVJ458877:WVJ458885 B524414:B524422 IX524413:IX524421 ST524413:ST524421 ACP524413:ACP524421 AML524413:AML524421 AWH524413:AWH524421 BGD524413:BGD524421 BPZ524413:BPZ524421 BZV524413:BZV524421 CJR524413:CJR524421 CTN524413:CTN524421 DDJ524413:DDJ524421 DNF524413:DNF524421 DXB524413:DXB524421 EGX524413:EGX524421 EQT524413:EQT524421 FAP524413:FAP524421 FKL524413:FKL524421 FUH524413:FUH524421 GED524413:GED524421 GNZ524413:GNZ524421 GXV524413:GXV524421 HHR524413:HHR524421 HRN524413:HRN524421 IBJ524413:IBJ524421 ILF524413:ILF524421 IVB524413:IVB524421 JEX524413:JEX524421 JOT524413:JOT524421 JYP524413:JYP524421 KIL524413:KIL524421 KSH524413:KSH524421 LCD524413:LCD524421 LLZ524413:LLZ524421 LVV524413:LVV524421 MFR524413:MFR524421 MPN524413:MPN524421 MZJ524413:MZJ524421 NJF524413:NJF524421 NTB524413:NTB524421 OCX524413:OCX524421 OMT524413:OMT524421 OWP524413:OWP524421 PGL524413:PGL524421 PQH524413:PQH524421 QAD524413:QAD524421 QJZ524413:QJZ524421 QTV524413:QTV524421 RDR524413:RDR524421 RNN524413:RNN524421 RXJ524413:RXJ524421 SHF524413:SHF524421 SRB524413:SRB524421 TAX524413:TAX524421 TKT524413:TKT524421 TUP524413:TUP524421 UEL524413:UEL524421 UOH524413:UOH524421 UYD524413:UYD524421 VHZ524413:VHZ524421 VRV524413:VRV524421 WBR524413:WBR524421 WLN524413:WLN524421 WVJ524413:WVJ524421 B589950:B589958 IX589949:IX589957 ST589949:ST589957 ACP589949:ACP589957 AML589949:AML589957 AWH589949:AWH589957 BGD589949:BGD589957 BPZ589949:BPZ589957 BZV589949:BZV589957 CJR589949:CJR589957 CTN589949:CTN589957 DDJ589949:DDJ589957 DNF589949:DNF589957 DXB589949:DXB589957 EGX589949:EGX589957 EQT589949:EQT589957 FAP589949:FAP589957 FKL589949:FKL589957 FUH589949:FUH589957 GED589949:GED589957 GNZ589949:GNZ589957 GXV589949:GXV589957 HHR589949:HHR589957 HRN589949:HRN589957 IBJ589949:IBJ589957 ILF589949:ILF589957 IVB589949:IVB589957 JEX589949:JEX589957 JOT589949:JOT589957 JYP589949:JYP589957 KIL589949:KIL589957 KSH589949:KSH589957 LCD589949:LCD589957 LLZ589949:LLZ589957 LVV589949:LVV589957 MFR589949:MFR589957 MPN589949:MPN589957 MZJ589949:MZJ589957 NJF589949:NJF589957 NTB589949:NTB589957 OCX589949:OCX589957 OMT589949:OMT589957 OWP589949:OWP589957 PGL589949:PGL589957 PQH589949:PQH589957 QAD589949:QAD589957 QJZ589949:QJZ589957 QTV589949:QTV589957 RDR589949:RDR589957 RNN589949:RNN589957 RXJ589949:RXJ589957 SHF589949:SHF589957 SRB589949:SRB589957 TAX589949:TAX589957 TKT589949:TKT589957 TUP589949:TUP589957 UEL589949:UEL589957 UOH589949:UOH589957 UYD589949:UYD589957 VHZ589949:VHZ589957 VRV589949:VRV589957 WBR589949:WBR589957 WLN589949:WLN589957 WVJ589949:WVJ589957 B655486:B655494 IX655485:IX655493 ST655485:ST655493 ACP655485:ACP655493 AML655485:AML655493 AWH655485:AWH655493 BGD655485:BGD655493 BPZ655485:BPZ655493 BZV655485:BZV655493 CJR655485:CJR655493 CTN655485:CTN655493 DDJ655485:DDJ655493 DNF655485:DNF655493 DXB655485:DXB655493 EGX655485:EGX655493 EQT655485:EQT655493 FAP655485:FAP655493 FKL655485:FKL655493 FUH655485:FUH655493 GED655485:GED655493 GNZ655485:GNZ655493 GXV655485:GXV655493 HHR655485:HHR655493 HRN655485:HRN655493 IBJ655485:IBJ655493 ILF655485:ILF655493 IVB655485:IVB655493 JEX655485:JEX655493 JOT655485:JOT655493 JYP655485:JYP655493 KIL655485:KIL655493 KSH655485:KSH655493 LCD655485:LCD655493 LLZ655485:LLZ655493 LVV655485:LVV655493 MFR655485:MFR655493 MPN655485:MPN655493 MZJ655485:MZJ655493 NJF655485:NJF655493 NTB655485:NTB655493 OCX655485:OCX655493 OMT655485:OMT655493 OWP655485:OWP655493 PGL655485:PGL655493 PQH655485:PQH655493 QAD655485:QAD655493 QJZ655485:QJZ655493 QTV655485:QTV655493 RDR655485:RDR655493 RNN655485:RNN655493 RXJ655485:RXJ655493 SHF655485:SHF655493 SRB655485:SRB655493 TAX655485:TAX655493 TKT655485:TKT655493 TUP655485:TUP655493 UEL655485:UEL655493 UOH655485:UOH655493 UYD655485:UYD655493 VHZ655485:VHZ655493 VRV655485:VRV655493 WBR655485:WBR655493 WLN655485:WLN655493 WVJ655485:WVJ655493 B721022:B721030 IX721021:IX721029 ST721021:ST721029 ACP721021:ACP721029 AML721021:AML721029 AWH721021:AWH721029 BGD721021:BGD721029 BPZ721021:BPZ721029 BZV721021:BZV721029 CJR721021:CJR721029 CTN721021:CTN721029 DDJ721021:DDJ721029 DNF721021:DNF721029 DXB721021:DXB721029 EGX721021:EGX721029 EQT721021:EQT721029 FAP721021:FAP721029 FKL721021:FKL721029 FUH721021:FUH721029 GED721021:GED721029 GNZ721021:GNZ721029 GXV721021:GXV721029 HHR721021:HHR721029 HRN721021:HRN721029 IBJ721021:IBJ721029 ILF721021:ILF721029 IVB721021:IVB721029 JEX721021:JEX721029 JOT721021:JOT721029 JYP721021:JYP721029 KIL721021:KIL721029 KSH721021:KSH721029 LCD721021:LCD721029 LLZ721021:LLZ721029 LVV721021:LVV721029 MFR721021:MFR721029 MPN721021:MPN721029 MZJ721021:MZJ721029 NJF721021:NJF721029 NTB721021:NTB721029 OCX721021:OCX721029 OMT721021:OMT721029 OWP721021:OWP721029 PGL721021:PGL721029 PQH721021:PQH721029 QAD721021:QAD721029 QJZ721021:QJZ721029 QTV721021:QTV721029 RDR721021:RDR721029 RNN721021:RNN721029 RXJ721021:RXJ721029 SHF721021:SHF721029 SRB721021:SRB721029 TAX721021:TAX721029 TKT721021:TKT721029 TUP721021:TUP721029 UEL721021:UEL721029 UOH721021:UOH721029 UYD721021:UYD721029 VHZ721021:VHZ721029 VRV721021:VRV721029 WBR721021:WBR721029 WLN721021:WLN721029 WVJ721021:WVJ721029 B786558:B786566 IX786557:IX786565 ST786557:ST786565 ACP786557:ACP786565 AML786557:AML786565 AWH786557:AWH786565 BGD786557:BGD786565 BPZ786557:BPZ786565 BZV786557:BZV786565 CJR786557:CJR786565 CTN786557:CTN786565 DDJ786557:DDJ786565 DNF786557:DNF786565 DXB786557:DXB786565 EGX786557:EGX786565 EQT786557:EQT786565 FAP786557:FAP786565 FKL786557:FKL786565 FUH786557:FUH786565 GED786557:GED786565 GNZ786557:GNZ786565 GXV786557:GXV786565 HHR786557:HHR786565 HRN786557:HRN786565 IBJ786557:IBJ786565 ILF786557:ILF786565 IVB786557:IVB786565 JEX786557:JEX786565 JOT786557:JOT786565 JYP786557:JYP786565 KIL786557:KIL786565 KSH786557:KSH786565 LCD786557:LCD786565 LLZ786557:LLZ786565 LVV786557:LVV786565 MFR786557:MFR786565 MPN786557:MPN786565 MZJ786557:MZJ786565 NJF786557:NJF786565 NTB786557:NTB786565 OCX786557:OCX786565 OMT786557:OMT786565 OWP786557:OWP786565 PGL786557:PGL786565 PQH786557:PQH786565 QAD786557:QAD786565 QJZ786557:QJZ786565 QTV786557:QTV786565 RDR786557:RDR786565 RNN786557:RNN786565 RXJ786557:RXJ786565 SHF786557:SHF786565 SRB786557:SRB786565 TAX786557:TAX786565 TKT786557:TKT786565 TUP786557:TUP786565 UEL786557:UEL786565 UOH786557:UOH786565 UYD786557:UYD786565 VHZ786557:VHZ786565 VRV786557:VRV786565 WBR786557:WBR786565 WLN786557:WLN786565 WVJ786557:WVJ786565 B852094:B852102 IX852093:IX852101 ST852093:ST852101 ACP852093:ACP852101 AML852093:AML852101 AWH852093:AWH852101 BGD852093:BGD852101 BPZ852093:BPZ852101 BZV852093:BZV852101 CJR852093:CJR852101 CTN852093:CTN852101 DDJ852093:DDJ852101 DNF852093:DNF852101 DXB852093:DXB852101 EGX852093:EGX852101 EQT852093:EQT852101 FAP852093:FAP852101 FKL852093:FKL852101 FUH852093:FUH852101 GED852093:GED852101 GNZ852093:GNZ852101 GXV852093:GXV852101 HHR852093:HHR852101 HRN852093:HRN852101 IBJ852093:IBJ852101 ILF852093:ILF852101 IVB852093:IVB852101 JEX852093:JEX852101 JOT852093:JOT852101 JYP852093:JYP852101 KIL852093:KIL852101 KSH852093:KSH852101 LCD852093:LCD852101 LLZ852093:LLZ852101 LVV852093:LVV852101 MFR852093:MFR852101 MPN852093:MPN852101 MZJ852093:MZJ852101 NJF852093:NJF852101 NTB852093:NTB852101 OCX852093:OCX852101 OMT852093:OMT852101 OWP852093:OWP852101 PGL852093:PGL852101 PQH852093:PQH852101 QAD852093:QAD852101 QJZ852093:QJZ852101 QTV852093:QTV852101 RDR852093:RDR852101 RNN852093:RNN852101 RXJ852093:RXJ852101 SHF852093:SHF852101 SRB852093:SRB852101 TAX852093:TAX852101 TKT852093:TKT852101 TUP852093:TUP852101 UEL852093:UEL852101 UOH852093:UOH852101 UYD852093:UYD852101 VHZ852093:VHZ852101 VRV852093:VRV852101 WBR852093:WBR852101 WLN852093:WLN852101 WVJ852093:WVJ852101 B917630:B917638 IX917629:IX917637 ST917629:ST917637 ACP917629:ACP917637 AML917629:AML917637 AWH917629:AWH917637 BGD917629:BGD917637 BPZ917629:BPZ917637 BZV917629:BZV917637 CJR917629:CJR917637 CTN917629:CTN917637 DDJ917629:DDJ917637 DNF917629:DNF917637 DXB917629:DXB917637 EGX917629:EGX917637 EQT917629:EQT917637 FAP917629:FAP917637 FKL917629:FKL917637 FUH917629:FUH917637 GED917629:GED917637 GNZ917629:GNZ917637 GXV917629:GXV917637 HHR917629:HHR917637 HRN917629:HRN917637 IBJ917629:IBJ917637 ILF917629:ILF917637 IVB917629:IVB917637 JEX917629:JEX917637 JOT917629:JOT917637 JYP917629:JYP917637 KIL917629:KIL917637 KSH917629:KSH917637 LCD917629:LCD917637 LLZ917629:LLZ917637 LVV917629:LVV917637 MFR917629:MFR917637 MPN917629:MPN917637 MZJ917629:MZJ917637 NJF917629:NJF917637 NTB917629:NTB917637 OCX917629:OCX917637 OMT917629:OMT917637 OWP917629:OWP917637 PGL917629:PGL917637 PQH917629:PQH917637 QAD917629:QAD917637 QJZ917629:QJZ917637 QTV917629:QTV917637 RDR917629:RDR917637 RNN917629:RNN917637 RXJ917629:RXJ917637 SHF917629:SHF917637 SRB917629:SRB917637 TAX917629:TAX917637 TKT917629:TKT917637 TUP917629:TUP917637 UEL917629:UEL917637 UOH917629:UOH917637 UYD917629:UYD917637 VHZ917629:VHZ917637 VRV917629:VRV917637 WBR917629:WBR917637 WLN917629:WLN917637 WVJ917629:WVJ917637 B983166:B983174 IX983165:IX983173 ST983165:ST983173 ACP983165:ACP983173 AML983165:AML983173 AWH983165:AWH983173 BGD983165:BGD983173 BPZ983165:BPZ983173 BZV983165:BZV983173 CJR983165:CJR983173 CTN983165:CTN983173 DDJ983165:DDJ983173 DNF983165:DNF983173 DXB983165:DXB983173 EGX983165:EGX983173 EQT983165:EQT983173 FAP983165:FAP983173 FKL983165:FKL983173 FUH983165:FUH983173 GED983165:GED983173 GNZ983165:GNZ983173 GXV983165:GXV983173 HHR983165:HHR983173 HRN983165:HRN983173 IBJ983165:IBJ983173 ILF983165:ILF983173 IVB983165:IVB983173 JEX983165:JEX983173 JOT983165:JOT983173 JYP983165:JYP983173 KIL983165:KIL983173 KSH983165:KSH983173 LCD983165:LCD983173 LLZ983165:LLZ983173 LVV983165:LVV983173 MFR983165:MFR983173 MPN983165:MPN983173 MZJ983165:MZJ983173 NJF983165:NJF983173 NTB983165:NTB983173 OCX983165:OCX983173 OMT983165:OMT983173 OWP983165:OWP983173 PGL983165:PGL983173 PQH983165:PQH983173 QAD983165:QAD983173 QJZ983165:QJZ983173 QTV983165:QTV983173 RDR983165:RDR983173 RNN983165:RNN983173 RXJ983165:RXJ983173 SHF983165:SHF983173 SRB983165:SRB983173 TAX983165:TAX983173 TKT983165:TKT983173 TUP983165:TUP983173 UEL983165:UEL983173 UOH983165:UOH983173 UYD983165:UYD983173 VHZ983165:VHZ983173 VRV983165:VRV983173 WBR983165:WBR983173 WLN983165:WLN983173 WVJ983165:WVJ983173 B12:B60 IX63:IX98 ST63:ST98 ACP63:ACP98 AML63:AML98 AWH63:AWH98 BGD63:BGD98 BPZ63:BPZ98 BZV63:BZV98 CJR63:CJR98 CTN63:CTN98 DDJ63:DDJ98 DNF63:DNF98 DXB63:DXB98 EGX63:EGX98 EQT63:EQT98 FAP63:FAP98 FKL63:FKL98 FUH63:FUH98 GED63:GED98 GNZ63:GNZ98 GXV63:GXV98 HHR63:HHR98 HRN63:HRN98 IBJ63:IBJ98 ILF63:ILF98 IVB63:IVB98 JEX63:JEX98 JOT63:JOT98 JYP63:JYP98 KIL63:KIL98 KSH63:KSH98 LCD63:LCD98 LLZ63:LLZ98 LVV63:LVV98 MFR63:MFR98 MPN63:MPN98 MZJ63:MZJ98 NJF63:NJF98 NTB63:NTB98 OCX63:OCX98 OMT63:OMT98 OWP63:OWP98 PGL63:PGL98 PQH63:PQH98 QAD63:QAD98 QJZ63:QJZ98 QTV63:QTV98 RDR63:RDR98 RNN63:RNN98 RXJ63:RXJ98 SHF63:SHF98 SRB63:SRB98 TAX63:TAX98 TKT63:TKT98 TUP63:TUP98 UEL63:UEL98 UOH63:UOH98 UYD63:UYD98 VHZ63:VHZ98 VRV63:VRV98 WBR63:WBR98 WLN63:WLN98 WVJ63:WVJ98 B65673:B65681 IX65672:IX65680 ST65672:ST65680 ACP65672:ACP65680 AML65672:AML65680 AWH65672:AWH65680 BGD65672:BGD65680 BPZ65672:BPZ65680 BZV65672:BZV65680 CJR65672:CJR65680 CTN65672:CTN65680 DDJ65672:DDJ65680 DNF65672:DNF65680 DXB65672:DXB65680 EGX65672:EGX65680 EQT65672:EQT65680 FAP65672:FAP65680 FKL65672:FKL65680 FUH65672:FUH65680 GED65672:GED65680 GNZ65672:GNZ65680 GXV65672:GXV65680 HHR65672:HHR65680 HRN65672:HRN65680 IBJ65672:IBJ65680 ILF65672:ILF65680 IVB65672:IVB65680 JEX65672:JEX65680 JOT65672:JOT65680 JYP65672:JYP65680 KIL65672:KIL65680 KSH65672:KSH65680 LCD65672:LCD65680 LLZ65672:LLZ65680 LVV65672:LVV65680 MFR65672:MFR65680 MPN65672:MPN65680 MZJ65672:MZJ65680 NJF65672:NJF65680 NTB65672:NTB65680 OCX65672:OCX65680 OMT65672:OMT65680 OWP65672:OWP65680 PGL65672:PGL65680 PQH65672:PQH65680 QAD65672:QAD65680 QJZ65672:QJZ65680 QTV65672:QTV65680 RDR65672:RDR65680 RNN65672:RNN65680 RXJ65672:RXJ65680 SHF65672:SHF65680 SRB65672:SRB65680 TAX65672:TAX65680 TKT65672:TKT65680 TUP65672:TUP65680 UEL65672:UEL65680 UOH65672:UOH65680 UYD65672:UYD65680 VHZ65672:VHZ65680 VRV65672:VRV65680 WBR65672:WBR65680 WLN65672:WLN65680 WVJ65672:WVJ65680 B131209:B131217 IX131208:IX131216 ST131208:ST131216 ACP131208:ACP131216 AML131208:AML131216 AWH131208:AWH131216 BGD131208:BGD131216 BPZ131208:BPZ131216 BZV131208:BZV131216 CJR131208:CJR131216 CTN131208:CTN131216 DDJ131208:DDJ131216 DNF131208:DNF131216 DXB131208:DXB131216 EGX131208:EGX131216 EQT131208:EQT131216 FAP131208:FAP131216 FKL131208:FKL131216 FUH131208:FUH131216 GED131208:GED131216 GNZ131208:GNZ131216 GXV131208:GXV131216 HHR131208:HHR131216 HRN131208:HRN131216 IBJ131208:IBJ131216 ILF131208:ILF131216 IVB131208:IVB131216 JEX131208:JEX131216 JOT131208:JOT131216 JYP131208:JYP131216 KIL131208:KIL131216 KSH131208:KSH131216 LCD131208:LCD131216 LLZ131208:LLZ131216 LVV131208:LVV131216 MFR131208:MFR131216 MPN131208:MPN131216 MZJ131208:MZJ131216 NJF131208:NJF131216 NTB131208:NTB131216 OCX131208:OCX131216 OMT131208:OMT131216 OWP131208:OWP131216 PGL131208:PGL131216 PQH131208:PQH131216 QAD131208:QAD131216 QJZ131208:QJZ131216 QTV131208:QTV131216 RDR131208:RDR131216 RNN131208:RNN131216 RXJ131208:RXJ131216 SHF131208:SHF131216 SRB131208:SRB131216 TAX131208:TAX131216 TKT131208:TKT131216 TUP131208:TUP131216 UEL131208:UEL131216 UOH131208:UOH131216 UYD131208:UYD131216 VHZ131208:VHZ131216 VRV131208:VRV131216 WBR131208:WBR131216 WLN131208:WLN131216 WVJ131208:WVJ131216 B196745:B196753 IX196744:IX196752 ST196744:ST196752 ACP196744:ACP196752 AML196744:AML196752 AWH196744:AWH196752 BGD196744:BGD196752 BPZ196744:BPZ196752 BZV196744:BZV196752 CJR196744:CJR196752 CTN196744:CTN196752 DDJ196744:DDJ196752 DNF196744:DNF196752 DXB196744:DXB196752 EGX196744:EGX196752 EQT196744:EQT196752 FAP196744:FAP196752 FKL196744:FKL196752 FUH196744:FUH196752 GED196744:GED196752 GNZ196744:GNZ196752 GXV196744:GXV196752 HHR196744:HHR196752 HRN196744:HRN196752 IBJ196744:IBJ196752 ILF196744:ILF196752 IVB196744:IVB196752 JEX196744:JEX196752 JOT196744:JOT196752 JYP196744:JYP196752 KIL196744:KIL196752 KSH196744:KSH196752 LCD196744:LCD196752 LLZ196744:LLZ196752 LVV196744:LVV196752 MFR196744:MFR196752 MPN196744:MPN196752 MZJ196744:MZJ196752 NJF196744:NJF196752 NTB196744:NTB196752 OCX196744:OCX196752 OMT196744:OMT196752 OWP196744:OWP196752 PGL196744:PGL196752 PQH196744:PQH196752 QAD196744:QAD196752 QJZ196744:QJZ196752 QTV196744:QTV196752 RDR196744:RDR196752 RNN196744:RNN196752 RXJ196744:RXJ196752 SHF196744:SHF196752 SRB196744:SRB196752 TAX196744:TAX196752 TKT196744:TKT196752 TUP196744:TUP196752 UEL196744:UEL196752 UOH196744:UOH196752 UYD196744:UYD196752 VHZ196744:VHZ196752 VRV196744:VRV196752 WBR196744:WBR196752 WLN196744:WLN196752 WVJ196744:WVJ196752 B262281:B262289 IX262280:IX262288 ST262280:ST262288 ACP262280:ACP262288 AML262280:AML262288 AWH262280:AWH262288 BGD262280:BGD262288 BPZ262280:BPZ262288 BZV262280:BZV262288 CJR262280:CJR262288 CTN262280:CTN262288 DDJ262280:DDJ262288 DNF262280:DNF262288 DXB262280:DXB262288 EGX262280:EGX262288 EQT262280:EQT262288 FAP262280:FAP262288 FKL262280:FKL262288 FUH262280:FUH262288 GED262280:GED262288 GNZ262280:GNZ262288 GXV262280:GXV262288 HHR262280:HHR262288 HRN262280:HRN262288 IBJ262280:IBJ262288 ILF262280:ILF262288 IVB262280:IVB262288 JEX262280:JEX262288 JOT262280:JOT262288 JYP262280:JYP262288 KIL262280:KIL262288 KSH262280:KSH262288 LCD262280:LCD262288 LLZ262280:LLZ262288 LVV262280:LVV262288 MFR262280:MFR262288 MPN262280:MPN262288 MZJ262280:MZJ262288 NJF262280:NJF262288 NTB262280:NTB262288 OCX262280:OCX262288 OMT262280:OMT262288 OWP262280:OWP262288 PGL262280:PGL262288 PQH262280:PQH262288 QAD262280:QAD262288 QJZ262280:QJZ262288 QTV262280:QTV262288 RDR262280:RDR262288 RNN262280:RNN262288 RXJ262280:RXJ262288 SHF262280:SHF262288 SRB262280:SRB262288 TAX262280:TAX262288 TKT262280:TKT262288 TUP262280:TUP262288 UEL262280:UEL262288 UOH262280:UOH262288 UYD262280:UYD262288 VHZ262280:VHZ262288 VRV262280:VRV262288 WBR262280:WBR262288 WLN262280:WLN262288 WVJ262280:WVJ262288 B327817:B327825 IX327816:IX327824 ST327816:ST327824 ACP327816:ACP327824 AML327816:AML327824 AWH327816:AWH327824 BGD327816:BGD327824 BPZ327816:BPZ327824 BZV327816:BZV327824 CJR327816:CJR327824 CTN327816:CTN327824 DDJ327816:DDJ327824 DNF327816:DNF327824 DXB327816:DXB327824 EGX327816:EGX327824 EQT327816:EQT327824 FAP327816:FAP327824 FKL327816:FKL327824 FUH327816:FUH327824 GED327816:GED327824 GNZ327816:GNZ327824 GXV327816:GXV327824 HHR327816:HHR327824 HRN327816:HRN327824 IBJ327816:IBJ327824 ILF327816:ILF327824 IVB327816:IVB327824 JEX327816:JEX327824 JOT327816:JOT327824 JYP327816:JYP327824 KIL327816:KIL327824 KSH327816:KSH327824 LCD327816:LCD327824 LLZ327816:LLZ327824 LVV327816:LVV327824 MFR327816:MFR327824 MPN327816:MPN327824 MZJ327816:MZJ327824 NJF327816:NJF327824 NTB327816:NTB327824 OCX327816:OCX327824 OMT327816:OMT327824 OWP327816:OWP327824 PGL327816:PGL327824 PQH327816:PQH327824 QAD327816:QAD327824 QJZ327816:QJZ327824 QTV327816:QTV327824 RDR327816:RDR327824 RNN327816:RNN327824 RXJ327816:RXJ327824 SHF327816:SHF327824 SRB327816:SRB327824 TAX327816:TAX327824 TKT327816:TKT327824 TUP327816:TUP327824 UEL327816:UEL327824 UOH327816:UOH327824 UYD327816:UYD327824 VHZ327816:VHZ327824 VRV327816:VRV327824 WBR327816:WBR327824 WLN327816:WLN327824 WVJ327816:WVJ327824 B393353:B393361 IX393352:IX393360 ST393352:ST393360 ACP393352:ACP393360 AML393352:AML393360 AWH393352:AWH393360 BGD393352:BGD393360 BPZ393352:BPZ393360 BZV393352:BZV393360 CJR393352:CJR393360 CTN393352:CTN393360 DDJ393352:DDJ393360 DNF393352:DNF393360 DXB393352:DXB393360 EGX393352:EGX393360 EQT393352:EQT393360 FAP393352:FAP393360 FKL393352:FKL393360 FUH393352:FUH393360 GED393352:GED393360 GNZ393352:GNZ393360 GXV393352:GXV393360 HHR393352:HHR393360 HRN393352:HRN393360 IBJ393352:IBJ393360 ILF393352:ILF393360 IVB393352:IVB393360 JEX393352:JEX393360 JOT393352:JOT393360 JYP393352:JYP393360 KIL393352:KIL393360 KSH393352:KSH393360 LCD393352:LCD393360 LLZ393352:LLZ393360 LVV393352:LVV393360 MFR393352:MFR393360 MPN393352:MPN393360 MZJ393352:MZJ393360 NJF393352:NJF393360 NTB393352:NTB393360 OCX393352:OCX393360 OMT393352:OMT393360 OWP393352:OWP393360 PGL393352:PGL393360 PQH393352:PQH393360 QAD393352:QAD393360 QJZ393352:QJZ393360 QTV393352:QTV393360 RDR393352:RDR393360 RNN393352:RNN393360 RXJ393352:RXJ393360 SHF393352:SHF393360 SRB393352:SRB393360 TAX393352:TAX393360 TKT393352:TKT393360 TUP393352:TUP393360 UEL393352:UEL393360 UOH393352:UOH393360 UYD393352:UYD393360 VHZ393352:VHZ393360 VRV393352:VRV393360 WBR393352:WBR393360 WLN393352:WLN393360 WVJ393352:WVJ393360 B458889:B458897 IX458888:IX458896 ST458888:ST458896 ACP458888:ACP458896 AML458888:AML458896 AWH458888:AWH458896 BGD458888:BGD458896 BPZ458888:BPZ458896 BZV458888:BZV458896 CJR458888:CJR458896 CTN458888:CTN458896 DDJ458888:DDJ458896 DNF458888:DNF458896 DXB458888:DXB458896 EGX458888:EGX458896 EQT458888:EQT458896 FAP458888:FAP458896 FKL458888:FKL458896 FUH458888:FUH458896 GED458888:GED458896 GNZ458888:GNZ458896 GXV458888:GXV458896 HHR458888:HHR458896 HRN458888:HRN458896 IBJ458888:IBJ458896 ILF458888:ILF458896 IVB458888:IVB458896 JEX458888:JEX458896 JOT458888:JOT458896 JYP458888:JYP458896 KIL458888:KIL458896 KSH458888:KSH458896 LCD458888:LCD458896 LLZ458888:LLZ458896 LVV458888:LVV458896 MFR458888:MFR458896 MPN458888:MPN458896 MZJ458888:MZJ458896 NJF458888:NJF458896 NTB458888:NTB458896 OCX458888:OCX458896 OMT458888:OMT458896 OWP458888:OWP458896 PGL458888:PGL458896 PQH458888:PQH458896 QAD458888:QAD458896 QJZ458888:QJZ458896 QTV458888:QTV458896 RDR458888:RDR458896 RNN458888:RNN458896 RXJ458888:RXJ458896 SHF458888:SHF458896 SRB458888:SRB458896 TAX458888:TAX458896 TKT458888:TKT458896 TUP458888:TUP458896 UEL458888:UEL458896 UOH458888:UOH458896 UYD458888:UYD458896 VHZ458888:VHZ458896 VRV458888:VRV458896 WBR458888:WBR458896 WLN458888:WLN458896 WVJ458888:WVJ458896 B524425:B524433 IX524424:IX524432 ST524424:ST524432 ACP524424:ACP524432 AML524424:AML524432 AWH524424:AWH524432 BGD524424:BGD524432 BPZ524424:BPZ524432 BZV524424:BZV524432 CJR524424:CJR524432 CTN524424:CTN524432 DDJ524424:DDJ524432 DNF524424:DNF524432 DXB524424:DXB524432 EGX524424:EGX524432 EQT524424:EQT524432 FAP524424:FAP524432 FKL524424:FKL524432 FUH524424:FUH524432 GED524424:GED524432 GNZ524424:GNZ524432 GXV524424:GXV524432 HHR524424:HHR524432 HRN524424:HRN524432 IBJ524424:IBJ524432 ILF524424:ILF524432 IVB524424:IVB524432 JEX524424:JEX524432 JOT524424:JOT524432 JYP524424:JYP524432 KIL524424:KIL524432 KSH524424:KSH524432 LCD524424:LCD524432 LLZ524424:LLZ524432 LVV524424:LVV524432 MFR524424:MFR524432 MPN524424:MPN524432 MZJ524424:MZJ524432 NJF524424:NJF524432 NTB524424:NTB524432 OCX524424:OCX524432 OMT524424:OMT524432 OWP524424:OWP524432 PGL524424:PGL524432 PQH524424:PQH524432 QAD524424:QAD524432 QJZ524424:QJZ524432 QTV524424:QTV524432 RDR524424:RDR524432 RNN524424:RNN524432 RXJ524424:RXJ524432 SHF524424:SHF524432 SRB524424:SRB524432 TAX524424:TAX524432 TKT524424:TKT524432 TUP524424:TUP524432 UEL524424:UEL524432 UOH524424:UOH524432 UYD524424:UYD524432 VHZ524424:VHZ524432 VRV524424:VRV524432 WBR524424:WBR524432 WLN524424:WLN524432 WVJ524424:WVJ524432 B589961:B589969 IX589960:IX589968 ST589960:ST589968 ACP589960:ACP589968 AML589960:AML589968 AWH589960:AWH589968 BGD589960:BGD589968 BPZ589960:BPZ589968 BZV589960:BZV589968 CJR589960:CJR589968 CTN589960:CTN589968 DDJ589960:DDJ589968 DNF589960:DNF589968 DXB589960:DXB589968 EGX589960:EGX589968 EQT589960:EQT589968 FAP589960:FAP589968 FKL589960:FKL589968 FUH589960:FUH589968 GED589960:GED589968 GNZ589960:GNZ589968 GXV589960:GXV589968 HHR589960:HHR589968 HRN589960:HRN589968 IBJ589960:IBJ589968 ILF589960:ILF589968 IVB589960:IVB589968 JEX589960:JEX589968 JOT589960:JOT589968 JYP589960:JYP589968 KIL589960:KIL589968 KSH589960:KSH589968 LCD589960:LCD589968 LLZ589960:LLZ589968 LVV589960:LVV589968 MFR589960:MFR589968 MPN589960:MPN589968 MZJ589960:MZJ589968 NJF589960:NJF589968 NTB589960:NTB589968 OCX589960:OCX589968 OMT589960:OMT589968 OWP589960:OWP589968 PGL589960:PGL589968 PQH589960:PQH589968 QAD589960:QAD589968 QJZ589960:QJZ589968 QTV589960:QTV589968 RDR589960:RDR589968 RNN589960:RNN589968 RXJ589960:RXJ589968 SHF589960:SHF589968 SRB589960:SRB589968 TAX589960:TAX589968 TKT589960:TKT589968 TUP589960:TUP589968 UEL589960:UEL589968 UOH589960:UOH589968 UYD589960:UYD589968 VHZ589960:VHZ589968 VRV589960:VRV589968 WBR589960:WBR589968 WLN589960:WLN589968 WVJ589960:WVJ589968 B655497:B655505 IX655496:IX655504 ST655496:ST655504 ACP655496:ACP655504 AML655496:AML655504 AWH655496:AWH655504 BGD655496:BGD655504 BPZ655496:BPZ655504 BZV655496:BZV655504 CJR655496:CJR655504 CTN655496:CTN655504 DDJ655496:DDJ655504 DNF655496:DNF655504 DXB655496:DXB655504 EGX655496:EGX655504 EQT655496:EQT655504 FAP655496:FAP655504 FKL655496:FKL655504 FUH655496:FUH655504 GED655496:GED655504 GNZ655496:GNZ655504 GXV655496:GXV655504 HHR655496:HHR655504 HRN655496:HRN655504 IBJ655496:IBJ655504 ILF655496:ILF655504 IVB655496:IVB655504 JEX655496:JEX655504 JOT655496:JOT655504 JYP655496:JYP655504 KIL655496:KIL655504 KSH655496:KSH655504 LCD655496:LCD655504 LLZ655496:LLZ655504 LVV655496:LVV655504 MFR655496:MFR655504 MPN655496:MPN655504 MZJ655496:MZJ655504 NJF655496:NJF655504 NTB655496:NTB655504 OCX655496:OCX655504 OMT655496:OMT655504 OWP655496:OWP655504 PGL655496:PGL655504 PQH655496:PQH655504 QAD655496:QAD655504 QJZ655496:QJZ655504 QTV655496:QTV655504 RDR655496:RDR655504 RNN655496:RNN655504 RXJ655496:RXJ655504 SHF655496:SHF655504 SRB655496:SRB655504 TAX655496:TAX655504 TKT655496:TKT655504 TUP655496:TUP655504 UEL655496:UEL655504 UOH655496:UOH655504 UYD655496:UYD655504 VHZ655496:VHZ655504 VRV655496:VRV655504 WBR655496:WBR655504 WLN655496:WLN655504 WVJ655496:WVJ655504 B721033:B721041 IX721032:IX721040 ST721032:ST721040 ACP721032:ACP721040 AML721032:AML721040 AWH721032:AWH721040 BGD721032:BGD721040 BPZ721032:BPZ721040 BZV721032:BZV721040 CJR721032:CJR721040 CTN721032:CTN721040 DDJ721032:DDJ721040 DNF721032:DNF721040 DXB721032:DXB721040 EGX721032:EGX721040 EQT721032:EQT721040 FAP721032:FAP721040 FKL721032:FKL721040 FUH721032:FUH721040 GED721032:GED721040 GNZ721032:GNZ721040 GXV721032:GXV721040 HHR721032:HHR721040 HRN721032:HRN721040 IBJ721032:IBJ721040 ILF721032:ILF721040 IVB721032:IVB721040 JEX721032:JEX721040 JOT721032:JOT721040 JYP721032:JYP721040 KIL721032:KIL721040 KSH721032:KSH721040 LCD721032:LCD721040 LLZ721032:LLZ721040 LVV721032:LVV721040 MFR721032:MFR721040 MPN721032:MPN721040 MZJ721032:MZJ721040 NJF721032:NJF721040 NTB721032:NTB721040 OCX721032:OCX721040 OMT721032:OMT721040 OWP721032:OWP721040 PGL721032:PGL721040 PQH721032:PQH721040 QAD721032:QAD721040 QJZ721032:QJZ721040 QTV721032:QTV721040 RDR721032:RDR721040 RNN721032:RNN721040 RXJ721032:RXJ721040 SHF721032:SHF721040 SRB721032:SRB721040 TAX721032:TAX721040 TKT721032:TKT721040 TUP721032:TUP721040 UEL721032:UEL721040 UOH721032:UOH721040 UYD721032:UYD721040 VHZ721032:VHZ721040 VRV721032:VRV721040 WBR721032:WBR721040 WLN721032:WLN721040 WVJ721032:WVJ721040 B786569:B786577 IX786568:IX786576 ST786568:ST786576 ACP786568:ACP786576 AML786568:AML786576 AWH786568:AWH786576 BGD786568:BGD786576 BPZ786568:BPZ786576 BZV786568:BZV786576 CJR786568:CJR786576 CTN786568:CTN786576 DDJ786568:DDJ786576 DNF786568:DNF786576 DXB786568:DXB786576 EGX786568:EGX786576 EQT786568:EQT786576 FAP786568:FAP786576 FKL786568:FKL786576 FUH786568:FUH786576 GED786568:GED786576 GNZ786568:GNZ786576 GXV786568:GXV786576 HHR786568:HHR786576 HRN786568:HRN786576 IBJ786568:IBJ786576 ILF786568:ILF786576 IVB786568:IVB786576 JEX786568:JEX786576 JOT786568:JOT786576 JYP786568:JYP786576 KIL786568:KIL786576 KSH786568:KSH786576 LCD786568:LCD786576 LLZ786568:LLZ786576 LVV786568:LVV786576 MFR786568:MFR786576 MPN786568:MPN786576 MZJ786568:MZJ786576 NJF786568:NJF786576 NTB786568:NTB786576 OCX786568:OCX786576 OMT786568:OMT786576 OWP786568:OWP786576 PGL786568:PGL786576 PQH786568:PQH786576 QAD786568:QAD786576 QJZ786568:QJZ786576 QTV786568:QTV786576 RDR786568:RDR786576 RNN786568:RNN786576 RXJ786568:RXJ786576 SHF786568:SHF786576 SRB786568:SRB786576 TAX786568:TAX786576 TKT786568:TKT786576 TUP786568:TUP786576 UEL786568:UEL786576 UOH786568:UOH786576 UYD786568:UYD786576 VHZ786568:VHZ786576 VRV786568:VRV786576 WBR786568:WBR786576 WLN786568:WLN786576 WVJ786568:WVJ786576 B852105:B852113 IX852104:IX852112 ST852104:ST852112 ACP852104:ACP852112 AML852104:AML852112 AWH852104:AWH852112 BGD852104:BGD852112 BPZ852104:BPZ852112 BZV852104:BZV852112 CJR852104:CJR852112 CTN852104:CTN852112 DDJ852104:DDJ852112 DNF852104:DNF852112 DXB852104:DXB852112 EGX852104:EGX852112 EQT852104:EQT852112 FAP852104:FAP852112 FKL852104:FKL852112 FUH852104:FUH852112 GED852104:GED852112 GNZ852104:GNZ852112 GXV852104:GXV852112 HHR852104:HHR852112 HRN852104:HRN852112 IBJ852104:IBJ852112 ILF852104:ILF852112 IVB852104:IVB852112 JEX852104:JEX852112 JOT852104:JOT852112 JYP852104:JYP852112 KIL852104:KIL852112 KSH852104:KSH852112 LCD852104:LCD852112 LLZ852104:LLZ852112 LVV852104:LVV852112 MFR852104:MFR852112 MPN852104:MPN852112 MZJ852104:MZJ852112 NJF852104:NJF852112 NTB852104:NTB852112 OCX852104:OCX852112 OMT852104:OMT852112 OWP852104:OWP852112 PGL852104:PGL852112 PQH852104:PQH852112 QAD852104:QAD852112 QJZ852104:QJZ852112 QTV852104:QTV852112 RDR852104:RDR852112 RNN852104:RNN852112 RXJ852104:RXJ852112 SHF852104:SHF852112 SRB852104:SRB852112 TAX852104:TAX852112 TKT852104:TKT852112 TUP852104:TUP852112 UEL852104:UEL852112 UOH852104:UOH852112 UYD852104:UYD852112 VHZ852104:VHZ852112 VRV852104:VRV852112 WBR852104:WBR852112 WLN852104:WLN852112 WVJ852104:WVJ852112 B917641:B917649 IX917640:IX917648 ST917640:ST917648 ACP917640:ACP917648 AML917640:AML917648 AWH917640:AWH917648 BGD917640:BGD917648 BPZ917640:BPZ917648 BZV917640:BZV917648 CJR917640:CJR917648 CTN917640:CTN917648 DDJ917640:DDJ917648 DNF917640:DNF917648 DXB917640:DXB917648 EGX917640:EGX917648 EQT917640:EQT917648 FAP917640:FAP917648 FKL917640:FKL917648 FUH917640:FUH917648 GED917640:GED917648 GNZ917640:GNZ917648 GXV917640:GXV917648 HHR917640:HHR917648 HRN917640:HRN917648 IBJ917640:IBJ917648 ILF917640:ILF917648 IVB917640:IVB917648 JEX917640:JEX917648 JOT917640:JOT917648 JYP917640:JYP917648 KIL917640:KIL917648 KSH917640:KSH917648 LCD917640:LCD917648 LLZ917640:LLZ917648 LVV917640:LVV917648 MFR917640:MFR917648 MPN917640:MPN917648 MZJ917640:MZJ917648 NJF917640:NJF917648 NTB917640:NTB917648 OCX917640:OCX917648 OMT917640:OMT917648 OWP917640:OWP917648 PGL917640:PGL917648 PQH917640:PQH917648 QAD917640:QAD917648 QJZ917640:QJZ917648 QTV917640:QTV917648 RDR917640:RDR917648 RNN917640:RNN917648 RXJ917640:RXJ917648 SHF917640:SHF917648 SRB917640:SRB917648 TAX917640:TAX917648 TKT917640:TKT917648 TUP917640:TUP917648 UEL917640:UEL917648 UOH917640:UOH917648 UYD917640:UYD917648 VHZ917640:VHZ917648 VRV917640:VRV917648 WBR917640:WBR917648 WLN917640:WLN917648 WVJ917640:WVJ917648 B983177:B983185 IX983176:IX983184 ST983176:ST983184 ACP983176:ACP983184 AML983176:AML983184 AWH983176:AWH983184 BGD983176:BGD983184 BPZ983176:BPZ983184 BZV983176:BZV983184 CJR983176:CJR983184 CTN983176:CTN983184 DDJ983176:DDJ983184 DNF983176:DNF983184 DXB983176:DXB983184 EGX983176:EGX983184 EQT983176:EQT983184 FAP983176:FAP983184 FKL983176:FKL983184 FUH983176:FUH983184 GED983176:GED983184 GNZ983176:GNZ983184 GXV983176:GXV983184 HHR983176:HHR983184 HRN983176:HRN983184 IBJ983176:IBJ983184 ILF983176:ILF983184 IVB983176:IVB983184 JEX983176:JEX983184 JOT983176:JOT983184 JYP983176:JYP983184 KIL983176:KIL983184 KSH983176:KSH983184 LCD983176:LCD983184 LLZ983176:LLZ983184 LVV983176:LVV983184 MFR983176:MFR983184 MPN983176:MPN983184 MZJ983176:MZJ983184 NJF983176:NJF983184 NTB983176:NTB983184 OCX983176:OCX983184 OMT983176:OMT983184 OWP983176:OWP983184 PGL983176:PGL983184 PQH983176:PQH983184 QAD983176:QAD983184 QJZ983176:QJZ983184 QTV983176:QTV983184 RDR983176:RDR983184 RNN983176:RNN983184 RXJ983176:RXJ983184 SHF983176:SHF983184 SRB983176:SRB983184 TAX983176:TAX983184 TKT983176:TKT983184 TUP983176:TUP983184 UEL983176:UEL983184 UOH983176:UOH983184 UYD983176:UYD983184 VHZ983176:VHZ983184 VRV983176:VRV983184 WBR983176:WBR983184 WLN983176:WLN983184 B63:B98" xr:uid="{00000000-0002-0000-0500-000000000000}"/>
    <dataValidation allowBlank="1" showInputMessage="1" showErrorMessage="1" prompt="definir la unidad de medida con la cual se asigna el valor unitario." sqref="WVL983176:WVL983184 IZ12:IZ60 SV12:SV60 ACR12:ACR60 AMN12:AMN60 AWJ12:AWJ60 BGF12:BGF60 BQB12:BQB60 BZX12:BZX60 CJT12:CJT60 CTP12:CTP60 DDL12:DDL60 DNH12:DNH60 DXD12:DXD60 EGZ12:EGZ60 EQV12:EQV60 FAR12:FAR60 FKN12:FKN60 FUJ12:FUJ60 GEF12:GEF60 GOB12:GOB60 GXX12:GXX60 HHT12:HHT60 HRP12:HRP60 IBL12:IBL60 ILH12:ILH60 IVD12:IVD60 JEZ12:JEZ60 JOV12:JOV60 JYR12:JYR60 KIN12:KIN60 KSJ12:KSJ60 LCF12:LCF60 LMB12:LMB60 LVX12:LVX60 MFT12:MFT60 MPP12:MPP60 MZL12:MZL60 NJH12:NJH60 NTD12:NTD60 OCZ12:OCZ60 OMV12:OMV60 OWR12:OWR60 PGN12:PGN60 PQJ12:PQJ60 QAF12:QAF60 QKB12:QKB60 QTX12:QTX60 RDT12:RDT60 RNP12:RNP60 RXL12:RXL60 SHH12:SHH60 SRD12:SRD60 TAZ12:TAZ60 TKV12:TKV60 TUR12:TUR60 UEN12:UEN60 UOJ12:UOJ60 UYF12:UYF60 VIB12:VIB60 VRX12:VRX60 WBT12:WBT60 WLP12:WLP60 WVL12:WVL60 D65662:D65670 IZ65661:IZ65669 SV65661:SV65669 ACR65661:ACR65669 AMN65661:AMN65669 AWJ65661:AWJ65669 BGF65661:BGF65669 BQB65661:BQB65669 BZX65661:BZX65669 CJT65661:CJT65669 CTP65661:CTP65669 DDL65661:DDL65669 DNH65661:DNH65669 DXD65661:DXD65669 EGZ65661:EGZ65669 EQV65661:EQV65669 FAR65661:FAR65669 FKN65661:FKN65669 FUJ65661:FUJ65669 GEF65661:GEF65669 GOB65661:GOB65669 GXX65661:GXX65669 HHT65661:HHT65669 HRP65661:HRP65669 IBL65661:IBL65669 ILH65661:ILH65669 IVD65661:IVD65669 JEZ65661:JEZ65669 JOV65661:JOV65669 JYR65661:JYR65669 KIN65661:KIN65669 KSJ65661:KSJ65669 LCF65661:LCF65669 LMB65661:LMB65669 LVX65661:LVX65669 MFT65661:MFT65669 MPP65661:MPP65669 MZL65661:MZL65669 NJH65661:NJH65669 NTD65661:NTD65669 OCZ65661:OCZ65669 OMV65661:OMV65669 OWR65661:OWR65669 PGN65661:PGN65669 PQJ65661:PQJ65669 QAF65661:QAF65669 QKB65661:QKB65669 QTX65661:QTX65669 RDT65661:RDT65669 RNP65661:RNP65669 RXL65661:RXL65669 SHH65661:SHH65669 SRD65661:SRD65669 TAZ65661:TAZ65669 TKV65661:TKV65669 TUR65661:TUR65669 UEN65661:UEN65669 UOJ65661:UOJ65669 UYF65661:UYF65669 VIB65661:VIB65669 VRX65661:VRX65669 WBT65661:WBT65669 WLP65661:WLP65669 WVL65661:WVL65669 D131198:D131206 IZ131197:IZ131205 SV131197:SV131205 ACR131197:ACR131205 AMN131197:AMN131205 AWJ131197:AWJ131205 BGF131197:BGF131205 BQB131197:BQB131205 BZX131197:BZX131205 CJT131197:CJT131205 CTP131197:CTP131205 DDL131197:DDL131205 DNH131197:DNH131205 DXD131197:DXD131205 EGZ131197:EGZ131205 EQV131197:EQV131205 FAR131197:FAR131205 FKN131197:FKN131205 FUJ131197:FUJ131205 GEF131197:GEF131205 GOB131197:GOB131205 GXX131197:GXX131205 HHT131197:HHT131205 HRP131197:HRP131205 IBL131197:IBL131205 ILH131197:ILH131205 IVD131197:IVD131205 JEZ131197:JEZ131205 JOV131197:JOV131205 JYR131197:JYR131205 KIN131197:KIN131205 KSJ131197:KSJ131205 LCF131197:LCF131205 LMB131197:LMB131205 LVX131197:LVX131205 MFT131197:MFT131205 MPP131197:MPP131205 MZL131197:MZL131205 NJH131197:NJH131205 NTD131197:NTD131205 OCZ131197:OCZ131205 OMV131197:OMV131205 OWR131197:OWR131205 PGN131197:PGN131205 PQJ131197:PQJ131205 QAF131197:QAF131205 QKB131197:QKB131205 QTX131197:QTX131205 RDT131197:RDT131205 RNP131197:RNP131205 RXL131197:RXL131205 SHH131197:SHH131205 SRD131197:SRD131205 TAZ131197:TAZ131205 TKV131197:TKV131205 TUR131197:TUR131205 UEN131197:UEN131205 UOJ131197:UOJ131205 UYF131197:UYF131205 VIB131197:VIB131205 VRX131197:VRX131205 WBT131197:WBT131205 WLP131197:WLP131205 WVL131197:WVL131205 D196734:D196742 IZ196733:IZ196741 SV196733:SV196741 ACR196733:ACR196741 AMN196733:AMN196741 AWJ196733:AWJ196741 BGF196733:BGF196741 BQB196733:BQB196741 BZX196733:BZX196741 CJT196733:CJT196741 CTP196733:CTP196741 DDL196733:DDL196741 DNH196733:DNH196741 DXD196733:DXD196741 EGZ196733:EGZ196741 EQV196733:EQV196741 FAR196733:FAR196741 FKN196733:FKN196741 FUJ196733:FUJ196741 GEF196733:GEF196741 GOB196733:GOB196741 GXX196733:GXX196741 HHT196733:HHT196741 HRP196733:HRP196741 IBL196733:IBL196741 ILH196733:ILH196741 IVD196733:IVD196741 JEZ196733:JEZ196741 JOV196733:JOV196741 JYR196733:JYR196741 KIN196733:KIN196741 KSJ196733:KSJ196741 LCF196733:LCF196741 LMB196733:LMB196741 LVX196733:LVX196741 MFT196733:MFT196741 MPP196733:MPP196741 MZL196733:MZL196741 NJH196733:NJH196741 NTD196733:NTD196741 OCZ196733:OCZ196741 OMV196733:OMV196741 OWR196733:OWR196741 PGN196733:PGN196741 PQJ196733:PQJ196741 QAF196733:QAF196741 QKB196733:QKB196741 QTX196733:QTX196741 RDT196733:RDT196741 RNP196733:RNP196741 RXL196733:RXL196741 SHH196733:SHH196741 SRD196733:SRD196741 TAZ196733:TAZ196741 TKV196733:TKV196741 TUR196733:TUR196741 UEN196733:UEN196741 UOJ196733:UOJ196741 UYF196733:UYF196741 VIB196733:VIB196741 VRX196733:VRX196741 WBT196733:WBT196741 WLP196733:WLP196741 WVL196733:WVL196741 D262270:D262278 IZ262269:IZ262277 SV262269:SV262277 ACR262269:ACR262277 AMN262269:AMN262277 AWJ262269:AWJ262277 BGF262269:BGF262277 BQB262269:BQB262277 BZX262269:BZX262277 CJT262269:CJT262277 CTP262269:CTP262277 DDL262269:DDL262277 DNH262269:DNH262277 DXD262269:DXD262277 EGZ262269:EGZ262277 EQV262269:EQV262277 FAR262269:FAR262277 FKN262269:FKN262277 FUJ262269:FUJ262277 GEF262269:GEF262277 GOB262269:GOB262277 GXX262269:GXX262277 HHT262269:HHT262277 HRP262269:HRP262277 IBL262269:IBL262277 ILH262269:ILH262277 IVD262269:IVD262277 JEZ262269:JEZ262277 JOV262269:JOV262277 JYR262269:JYR262277 KIN262269:KIN262277 KSJ262269:KSJ262277 LCF262269:LCF262277 LMB262269:LMB262277 LVX262269:LVX262277 MFT262269:MFT262277 MPP262269:MPP262277 MZL262269:MZL262277 NJH262269:NJH262277 NTD262269:NTD262277 OCZ262269:OCZ262277 OMV262269:OMV262277 OWR262269:OWR262277 PGN262269:PGN262277 PQJ262269:PQJ262277 QAF262269:QAF262277 QKB262269:QKB262277 QTX262269:QTX262277 RDT262269:RDT262277 RNP262269:RNP262277 RXL262269:RXL262277 SHH262269:SHH262277 SRD262269:SRD262277 TAZ262269:TAZ262277 TKV262269:TKV262277 TUR262269:TUR262277 UEN262269:UEN262277 UOJ262269:UOJ262277 UYF262269:UYF262277 VIB262269:VIB262277 VRX262269:VRX262277 WBT262269:WBT262277 WLP262269:WLP262277 WVL262269:WVL262277 D327806:D327814 IZ327805:IZ327813 SV327805:SV327813 ACR327805:ACR327813 AMN327805:AMN327813 AWJ327805:AWJ327813 BGF327805:BGF327813 BQB327805:BQB327813 BZX327805:BZX327813 CJT327805:CJT327813 CTP327805:CTP327813 DDL327805:DDL327813 DNH327805:DNH327813 DXD327805:DXD327813 EGZ327805:EGZ327813 EQV327805:EQV327813 FAR327805:FAR327813 FKN327805:FKN327813 FUJ327805:FUJ327813 GEF327805:GEF327813 GOB327805:GOB327813 GXX327805:GXX327813 HHT327805:HHT327813 HRP327805:HRP327813 IBL327805:IBL327813 ILH327805:ILH327813 IVD327805:IVD327813 JEZ327805:JEZ327813 JOV327805:JOV327813 JYR327805:JYR327813 KIN327805:KIN327813 KSJ327805:KSJ327813 LCF327805:LCF327813 LMB327805:LMB327813 LVX327805:LVX327813 MFT327805:MFT327813 MPP327805:MPP327813 MZL327805:MZL327813 NJH327805:NJH327813 NTD327805:NTD327813 OCZ327805:OCZ327813 OMV327805:OMV327813 OWR327805:OWR327813 PGN327805:PGN327813 PQJ327805:PQJ327813 QAF327805:QAF327813 QKB327805:QKB327813 QTX327805:QTX327813 RDT327805:RDT327813 RNP327805:RNP327813 RXL327805:RXL327813 SHH327805:SHH327813 SRD327805:SRD327813 TAZ327805:TAZ327813 TKV327805:TKV327813 TUR327805:TUR327813 UEN327805:UEN327813 UOJ327805:UOJ327813 UYF327805:UYF327813 VIB327805:VIB327813 VRX327805:VRX327813 WBT327805:WBT327813 WLP327805:WLP327813 WVL327805:WVL327813 D393342:D393350 IZ393341:IZ393349 SV393341:SV393349 ACR393341:ACR393349 AMN393341:AMN393349 AWJ393341:AWJ393349 BGF393341:BGF393349 BQB393341:BQB393349 BZX393341:BZX393349 CJT393341:CJT393349 CTP393341:CTP393349 DDL393341:DDL393349 DNH393341:DNH393349 DXD393341:DXD393349 EGZ393341:EGZ393349 EQV393341:EQV393349 FAR393341:FAR393349 FKN393341:FKN393349 FUJ393341:FUJ393349 GEF393341:GEF393349 GOB393341:GOB393349 GXX393341:GXX393349 HHT393341:HHT393349 HRP393341:HRP393349 IBL393341:IBL393349 ILH393341:ILH393349 IVD393341:IVD393349 JEZ393341:JEZ393349 JOV393341:JOV393349 JYR393341:JYR393349 KIN393341:KIN393349 KSJ393341:KSJ393349 LCF393341:LCF393349 LMB393341:LMB393349 LVX393341:LVX393349 MFT393341:MFT393349 MPP393341:MPP393349 MZL393341:MZL393349 NJH393341:NJH393349 NTD393341:NTD393349 OCZ393341:OCZ393349 OMV393341:OMV393349 OWR393341:OWR393349 PGN393341:PGN393349 PQJ393341:PQJ393349 QAF393341:QAF393349 QKB393341:QKB393349 QTX393341:QTX393349 RDT393341:RDT393349 RNP393341:RNP393349 RXL393341:RXL393349 SHH393341:SHH393349 SRD393341:SRD393349 TAZ393341:TAZ393349 TKV393341:TKV393349 TUR393341:TUR393349 UEN393341:UEN393349 UOJ393341:UOJ393349 UYF393341:UYF393349 VIB393341:VIB393349 VRX393341:VRX393349 WBT393341:WBT393349 WLP393341:WLP393349 WVL393341:WVL393349 D458878:D458886 IZ458877:IZ458885 SV458877:SV458885 ACR458877:ACR458885 AMN458877:AMN458885 AWJ458877:AWJ458885 BGF458877:BGF458885 BQB458877:BQB458885 BZX458877:BZX458885 CJT458877:CJT458885 CTP458877:CTP458885 DDL458877:DDL458885 DNH458877:DNH458885 DXD458877:DXD458885 EGZ458877:EGZ458885 EQV458877:EQV458885 FAR458877:FAR458885 FKN458877:FKN458885 FUJ458877:FUJ458885 GEF458877:GEF458885 GOB458877:GOB458885 GXX458877:GXX458885 HHT458877:HHT458885 HRP458877:HRP458885 IBL458877:IBL458885 ILH458877:ILH458885 IVD458877:IVD458885 JEZ458877:JEZ458885 JOV458877:JOV458885 JYR458877:JYR458885 KIN458877:KIN458885 KSJ458877:KSJ458885 LCF458877:LCF458885 LMB458877:LMB458885 LVX458877:LVX458885 MFT458877:MFT458885 MPP458877:MPP458885 MZL458877:MZL458885 NJH458877:NJH458885 NTD458877:NTD458885 OCZ458877:OCZ458885 OMV458877:OMV458885 OWR458877:OWR458885 PGN458877:PGN458885 PQJ458877:PQJ458885 QAF458877:QAF458885 QKB458877:QKB458885 QTX458877:QTX458885 RDT458877:RDT458885 RNP458877:RNP458885 RXL458877:RXL458885 SHH458877:SHH458885 SRD458877:SRD458885 TAZ458877:TAZ458885 TKV458877:TKV458885 TUR458877:TUR458885 UEN458877:UEN458885 UOJ458877:UOJ458885 UYF458877:UYF458885 VIB458877:VIB458885 VRX458877:VRX458885 WBT458877:WBT458885 WLP458877:WLP458885 WVL458877:WVL458885 D524414:D524422 IZ524413:IZ524421 SV524413:SV524421 ACR524413:ACR524421 AMN524413:AMN524421 AWJ524413:AWJ524421 BGF524413:BGF524421 BQB524413:BQB524421 BZX524413:BZX524421 CJT524413:CJT524421 CTP524413:CTP524421 DDL524413:DDL524421 DNH524413:DNH524421 DXD524413:DXD524421 EGZ524413:EGZ524421 EQV524413:EQV524421 FAR524413:FAR524421 FKN524413:FKN524421 FUJ524413:FUJ524421 GEF524413:GEF524421 GOB524413:GOB524421 GXX524413:GXX524421 HHT524413:HHT524421 HRP524413:HRP524421 IBL524413:IBL524421 ILH524413:ILH524421 IVD524413:IVD524421 JEZ524413:JEZ524421 JOV524413:JOV524421 JYR524413:JYR524421 KIN524413:KIN524421 KSJ524413:KSJ524421 LCF524413:LCF524421 LMB524413:LMB524421 LVX524413:LVX524421 MFT524413:MFT524421 MPP524413:MPP524421 MZL524413:MZL524421 NJH524413:NJH524421 NTD524413:NTD524421 OCZ524413:OCZ524421 OMV524413:OMV524421 OWR524413:OWR524421 PGN524413:PGN524421 PQJ524413:PQJ524421 QAF524413:QAF524421 QKB524413:QKB524421 QTX524413:QTX524421 RDT524413:RDT524421 RNP524413:RNP524421 RXL524413:RXL524421 SHH524413:SHH524421 SRD524413:SRD524421 TAZ524413:TAZ524421 TKV524413:TKV524421 TUR524413:TUR524421 UEN524413:UEN524421 UOJ524413:UOJ524421 UYF524413:UYF524421 VIB524413:VIB524421 VRX524413:VRX524421 WBT524413:WBT524421 WLP524413:WLP524421 WVL524413:WVL524421 D589950:D589958 IZ589949:IZ589957 SV589949:SV589957 ACR589949:ACR589957 AMN589949:AMN589957 AWJ589949:AWJ589957 BGF589949:BGF589957 BQB589949:BQB589957 BZX589949:BZX589957 CJT589949:CJT589957 CTP589949:CTP589957 DDL589949:DDL589957 DNH589949:DNH589957 DXD589949:DXD589957 EGZ589949:EGZ589957 EQV589949:EQV589957 FAR589949:FAR589957 FKN589949:FKN589957 FUJ589949:FUJ589957 GEF589949:GEF589957 GOB589949:GOB589957 GXX589949:GXX589957 HHT589949:HHT589957 HRP589949:HRP589957 IBL589949:IBL589957 ILH589949:ILH589957 IVD589949:IVD589957 JEZ589949:JEZ589957 JOV589949:JOV589957 JYR589949:JYR589957 KIN589949:KIN589957 KSJ589949:KSJ589957 LCF589949:LCF589957 LMB589949:LMB589957 LVX589949:LVX589957 MFT589949:MFT589957 MPP589949:MPP589957 MZL589949:MZL589957 NJH589949:NJH589957 NTD589949:NTD589957 OCZ589949:OCZ589957 OMV589949:OMV589957 OWR589949:OWR589957 PGN589949:PGN589957 PQJ589949:PQJ589957 QAF589949:QAF589957 QKB589949:QKB589957 QTX589949:QTX589957 RDT589949:RDT589957 RNP589949:RNP589957 RXL589949:RXL589957 SHH589949:SHH589957 SRD589949:SRD589957 TAZ589949:TAZ589957 TKV589949:TKV589957 TUR589949:TUR589957 UEN589949:UEN589957 UOJ589949:UOJ589957 UYF589949:UYF589957 VIB589949:VIB589957 VRX589949:VRX589957 WBT589949:WBT589957 WLP589949:WLP589957 WVL589949:WVL589957 D655486:D655494 IZ655485:IZ655493 SV655485:SV655493 ACR655485:ACR655493 AMN655485:AMN655493 AWJ655485:AWJ655493 BGF655485:BGF655493 BQB655485:BQB655493 BZX655485:BZX655493 CJT655485:CJT655493 CTP655485:CTP655493 DDL655485:DDL655493 DNH655485:DNH655493 DXD655485:DXD655493 EGZ655485:EGZ655493 EQV655485:EQV655493 FAR655485:FAR655493 FKN655485:FKN655493 FUJ655485:FUJ655493 GEF655485:GEF655493 GOB655485:GOB655493 GXX655485:GXX655493 HHT655485:HHT655493 HRP655485:HRP655493 IBL655485:IBL655493 ILH655485:ILH655493 IVD655485:IVD655493 JEZ655485:JEZ655493 JOV655485:JOV655493 JYR655485:JYR655493 KIN655485:KIN655493 KSJ655485:KSJ655493 LCF655485:LCF655493 LMB655485:LMB655493 LVX655485:LVX655493 MFT655485:MFT655493 MPP655485:MPP655493 MZL655485:MZL655493 NJH655485:NJH655493 NTD655485:NTD655493 OCZ655485:OCZ655493 OMV655485:OMV655493 OWR655485:OWR655493 PGN655485:PGN655493 PQJ655485:PQJ655493 QAF655485:QAF655493 QKB655485:QKB655493 QTX655485:QTX655493 RDT655485:RDT655493 RNP655485:RNP655493 RXL655485:RXL655493 SHH655485:SHH655493 SRD655485:SRD655493 TAZ655485:TAZ655493 TKV655485:TKV655493 TUR655485:TUR655493 UEN655485:UEN655493 UOJ655485:UOJ655493 UYF655485:UYF655493 VIB655485:VIB655493 VRX655485:VRX655493 WBT655485:WBT655493 WLP655485:WLP655493 WVL655485:WVL655493 D721022:D721030 IZ721021:IZ721029 SV721021:SV721029 ACR721021:ACR721029 AMN721021:AMN721029 AWJ721021:AWJ721029 BGF721021:BGF721029 BQB721021:BQB721029 BZX721021:BZX721029 CJT721021:CJT721029 CTP721021:CTP721029 DDL721021:DDL721029 DNH721021:DNH721029 DXD721021:DXD721029 EGZ721021:EGZ721029 EQV721021:EQV721029 FAR721021:FAR721029 FKN721021:FKN721029 FUJ721021:FUJ721029 GEF721021:GEF721029 GOB721021:GOB721029 GXX721021:GXX721029 HHT721021:HHT721029 HRP721021:HRP721029 IBL721021:IBL721029 ILH721021:ILH721029 IVD721021:IVD721029 JEZ721021:JEZ721029 JOV721021:JOV721029 JYR721021:JYR721029 KIN721021:KIN721029 KSJ721021:KSJ721029 LCF721021:LCF721029 LMB721021:LMB721029 LVX721021:LVX721029 MFT721021:MFT721029 MPP721021:MPP721029 MZL721021:MZL721029 NJH721021:NJH721029 NTD721021:NTD721029 OCZ721021:OCZ721029 OMV721021:OMV721029 OWR721021:OWR721029 PGN721021:PGN721029 PQJ721021:PQJ721029 QAF721021:QAF721029 QKB721021:QKB721029 QTX721021:QTX721029 RDT721021:RDT721029 RNP721021:RNP721029 RXL721021:RXL721029 SHH721021:SHH721029 SRD721021:SRD721029 TAZ721021:TAZ721029 TKV721021:TKV721029 TUR721021:TUR721029 UEN721021:UEN721029 UOJ721021:UOJ721029 UYF721021:UYF721029 VIB721021:VIB721029 VRX721021:VRX721029 WBT721021:WBT721029 WLP721021:WLP721029 WVL721021:WVL721029 D786558:D786566 IZ786557:IZ786565 SV786557:SV786565 ACR786557:ACR786565 AMN786557:AMN786565 AWJ786557:AWJ786565 BGF786557:BGF786565 BQB786557:BQB786565 BZX786557:BZX786565 CJT786557:CJT786565 CTP786557:CTP786565 DDL786557:DDL786565 DNH786557:DNH786565 DXD786557:DXD786565 EGZ786557:EGZ786565 EQV786557:EQV786565 FAR786557:FAR786565 FKN786557:FKN786565 FUJ786557:FUJ786565 GEF786557:GEF786565 GOB786557:GOB786565 GXX786557:GXX786565 HHT786557:HHT786565 HRP786557:HRP786565 IBL786557:IBL786565 ILH786557:ILH786565 IVD786557:IVD786565 JEZ786557:JEZ786565 JOV786557:JOV786565 JYR786557:JYR786565 KIN786557:KIN786565 KSJ786557:KSJ786565 LCF786557:LCF786565 LMB786557:LMB786565 LVX786557:LVX786565 MFT786557:MFT786565 MPP786557:MPP786565 MZL786557:MZL786565 NJH786557:NJH786565 NTD786557:NTD786565 OCZ786557:OCZ786565 OMV786557:OMV786565 OWR786557:OWR786565 PGN786557:PGN786565 PQJ786557:PQJ786565 QAF786557:QAF786565 QKB786557:QKB786565 QTX786557:QTX786565 RDT786557:RDT786565 RNP786557:RNP786565 RXL786557:RXL786565 SHH786557:SHH786565 SRD786557:SRD786565 TAZ786557:TAZ786565 TKV786557:TKV786565 TUR786557:TUR786565 UEN786557:UEN786565 UOJ786557:UOJ786565 UYF786557:UYF786565 VIB786557:VIB786565 VRX786557:VRX786565 WBT786557:WBT786565 WLP786557:WLP786565 WVL786557:WVL786565 D852094:D852102 IZ852093:IZ852101 SV852093:SV852101 ACR852093:ACR852101 AMN852093:AMN852101 AWJ852093:AWJ852101 BGF852093:BGF852101 BQB852093:BQB852101 BZX852093:BZX852101 CJT852093:CJT852101 CTP852093:CTP852101 DDL852093:DDL852101 DNH852093:DNH852101 DXD852093:DXD852101 EGZ852093:EGZ852101 EQV852093:EQV852101 FAR852093:FAR852101 FKN852093:FKN852101 FUJ852093:FUJ852101 GEF852093:GEF852101 GOB852093:GOB852101 GXX852093:GXX852101 HHT852093:HHT852101 HRP852093:HRP852101 IBL852093:IBL852101 ILH852093:ILH852101 IVD852093:IVD852101 JEZ852093:JEZ852101 JOV852093:JOV852101 JYR852093:JYR852101 KIN852093:KIN852101 KSJ852093:KSJ852101 LCF852093:LCF852101 LMB852093:LMB852101 LVX852093:LVX852101 MFT852093:MFT852101 MPP852093:MPP852101 MZL852093:MZL852101 NJH852093:NJH852101 NTD852093:NTD852101 OCZ852093:OCZ852101 OMV852093:OMV852101 OWR852093:OWR852101 PGN852093:PGN852101 PQJ852093:PQJ852101 QAF852093:QAF852101 QKB852093:QKB852101 QTX852093:QTX852101 RDT852093:RDT852101 RNP852093:RNP852101 RXL852093:RXL852101 SHH852093:SHH852101 SRD852093:SRD852101 TAZ852093:TAZ852101 TKV852093:TKV852101 TUR852093:TUR852101 UEN852093:UEN852101 UOJ852093:UOJ852101 UYF852093:UYF852101 VIB852093:VIB852101 VRX852093:VRX852101 WBT852093:WBT852101 WLP852093:WLP852101 WVL852093:WVL852101 D917630:D917638 IZ917629:IZ917637 SV917629:SV917637 ACR917629:ACR917637 AMN917629:AMN917637 AWJ917629:AWJ917637 BGF917629:BGF917637 BQB917629:BQB917637 BZX917629:BZX917637 CJT917629:CJT917637 CTP917629:CTP917637 DDL917629:DDL917637 DNH917629:DNH917637 DXD917629:DXD917637 EGZ917629:EGZ917637 EQV917629:EQV917637 FAR917629:FAR917637 FKN917629:FKN917637 FUJ917629:FUJ917637 GEF917629:GEF917637 GOB917629:GOB917637 GXX917629:GXX917637 HHT917629:HHT917637 HRP917629:HRP917637 IBL917629:IBL917637 ILH917629:ILH917637 IVD917629:IVD917637 JEZ917629:JEZ917637 JOV917629:JOV917637 JYR917629:JYR917637 KIN917629:KIN917637 KSJ917629:KSJ917637 LCF917629:LCF917637 LMB917629:LMB917637 LVX917629:LVX917637 MFT917629:MFT917637 MPP917629:MPP917637 MZL917629:MZL917637 NJH917629:NJH917637 NTD917629:NTD917637 OCZ917629:OCZ917637 OMV917629:OMV917637 OWR917629:OWR917637 PGN917629:PGN917637 PQJ917629:PQJ917637 QAF917629:QAF917637 QKB917629:QKB917637 QTX917629:QTX917637 RDT917629:RDT917637 RNP917629:RNP917637 RXL917629:RXL917637 SHH917629:SHH917637 SRD917629:SRD917637 TAZ917629:TAZ917637 TKV917629:TKV917637 TUR917629:TUR917637 UEN917629:UEN917637 UOJ917629:UOJ917637 UYF917629:UYF917637 VIB917629:VIB917637 VRX917629:VRX917637 WBT917629:WBT917637 WLP917629:WLP917637 WVL917629:WVL917637 D983166:D983174 IZ983165:IZ983173 SV983165:SV983173 ACR983165:ACR983173 AMN983165:AMN983173 AWJ983165:AWJ983173 BGF983165:BGF983173 BQB983165:BQB983173 BZX983165:BZX983173 CJT983165:CJT983173 CTP983165:CTP983173 DDL983165:DDL983173 DNH983165:DNH983173 DXD983165:DXD983173 EGZ983165:EGZ983173 EQV983165:EQV983173 FAR983165:FAR983173 FKN983165:FKN983173 FUJ983165:FUJ983173 GEF983165:GEF983173 GOB983165:GOB983173 GXX983165:GXX983173 HHT983165:HHT983173 HRP983165:HRP983173 IBL983165:IBL983173 ILH983165:ILH983173 IVD983165:IVD983173 JEZ983165:JEZ983173 JOV983165:JOV983173 JYR983165:JYR983173 KIN983165:KIN983173 KSJ983165:KSJ983173 LCF983165:LCF983173 LMB983165:LMB983173 LVX983165:LVX983173 MFT983165:MFT983173 MPP983165:MPP983173 MZL983165:MZL983173 NJH983165:NJH983173 NTD983165:NTD983173 OCZ983165:OCZ983173 OMV983165:OMV983173 OWR983165:OWR983173 PGN983165:PGN983173 PQJ983165:PQJ983173 QAF983165:QAF983173 QKB983165:QKB983173 QTX983165:QTX983173 RDT983165:RDT983173 RNP983165:RNP983173 RXL983165:RXL983173 SHH983165:SHH983173 SRD983165:SRD983173 TAZ983165:TAZ983173 TKV983165:TKV983173 TUR983165:TUR983173 UEN983165:UEN983173 UOJ983165:UOJ983173 UYF983165:UYF983173 VIB983165:VIB983173 VRX983165:VRX983173 WBT983165:WBT983173 WLP983165:WLP983173 WVL983165:WVL983173 D12:D60 IZ63:IZ98 SV63:SV98 ACR63:ACR98 AMN63:AMN98 AWJ63:AWJ98 BGF63:BGF98 BQB63:BQB98 BZX63:BZX98 CJT63:CJT98 CTP63:CTP98 DDL63:DDL98 DNH63:DNH98 DXD63:DXD98 EGZ63:EGZ98 EQV63:EQV98 FAR63:FAR98 FKN63:FKN98 FUJ63:FUJ98 GEF63:GEF98 GOB63:GOB98 GXX63:GXX98 HHT63:HHT98 HRP63:HRP98 IBL63:IBL98 ILH63:ILH98 IVD63:IVD98 JEZ63:JEZ98 JOV63:JOV98 JYR63:JYR98 KIN63:KIN98 KSJ63:KSJ98 LCF63:LCF98 LMB63:LMB98 LVX63:LVX98 MFT63:MFT98 MPP63:MPP98 MZL63:MZL98 NJH63:NJH98 NTD63:NTD98 OCZ63:OCZ98 OMV63:OMV98 OWR63:OWR98 PGN63:PGN98 PQJ63:PQJ98 QAF63:QAF98 QKB63:QKB98 QTX63:QTX98 RDT63:RDT98 RNP63:RNP98 RXL63:RXL98 SHH63:SHH98 SRD63:SRD98 TAZ63:TAZ98 TKV63:TKV98 TUR63:TUR98 UEN63:UEN98 UOJ63:UOJ98 UYF63:UYF98 VIB63:VIB98 VRX63:VRX98 WBT63:WBT98 WLP63:WLP98 WVL63:WVL98 D65673:D65681 IZ65672:IZ65680 SV65672:SV65680 ACR65672:ACR65680 AMN65672:AMN65680 AWJ65672:AWJ65680 BGF65672:BGF65680 BQB65672:BQB65680 BZX65672:BZX65680 CJT65672:CJT65680 CTP65672:CTP65680 DDL65672:DDL65680 DNH65672:DNH65680 DXD65672:DXD65680 EGZ65672:EGZ65680 EQV65672:EQV65680 FAR65672:FAR65680 FKN65672:FKN65680 FUJ65672:FUJ65680 GEF65672:GEF65680 GOB65672:GOB65680 GXX65672:GXX65680 HHT65672:HHT65680 HRP65672:HRP65680 IBL65672:IBL65680 ILH65672:ILH65680 IVD65672:IVD65680 JEZ65672:JEZ65680 JOV65672:JOV65680 JYR65672:JYR65680 KIN65672:KIN65680 KSJ65672:KSJ65680 LCF65672:LCF65680 LMB65672:LMB65680 LVX65672:LVX65680 MFT65672:MFT65680 MPP65672:MPP65680 MZL65672:MZL65680 NJH65672:NJH65680 NTD65672:NTD65680 OCZ65672:OCZ65680 OMV65672:OMV65680 OWR65672:OWR65680 PGN65672:PGN65680 PQJ65672:PQJ65680 QAF65672:QAF65680 QKB65672:QKB65680 QTX65672:QTX65680 RDT65672:RDT65680 RNP65672:RNP65680 RXL65672:RXL65680 SHH65672:SHH65680 SRD65672:SRD65680 TAZ65672:TAZ65680 TKV65672:TKV65680 TUR65672:TUR65680 UEN65672:UEN65680 UOJ65672:UOJ65680 UYF65672:UYF65680 VIB65672:VIB65680 VRX65672:VRX65680 WBT65672:WBT65680 WLP65672:WLP65680 WVL65672:WVL65680 D131209:D131217 IZ131208:IZ131216 SV131208:SV131216 ACR131208:ACR131216 AMN131208:AMN131216 AWJ131208:AWJ131216 BGF131208:BGF131216 BQB131208:BQB131216 BZX131208:BZX131216 CJT131208:CJT131216 CTP131208:CTP131216 DDL131208:DDL131216 DNH131208:DNH131216 DXD131208:DXD131216 EGZ131208:EGZ131216 EQV131208:EQV131216 FAR131208:FAR131216 FKN131208:FKN131216 FUJ131208:FUJ131216 GEF131208:GEF131216 GOB131208:GOB131216 GXX131208:GXX131216 HHT131208:HHT131216 HRP131208:HRP131216 IBL131208:IBL131216 ILH131208:ILH131216 IVD131208:IVD131216 JEZ131208:JEZ131216 JOV131208:JOV131216 JYR131208:JYR131216 KIN131208:KIN131216 KSJ131208:KSJ131216 LCF131208:LCF131216 LMB131208:LMB131216 LVX131208:LVX131216 MFT131208:MFT131216 MPP131208:MPP131216 MZL131208:MZL131216 NJH131208:NJH131216 NTD131208:NTD131216 OCZ131208:OCZ131216 OMV131208:OMV131216 OWR131208:OWR131216 PGN131208:PGN131216 PQJ131208:PQJ131216 QAF131208:QAF131216 QKB131208:QKB131216 QTX131208:QTX131216 RDT131208:RDT131216 RNP131208:RNP131216 RXL131208:RXL131216 SHH131208:SHH131216 SRD131208:SRD131216 TAZ131208:TAZ131216 TKV131208:TKV131216 TUR131208:TUR131216 UEN131208:UEN131216 UOJ131208:UOJ131216 UYF131208:UYF131216 VIB131208:VIB131216 VRX131208:VRX131216 WBT131208:WBT131216 WLP131208:WLP131216 WVL131208:WVL131216 D196745:D196753 IZ196744:IZ196752 SV196744:SV196752 ACR196744:ACR196752 AMN196744:AMN196752 AWJ196744:AWJ196752 BGF196744:BGF196752 BQB196744:BQB196752 BZX196744:BZX196752 CJT196744:CJT196752 CTP196744:CTP196752 DDL196744:DDL196752 DNH196744:DNH196752 DXD196744:DXD196752 EGZ196744:EGZ196752 EQV196744:EQV196752 FAR196744:FAR196752 FKN196744:FKN196752 FUJ196744:FUJ196752 GEF196744:GEF196752 GOB196744:GOB196752 GXX196744:GXX196752 HHT196744:HHT196752 HRP196744:HRP196752 IBL196744:IBL196752 ILH196744:ILH196752 IVD196744:IVD196752 JEZ196744:JEZ196752 JOV196744:JOV196752 JYR196744:JYR196752 KIN196744:KIN196752 KSJ196744:KSJ196752 LCF196744:LCF196752 LMB196744:LMB196752 LVX196744:LVX196752 MFT196744:MFT196752 MPP196744:MPP196752 MZL196744:MZL196752 NJH196744:NJH196752 NTD196744:NTD196752 OCZ196744:OCZ196752 OMV196744:OMV196752 OWR196744:OWR196752 PGN196744:PGN196752 PQJ196744:PQJ196752 QAF196744:QAF196752 QKB196744:QKB196752 QTX196744:QTX196752 RDT196744:RDT196752 RNP196744:RNP196752 RXL196744:RXL196752 SHH196744:SHH196752 SRD196744:SRD196752 TAZ196744:TAZ196752 TKV196744:TKV196752 TUR196744:TUR196752 UEN196744:UEN196752 UOJ196744:UOJ196752 UYF196744:UYF196752 VIB196744:VIB196752 VRX196744:VRX196752 WBT196744:WBT196752 WLP196744:WLP196752 WVL196744:WVL196752 D262281:D262289 IZ262280:IZ262288 SV262280:SV262288 ACR262280:ACR262288 AMN262280:AMN262288 AWJ262280:AWJ262288 BGF262280:BGF262288 BQB262280:BQB262288 BZX262280:BZX262288 CJT262280:CJT262288 CTP262280:CTP262288 DDL262280:DDL262288 DNH262280:DNH262288 DXD262280:DXD262288 EGZ262280:EGZ262288 EQV262280:EQV262288 FAR262280:FAR262288 FKN262280:FKN262288 FUJ262280:FUJ262288 GEF262280:GEF262288 GOB262280:GOB262288 GXX262280:GXX262288 HHT262280:HHT262288 HRP262280:HRP262288 IBL262280:IBL262288 ILH262280:ILH262288 IVD262280:IVD262288 JEZ262280:JEZ262288 JOV262280:JOV262288 JYR262280:JYR262288 KIN262280:KIN262288 KSJ262280:KSJ262288 LCF262280:LCF262288 LMB262280:LMB262288 LVX262280:LVX262288 MFT262280:MFT262288 MPP262280:MPP262288 MZL262280:MZL262288 NJH262280:NJH262288 NTD262280:NTD262288 OCZ262280:OCZ262288 OMV262280:OMV262288 OWR262280:OWR262288 PGN262280:PGN262288 PQJ262280:PQJ262288 QAF262280:QAF262288 QKB262280:QKB262288 QTX262280:QTX262288 RDT262280:RDT262288 RNP262280:RNP262288 RXL262280:RXL262288 SHH262280:SHH262288 SRD262280:SRD262288 TAZ262280:TAZ262288 TKV262280:TKV262288 TUR262280:TUR262288 UEN262280:UEN262288 UOJ262280:UOJ262288 UYF262280:UYF262288 VIB262280:VIB262288 VRX262280:VRX262288 WBT262280:WBT262288 WLP262280:WLP262288 WVL262280:WVL262288 D327817:D327825 IZ327816:IZ327824 SV327816:SV327824 ACR327816:ACR327824 AMN327816:AMN327824 AWJ327816:AWJ327824 BGF327816:BGF327824 BQB327816:BQB327824 BZX327816:BZX327824 CJT327816:CJT327824 CTP327816:CTP327824 DDL327816:DDL327824 DNH327816:DNH327824 DXD327816:DXD327824 EGZ327816:EGZ327824 EQV327816:EQV327824 FAR327816:FAR327824 FKN327816:FKN327824 FUJ327816:FUJ327824 GEF327816:GEF327824 GOB327816:GOB327824 GXX327816:GXX327824 HHT327816:HHT327824 HRP327816:HRP327824 IBL327816:IBL327824 ILH327816:ILH327824 IVD327816:IVD327824 JEZ327816:JEZ327824 JOV327816:JOV327824 JYR327816:JYR327824 KIN327816:KIN327824 KSJ327816:KSJ327824 LCF327816:LCF327824 LMB327816:LMB327824 LVX327816:LVX327824 MFT327816:MFT327824 MPP327816:MPP327824 MZL327816:MZL327824 NJH327816:NJH327824 NTD327816:NTD327824 OCZ327816:OCZ327824 OMV327816:OMV327824 OWR327816:OWR327824 PGN327816:PGN327824 PQJ327816:PQJ327824 QAF327816:QAF327824 QKB327816:QKB327824 QTX327816:QTX327824 RDT327816:RDT327824 RNP327816:RNP327824 RXL327816:RXL327824 SHH327816:SHH327824 SRD327816:SRD327824 TAZ327816:TAZ327824 TKV327816:TKV327824 TUR327816:TUR327824 UEN327816:UEN327824 UOJ327816:UOJ327824 UYF327816:UYF327824 VIB327816:VIB327824 VRX327816:VRX327824 WBT327816:WBT327824 WLP327816:WLP327824 WVL327816:WVL327824 D393353:D393361 IZ393352:IZ393360 SV393352:SV393360 ACR393352:ACR393360 AMN393352:AMN393360 AWJ393352:AWJ393360 BGF393352:BGF393360 BQB393352:BQB393360 BZX393352:BZX393360 CJT393352:CJT393360 CTP393352:CTP393360 DDL393352:DDL393360 DNH393352:DNH393360 DXD393352:DXD393360 EGZ393352:EGZ393360 EQV393352:EQV393360 FAR393352:FAR393360 FKN393352:FKN393360 FUJ393352:FUJ393360 GEF393352:GEF393360 GOB393352:GOB393360 GXX393352:GXX393360 HHT393352:HHT393360 HRP393352:HRP393360 IBL393352:IBL393360 ILH393352:ILH393360 IVD393352:IVD393360 JEZ393352:JEZ393360 JOV393352:JOV393360 JYR393352:JYR393360 KIN393352:KIN393360 KSJ393352:KSJ393360 LCF393352:LCF393360 LMB393352:LMB393360 LVX393352:LVX393360 MFT393352:MFT393360 MPP393352:MPP393360 MZL393352:MZL393360 NJH393352:NJH393360 NTD393352:NTD393360 OCZ393352:OCZ393360 OMV393352:OMV393360 OWR393352:OWR393360 PGN393352:PGN393360 PQJ393352:PQJ393360 QAF393352:QAF393360 QKB393352:QKB393360 QTX393352:QTX393360 RDT393352:RDT393360 RNP393352:RNP393360 RXL393352:RXL393360 SHH393352:SHH393360 SRD393352:SRD393360 TAZ393352:TAZ393360 TKV393352:TKV393360 TUR393352:TUR393360 UEN393352:UEN393360 UOJ393352:UOJ393360 UYF393352:UYF393360 VIB393352:VIB393360 VRX393352:VRX393360 WBT393352:WBT393360 WLP393352:WLP393360 WVL393352:WVL393360 D458889:D458897 IZ458888:IZ458896 SV458888:SV458896 ACR458888:ACR458896 AMN458888:AMN458896 AWJ458888:AWJ458896 BGF458888:BGF458896 BQB458888:BQB458896 BZX458888:BZX458896 CJT458888:CJT458896 CTP458888:CTP458896 DDL458888:DDL458896 DNH458888:DNH458896 DXD458888:DXD458896 EGZ458888:EGZ458896 EQV458888:EQV458896 FAR458888:FAR458896 FKN458888:FKN458896 FUJ458888:FUJ458896 GEF458888:GEF458896 GOB458888:GOB458896 GXX458888:GXX458896 HHT458888:HHT458896 HRP458888:HRP458896 IBL458888:IBL458896 ILH458888:ILH458896 IVD458888:IVD458896 JEZ458888:JEZ458896 JOV458888:JOV458896 JYR458888:JYR458896 KIN458888:KIN458896 KSJ458888:KSJ458896 LCF458888:LCF458896 LMB458888:LMB458896 LVX458888:LVX458896 MFT458888:MFT458896 MPP458888:MPP458896 MZL458888:MZL458896 NJH458888:NJH458896 NTD458888:NTD458896 OCZ458888:OCZ458896 OMV458888:OMV458896 OWR458888:OWR458896 PGN458888:PGN458896 PQJ458888:PQJ458896 QAF458888:QAF458896 QKB458888:QKB458896 QTX458888:QTX458896 RDT458888:RDT458896 RNP458888:RNP458896 RXL458888:RXL458896 SHH458888:SHH458896 SRD458888:SRD458896 TAZ458888:TAZ458896 TKV458888:TKV458896 TUR458888:TUR458896 UEN458888:UEN458896 UOJ458888:UOJ458896 UYF458888:UYF458896 VIB458888:VIB458896 VRX458888:VRX458896 WBT458888:WBT458896 WLP458888:WLP458896 WVL458888:WVL458896 D524425:D524433 IZ524424:IZ524432 SV524424:SV524432 ACR524424:ACR524432 AMN524424:AMN524432 AWJ524424:AWJ524432 BGF524424:BGF524432 BQB524424:BQB524432 BZX524424:BZX524432 CJT524424:CJT524432 CTP524424:CTP524432 DDL524424:DDL524432 DNH524424:DNH524432 DXD524424:DXD524432 EGZ524424:EGZ524432 EQV524424:EQV524432 FAR524424:FAR524432 FKN524424:FKN524432 FUJ524424:FUJ524432 GEF524424:GEF524432 GOB524424:GOB524432 GXX524424:GXX524432 HHT524424:HHT524432 HRP524424:HRP524432 IBL524424:IBL524432 ILH524424:ILH524432 IVD524424:IVD524432 JEZ524424:JEZ524432 JOV524424:JOV524432 JYR524424:JYR524432 KIN524424:KIN524432 KSJ524424:KSJ524432 LCF524424:LCF524432 LMB524424:LMB524432 LVX524424:LVX524432 MFT524424:MFT524432 MPP524424:MPP524432 MZL524424:MZL524432 NJH524424:NJH524432 NTD524424:NTD524432 OCZ524424:OCZ524432 OMV524424:OMV524432 OWR524424:OWR524432 PGN524424:PGN524432 PQJ524424:PQJ524432 QAF524424:QAF524432 QKB524424:QKB524432 QTX524424:QTX524432 RDT524424:RDT524432 RNP524424:RNP524432 RXL524424:RXL524432 SHH524424:SHH524432 SRD524424:SRD524432 TAZ524424:TAZ524432 TKV524424:TKV524432 TUR524424:TUR524432 UEN524424:UEN524432 UOJ524424:UOJ524432 UYF524424:UYF524432 VIB524424:VIB524432 VRX524424:VRX524432 WBT524424:WBT524432 WLP524424:WLP524432 WVL524424:WVL524432 D589961:D589969 IZ589960:IZ589968 SV589960:SV589968 ACR589960:ACR589968 AMN589960:AMN589968 AWJ589960:AWJ589968 BGF589960:BGF589968 BQB589960:BQB589968 BZX589960:BZX589968 CJT589960:CJT589968 CTP589960:CTP589968 DDL589960:DDL589968 DNH589960:DNH589968 DXD589960:DXD589968 EGZ589960:EGZ589968 EQV589960:EQV589968 FAR589960:FAR589968 FKN589960:FKN589968 FUJ589960:FUJ589968 GEF589960:GEF589968 GOB589960:GOB589968 GXX589960:GXX589968 HHT589960:HHT589968 HRP589960:HRP589968 IBL589960:IBL589968 ILH589960:ILH589968 IVD589960:IVD589968 JEZ589960:JEZ589968 JOV589960:JOV589968 JYR589960:JYR589968 KIN589960:KIN589968 KSJ589960:KSJ589968 LCF589960:LCF589968 LMB589960:LMB589968 LVX589960:LVX589968 MFT589960:MFT589968 MPP589960:MPP589968 MZL589960:MZL589968 NJH589960:NJH589968 NTD589960:NTD589968 OCZ589960:OCZ589968 OMV589960:OMV589968 OWR589960:OWR589968 PGN589960:PGN589968 PQJ589960:PQJ589968 QAF589960:QAF589968 QKB589960:QKB589968 QTX589960:QTX589968 RDT589960:RDT589968 RNP589960:RNP589968 RXL589960:RXL589968 SHH589960:SHH589968 SRD589960:SRD589968 TAZ589960:TAZ589968 TKV589960:TKV589968 TUR589960:TUR589968 UEN589960:UEN589968 UOJ589960:UOJ589968 UYF589960:UYF589968 VIB589960:VIB589968 VRX589960:VRX589968 WBT589960:WBT589968 WLP589960:WLP589968 WVL589960:WVL589968 D655497:D655505 IZ655496:IZ655504 SV655496:SV655504 ACR655496:ACR655504 AMN655496:AMN655504 AWJ655496:AWJ655504 BGF655496:BGF655504 BQB655496:BQB655504 BZX655496:BZX655504 CJT655496:CJT655504 CTP655496:CTP655504 DDL655496:DDL655504 DNH655496:DNH655504 DXD655496:DXD655504 EGZ655496:EGZ655504 EQV655496:EQV655504 FAR655496:FAR655504 FKN655496:FKN655504 FUJ655496:FUJ655504 GEF655496:GEF655504 GOB655496:GOB655504 GXX655496:GXX655504 HHT655496:HHT655504 HRP655496:HRP655504 IBL655496:IBL655504 ILH655496:ILH655504 IVD655496:IVD655504 JEZ655496:JEZ655504 JOV655496:JOV655504 JYR655496:JYR655504 KIN655496:KIN655504 KSJ655496:KSJ655504 LCF655496:LCF655504 LMB655496:LMB655504 LVX655496:LVX655504 MFT655496:MFT655504 MPP655496:MPP655504 MZL655496:MZL655504 NJH655496:NJH655504 NTD655496:NTD655504 OCZ655496:OCZ655504 OMV655496:OMV655504 OWR655496:OWR655504 PGN655496:PGN655504 PQJ655496:PQJ655504 QAF655496:QAF655504 QKB655496:QKB655504 QTX655496:QTX655504 RDT655496:RDT655504 RNP655496:RNP655504 RXL655496:RXL655504 SHH655496:SHH655504 SRD655496:SRD655504 TAZ655496:TAZ655504 TKV655496:TKV655504 TUR655496:TUR655504 UEN655496:UEN655504 UOJ655496:UOJ655504 UYF655496:UYF655504 VIB655496:VIB655504 VRX655496:VRX655504 WBT655496:WBT655504 WLP655496:WLP655504 WVL655496:WVL655504 D721033:D721041 IZ721032:IZ721040 SV721032:SV721040 ACR721032:ACR721040 AMN721032:AMN721040 AWJ721032:AWJ721040 BGF721032:BGF721040 BQB721032:BQB721040 BZX721032:BZX721040 CJT721032:CJT721040 CTP721032:CTP721040 DDL721032:DDL721040 DNH721032:DNH721040 DXD721032:DXD721040 EGZ721032:EGZ721040 EQV721032:EQV721040 FAR721032:FAR721040 FKN721032:FKN721040 FUJ721032:FUJ721040 GEF721032:GEF721040 GOB721032:GOB721040 GXX721032:GXX721040 HHT721032:HHT721040 HRP721032:HRP721040 IBL721032:IBL721040 ILH721032:ILH721040 IVD721032:IVD721040 JEZ721032:JEZ721040 JOV721032:JOV721040 JYR721032:JYR721040 KIN721032:KIN721040 KSJ721032:KSJ721040 LCF721032:LCF721040 LMB721032:LMB721040 LVX721032:LVX721040 MFT721032:MFT721040 MPP721032:MPP721040 MZL721032:MZL721040 NJH721032:NJH721040 NTD721032:NTD721040 OCZ721032:OCZ721040 OMV721032:OMV721040 OWR721032:OWR721040 PGN721032:PGN721040 PQJ721032:PQJ721040 QAF721032:QAF721040 QKB721032:QKB721040 QTX721032:QTX721040 RDT721032:RDT721040 RNP721032:RNP721040 RXL721032:RXL721040 SHH721032:SHH721040 SRD721032:SRD721040 TAZ721032:TAZ721040 TKV721032:TKV721040 TUR721032:TUR721040 UEN721032:UEN721040 UOJ721032:UOJ721040 UYF721032:UYF721040 VIB721032:VIB721040 VRX721032:VRX721040 WBT721032:WBT721040 WLP721032:WLP721040 WVL721032:WVL721040 D786569:D786577 IZ786568:IZ786576 SV786568:SV786576 ACR786568:ACR786576 AMN786568:AMN786576 AWJ786568:AWJ786576 BGF786568:BGF786576 BQB786568:BQB786576 BZX786568:BZX786576 CJT786568:CJT786576 CTP786568:CTP786576 DDL786568:DDL786576 DNH786568:DNH786576 DXD786568:DXD786576 EGZ786568:EGZ786576 EQV786568:EQV786576 FAR786568:FAR786576 FKN786568:FKN786576 FUJ786568:FUJ786576 GEF786568:GEF786576 GOB786568:GOB786576 GXX786568:GXX786576 HHT786568:HHT786576 HRP786568:HRP786576 IBL786568:IBL786576 ILH786568:ILH786576 IVD786568:IVD786576 JEZ786568:JEZ786576 JOV786568:JOV786576 JYR786568:JYR786576 KIN786568:KIN786576 KSJ786568:KSJ786576 LCF786568:LCF786576 LMB786568:LMB786576 LVX786568:LVX786576 MFT786568:MFT786576 MPP786568:MPP786576 MZL786568:MZL786576 NJH786568:NJH786576 NTD786568:NTD786576 OCZ786568:OCZ786576 OMV786568:OMV786576 OWR786568:OWR786576 PGN786568:PGN786576 PQJ786568:PQJ786576 QAF786568:QAF786576 QKB786568:QKB786576 QTX786568:QTX786576 RDT786568:RDT786576 RNP786568:RNP786576 RXL786568:RXL786576 SHH786568:SHH786576 SRD786568:SRD786576 TAZ786568:TAZ786576 TKV786568:TKV786576 TUR786568:TUR786576 UEN786568:UEN786576 UOJ786568:UOJ786576 UYF786568:UYF786576 VIB786568:VIB786576 VRX786568:VRX786576 WBT786568:WBT786576 WLP786568:WLP786576 WVL786568:WVL786576 D852105:D852113 IZ852104:IZ852112 SV852104:SV852112 ACR852104:ACR852112 AMN852104:AMN852112 AWJ852104:AWJ852112 BGF852104:BGF852112 BQB852104:BQB852112 BZX852104:BZX852112 CJT852104:CJT852112 CTP852104:CTP852112 DDL852104:DDL852112 DNH852104:DNH852112 DXD852104:DXD852112 EGZ852104:EGZ852112 EQV852104:EQV852112 FAR852104:FAR852112 FKN852104:FKN852112 FUJ852104:FUJ852112 GEF852104:GEF852112 GOB852104:GOB852112 GXX852104:GXX852112 HHT852104:HHT852112 HRP852104:HRP852112 IBL852104:IBL852112 ILH852104:ILH852112 IVD852104:IVD852112 JEZ852104:JEZ852112 JOV852104:JOV852112 JYR852104:JYR852112 KIN852104:KIN852112 KSJ852104:KSJ852112 LCF852104:LCF852112 LMB852104:LMB852112 LVX852104:LVX852112 MFT852104:MFT852112 MPP852104:MPP852112 MZL852104:MZL852112 NJH852104:NJH852112 NTD852104:NTD852112 OCZ852104:OCZ852112 OMV852104:OMV852112 OWR852104:OWR852112 PGN852104:PGN852112 PQJ852104:PQJ852112 QAF852104:QAF852112 QKB852104:QKB852112 QTX852104:QTX852112 RDT852104:RDT852112 RNP852104:RNP852112 RXL852104:RXL852112 SHH852104:SHH852112 SRD852104:SRD852112 TAZ852104:TAZ852112 TKV852104:TKV852112 TUR852104:TUR852112 UEN852104:UEN852112 UOJ852104:UOJ852112 UYF852104:UYF852112 VIB852104:VIB852112 VRX852104:VRX852112 WBT852104:WBT852112 WLP852104:WLP852112 WVL852104:WVL852112 D917641:D917649 IZ917640:IZ917648 SV917640:SV917648 ACR917640:ACR917648 AMN917640:AMN917648 AWJ917640:AWJ917648 BGF917640:BGF917648 BQB917640:BQB917648 BZX917640:BZX917648 CJT917640:CJT917648 CTP917640:CTP917648 DDL917640:DDL917648 DNH917640:DNH917648 DXD917640:DXD917648 EGZ917640:EGZ917648 EQV917640:EQV917648 FAR917640:FAR917648 FKN917640:FKN917648 FUJ917640:FUJ917648 GEF917640:GEF917648 GOB917640:GOB917648 GXX917640:GXX917648 HHT917640:HHT917648 HRP917640:HRP917648 IBL917640:IBL917648 ILH917640:ILH917648 IVD917640:IVD917648 JEZ917640:JEZ917648 JOV917640:JOV917648 JYR917640:JYR917648 KIN917640:KIN917648 KSJ917640:KSJ917648 LCF917640:LCF917648 LMB917640:LMB917648 LVX917640:LVX917648 MFT917640:MFT917648 MPP917640:MPP917648 MZL917640:MZL917648 NJH917640:NJH917648 NTD917640:NTD917648 OCZ917640:OCZ917648 OMV917640:OMV917648 OWR917640:OWR917648 PGN917640:PGN917648 PQJ917640:PQJ917648 QAF917640:QAF917648 QKB917640:QKB917648 QTX917640:QTX917648 RDT917640:RDT917648 RNP917640:RNP917648 RXL917640:RXL917648 SHH917640:SHH917648 SRD917640:SRD917648 TAZ917640:TAZ917648 TKV917640:TKV917648 TUR917640:TUR917648 UEN917640:UEN917648 UOJ917640:UOJ917648 UYF917640:UYF917648 VIB917640:VIB917648 VRX917640:VRX917648 WBT917640:WBT917648 WLP917640:WLP917648 WVL917640:WVL917648 D983177:D983185 IZ983176:IZ983184 SV983176:SV983184 ACR983176:ACR983184 AMN983176:AMN983184 AWJ983176:AWJ983184 BGF983176:BGF983184 BQB983176:BQB983184 BZX983176:BZX983184 CJT983176:CJT983184 CTP983176:CTP983184 DDL983176:DDL983184 DNH983176:DNH983184 DXD983176:DXD983184 EGZ983176:EGZ983184 EQV983176:EQV983184 FAR983176:FAR983184 FKN983176:FKN983184 FUJ983176:FUJ983184 GEF983176:GEF983184 GOB983176:GOB983184 GXX983176:GXX983184 HHT983176:HHT983184 HRP983176:HRP983184 IBL983176:IBL983184 ILH983176:ILH983184 IVD983176:IVD983184 JEZ983176:JEZ983184 JOV983176:JOV983184 JYR983176:JYR983184 KIN983176:KIN983184 KSJ983176:KSJ983184 LCF983176:LCF983184 LMB983176:LMB983184 LVX983176:LVX983184 MFT983176:MFT983184 MPP983176:MPP983184 MZL983176:MZL983184 NJH983176:NJH983184 NTD983176:NTD983184 OCZ983176:OCZ983184 OMV983176:OMV983184 OWR983176:OWR983184 PGN983176:PGN983184 PQJ983176:PQJ983184 QAF983176:QAF983184 QKB983176:QKB983184 QTX983176:QTX983184 RDT983176:RDT983184 RNP983176:RNP983184 RXL983176:RXL983184 SHH983176:SHH983184 SRD983176:SRD983184 TAZ983176:TAZ983184 TKV983176:TKV983184 TUR983176:TUR983184 UEN983176:UEN983184 UOJ983176:UOJ983184 UYF983176:UYF983184 VIB983176:VIB983184 VRX983176:VRX983184 WBT983176:WBT983184 WLP983176:WLP983184 D63:D98" xr:uid="{00000000-0002-0000-0500-000001000000}"/>
    <dataValidation allowBlank="1" showInputMessage="1" showErrorMessage="1" prompt="diligencie la cantidad de unidad de medida del valor unitario" sqref="JA12:JA60 SW12:SW60 ACS12:ACS60 AMO12:AMO60 AWK12:AWK60 BGG12:BGG60 BQC12:BQC60 BZY12:BZY60 CJU12:CJU60 CTQ12:CTQ60 DDM12:DDM60 DNI12:DNI60 DXE12:DXE60 EHA12:EHA60 EQW12:EQW60 FAS12:FAS60 FKO12:FKO60 FUK12:FUK60 GEG12:GEG60 GOC12:GOC60 GXY12:GXY60 HHU12:HHU60 HRQ12:HRQ60 IBM12:IBM60 ILI12:ILI60 IVE12:IVE60 JFA12:JFA60 JOW12:JOW60 JYS12:JYS60 KIO12:KIO60 KSK12:KSK60 LCG12:LCG60 LMC12:LMC60 LVY12:LVY60 MFU12:MFU60 MPQ12:MPQ60 MZM12:MZM60 NJI12:NJI60 NTE12:NTE60 ODA12:ODA60 OMW12:OMW60 OWS12:OWS60 PGO12:PGO60 PQK12:PQK60 QAG12:QAG60 QKC12:QKC60 QTY12:QTY60 RDU12:RDU60 RNQ12:RNQ60 RXM12:RXM60 SHI12:SHI60 SRE12:SRE60 TBA12:TBA60 TKW12:TKW60 TUS12:TUS60 UEO12:UEO60 UOK12:UOK60 UYG12:UYG60 VIC12:VIC60 VRY12:VRY60 WBU12:WBU60 WLQ12:WLQ60 WVM12:WVM60 JA65661:JA65669 SW65661:SW65669 ACS65661:ACS65669 AMO65661:AMO65669 AWK65661:AWK65669 BGG65661:BGG65669 BQC65661:BQC65669 BZY65661:BZY65669 CJU65661:CJU65669 CTQ65661:CTQ65669 DDM65661:DDM65669 DNI65661:DNI65669 DXE65661:DXE65669 EHA65661:EHA65669 EQW65661:EQW65669 FAS65661:FAS65669 FKO65661:FKO65669 FUK65661:FUK65669 GEG65661:GEG65669 GOC65661:GOC65669 GXY65661:GXY65669 HHU65661:HHU65669 HRQ65661:HRQ65669 IBM65661:IBM65669 ILI65661:ILI65669 IVE65661:IVE65669 JFA65661:JFA65669 JOW65661:JOW65669 JYS65661:JYS65669 KIO65661:KIO65669 KSK65661:KSK65669 LCG65661:LCG65669 LMC65661:LMC65669 LVY65661:LVY65669 MFU65661:MFU65669 MPQ65661:MPQ65669 MZM65661:MZM65669 NJI65661:NJI65669 NTE65661:NTE65669 ODA65661:ODA65669 OMW65661:OMW65669 OWS65661:OWS65669 PGO65661:PGO65669 PQK65661:PQK65669 QAG65661:QAG65669 QKC65661:QKC65669 QTY65661:QTY65669 RDU65661:RDU65669 RNQ65661:RNQ65669 RXM65661:RXM65669 SHI65661:SHI65669 SRE65661:SRE65669 TBA65661:TBA65669 TKW65661:TKW65669 TUS65661:TUS65669 UEO65661:UEO65669 UOK65661:UOK65669 UYG65661:UYG65669 VIC65661:VIC65669 VRY65661:VRY65669 WBU65661:WBU65669 WLQ65661:WLQ65669 WVM65661:WVM65669 JA131197:JA131205 SW131197:SW131205 ACS131197:ACS131205 AMO131197:AMO131205 AWK131197:AWK131205 BGG131197:BGG131205 BQC131197:BQC131205 BZY131197:BZY131205 CJU131197:CJU131205 CTQ131197:CTQ131205 DDM131197:DDM131205 DNI131197:DNI131205 DXE131197:DXE131205 EHA131197:EHA131205 EQW131197:EQW131205 FAS131197:FAS131205 FKO131197:FKO131205 FUK131197:FUK131205 GEG131197:GEG131205 GOC131197:GOC131205 GXY131197:GXY131205 HHU131197:HHU131205 HRQ131197:HRQ131205 IBM131197:IBM131205 ILI131197:ILI131205 IVE131197:IVE131205 JFA131197:JFA131205 JOW131197:JOW131205 JYS131197:JYS131205 KIO131197:KIO131205 KSK131197:KSK131205 LCG131197:LCG131205 LMC131197:LMC131205 LVY131197:LVY131205 MFU131197:MFU131205 MPQ131197:MPQ131205 MZM131197:MZM131205 NJI131197:NJI131205 NTE131197:NTE131205 ODA131197:ODA131205 OMW131197:OMW131205 OWS131197:OWS131205 PGO131197:PGO131205 PQK131197:PQK131205 QAG131197:QAG131205 QKC131197:QKC131205 QTY131197:QTY131205 RDU131197:RDU131205 RNQ131197:RNQ131205 RXM131197:RXM131205 SHI131197:SHI131205 SRE131197:SRE131205 TBA131197:TBA131205 TKW131197:TKW131205 TUS131197:TUS131205 UEO131197:UEO131205 UOK131197:UOK131205 UYG131197:UYG131205 VIC131197:VIC131205 VRY131197:VRY131205 WBU131197:WBU131205 WLQ131197:WLQ131205 WVM131197:WVM131205 JA196733:JA196741 SW196733:SW196741 ACS196733:ACS196741 AMO196733:AMO196741 AWK196733:AWK196741 BGG196733:BGG196741 BQC196733:BQC196741 BZY196733:BZY196741 CJU196733:CJU196741 CTQ196733:CTQ196741 DDM196733:DDM196741 DNI196733:DNI196741 DXE196733:DXE196741 EHA196733:EHA196741 EQW196733:EQW196741 FAS196733:FAS196741 FKO196733:FKO196741 FUK196733:FUK196741 GEG196733:GEG196741 GOC196733:GOC196741 GXY196733:GXY196741 HHU196733:HHU196741 HRQ196733:HRQ196741 IBM196733:IBM196741 ILI196733:ILI196741 IVE196733:IVE196741 JFA196733:JFA196741 JOW196733:JOW196741 JYS196733:JYS196741 KIO196733:KIO196741 KSK196733:KSK196741 LCG196733:LCG196741 LMC196733:LMC196741 LVY196733:LVY196741 MFU196733:MFU196741 MPQ196733:MPQ196741 MZM196733:MZM196741 NJI196733:NJI196741 NTE196733:NTE196741 ODA196733:ODA196741 OMW196733:OMW196741 OWS196733:OWS196741 PGO196733:PGO196741 PQK196733:PQK196741 QAG196733:QAG196741 QKC196733:QKC196741 QTY196733:QTY196741 RDU196733:RDU196741 RNQ196733:RNQ196741 RXM196733:RXM196741 SHI196733:SHI196741 SRE196733:SRE196741 TBA196733:TBA196741 TKW196733:TKW196741 TUS196733:TUS196741 UEO196733:UEO196741 UOK196733:UOK196741 UYG196733:UYG196741 VIC196733:VIC196741 VRY196733:VRY196741 WBU196733:WBU196741 WLQ196733:WLQ196741 WVM196733:WVM196741 JA262269:JA262277 SW262269:SW262277 ACS262269:ACS262277 AMO262269:AMO262277 AWK262269:AWK262277 BGG262269:BGG262277 BQC262269:BQC262277 BZY262269:BZY262277 CJU262269:CJU262277 CTQ262269:CTQ262277 DDM262269:DDM262277 DNI262269:DNI262277 DXE262269:DXE262277 EHA262269:EHA262277 EQW262269:EQW262277 FAS262269:FAS262277 FKO262269:FKO262277 FUK262269:FUK262277 GEG262269:GEG262277 GOC262269:GOC262277 GXY262269:GXY262277 HHU262269:HHU262277 HRQ262269:HRQ262277 IBM262269:IBM262277 ILI262269:ILI262277 IVE262269:IVE262277 JFA262269:JFA262277 JOW262269:JOW262277 JYS262269:JYS262277 KIO262269:KIO262277 KSK262269:KSK262277 LCG262269:LCG262277 LMC262269:LMC262277 LVY262269:LVY262277 MFU262269:MFU262277 MPQ262269:MPQ262277 MZM262269:MZM262277 NJI262269:NJI262277 NTE262269:NTE262277 ODA262269:ODA262277 OMW262269:OMW262277 OWS262269:OWS262277 PGO262269:PGO262277 PQK262269:PQK262277 QAG262269:QAG262277 QKC262269:QKC262277 QTY262269:QTY262277 RDU262269:RDU262277 RNQ262269:RNQ262277 RXM262269:RXM262277 SHI262269:SHI262277 SRE262269:SRE262277 TBA262269:TBA262277 TKW262269:TKW262277 TUS262269:TUS262277 UEO262269:UEO262277 UOK262269:UOK262277 UYG262269:UYG262277 VIC262269:VIC262277 VRY262269:VRY262277 WBU262269:WBU262277 WLQ262269:WLQ262277 WVM262269:WVM262277 JA327805:JA327813 SW327805:SW327813 ACS327805:ACS327813 AMO327805:AMO327813 AWK327805:AWK327813 BGG327805:BGG327813 BQC327805:BQC327813 BZY327805:BZY327813 CJU327805:CJU327813 CTQ327805:CTQ327813 DDM327805:DDM327813 DNI327805:DNI327813 DXE327805:DXE327813 EHA327805:EHA327813 EQW327805:EQW327813 FAS327805:FAS327813 FKO327805:FKO327813 FUK327805:FUK327813 GEG327805:GEG327813 GOC327805:GOC327813 GXY327805:GXY327813 HHU327805:HHU327813 HRQ327805:HRQ327813 IBM327805:IBM327813 ILI327805:ILI327813 IVE327805:IVE327813 JFA327805:JFA327813 JOW327805:JOW327813 JYS327805:JYS327813 KIO327805:KIO327813 KSK327805:KSK327813 LCG327805:LCG327813 LMC327805:LMC327813 LVY327805:LVY327813 MFU327805:MFU327813 MPQ327805:MPQ327813 MZM327805:MZM327813 NJI327805:NJI327813 NTE327805:NTE327813 ODA327805:ODA327813 OMW327805:OMW327813 OWS327805:OWS327813 PGO327805:PGO327813 PQK327805:PQK327813 QAG327805:QAG327813 QKC327805:QKC327813 QTY327805:QTY327813 RDU327805:RDU327813 RNQ327805:RNQ327813 RXM327805:RXM327813 SHI327805:SHI327813 SRE327805:SRE327813 TBA327805:TBA327813 TKW327805:TKW327813 TUS327805:TUS327813 UEO327805:UEO327813 UOK327805:UOK327813 UYG327805:UYG327813 VIC327805:VIC327813 VRY327805:VRY327813 WBU327805:WBU327813 WLQ327805:WLQ327813 WVM327805:WVM327813 JA393341:JA393349 SW393341:SW393349 ACS393341:ACS393349 AMO393341:AMO393349 AWK393341:AWK393349 BGG393341:BGG393349 BQC393341:BQC393349 BZY393341:BZY393349 CJU393341:CJU393349 CTQ393341:CTQ393349 DDM393341:DDM393349 DNI393341:DNI393349 DXE393341:DXE393349 EHA393341:EHA393349 EQW393341:EQW393349 FAS393341:FAS393349 FKO393341:FKO393349 FUK393341:FUK393349 GEG393341:GEG393349 GOC393341:GOC393349 GXY393341:GXY393349 HHU393341:HHU393349 HRQ393341:HRQ393349 IBM393341:IBM393349 ILI393341:ILI393349 IVE393341:IVE393349 JFA393341:JFA393349 JOW393341:JOW393349 JYS393341:JYS393349 KIO393341:KIO393349 KSK393341:KSK393349 LCG393341:LCG393349 LMC393341:LMC393349 LVY393341:LVY393349 MFU393341:MFU393349 MPQ393341:MPQ393349 MZM393341:MZM393349 NJI393341:NJI393349 NTE393341:NTE393349 ODA393341:ODA393349 OMW393341:OMW393349 OWS393341:OWS393349 PGO393341:PGO393349 PQK393341:PQK393349 QAG393341:QAG393349 QKC393341:QKC393349 QTY393341:QTY393349 RDU393341:RDU393349 RNQ393341:RNQ393349 RXM393341:RXM393349 SHI393341:SHI393349 SRE393341:SRE393349 TBA393341:TBA393349 TKW393341:TKW393349 TUS393341:TUS393349 UEO393341:UEO393349 UOK393341:UOK393349 UYG393341:UYG393349 VIC393341:VIC393349 VRY393341:VRY393349 WBU393341:WBU393349 WLQ393341:WLQ393349 WVM393341:WVM393349 JA458877:JA458885 SW458877:SW458885 ACS458877:ACS458885 AMO458877:AMO458885 AWK458877:AWK458885 BGG458877:BGG458885 BQC458877:BQC458885 BZY458877:BZY458885 CJU458877:CJU458885 CTQ458877:CTQ458885 DDM458877:DDM458885 DNI458877:DNI458885 DXE458877:DXE458885 EHA458877:EHA458885 EQW458877:EQW458885 FAS458877:FAS458885 FKO458877:FKO458885 FUK458877:FUK458885 GEG458877:GEG458885 GOC458877:GOC458885 GXY458877:GXY458885 HHU458877:HHU458885 HRQ458877:HRQ458885 IBM458877:IBM458885 ILI458877:ILI458885 IVE458877:IVE458885 JFA458877:JFA458885 JOW458877:JOW458885 JYS458877:JYS458885 KIO458877:KIO458885 KSK458877:KSK458885 LCG458877:LCG458885 LMC458877:LMC458885 LVY458877:LVY458885 MFU458877:MFU458885 MPQ458877:MPQ458885 MZM458877:MZM458885 NJI458877:NJI458885 NTE458877:NTE458885 ODA458877:ODA458885 OMW458877:OMW458885 OWS458877:OWS458885 PGO458877:PGO458885 PQK458877:PQK458885 QAG458877:QAG458885 QKC458877:QKC458885 QTY458877:QTY458885 RDU458877:RDU458885 RNQ458877:RNQ458885 RXM458877:RXM458885 SHI458877:SHI458885 SRE458877:SRE458885 TBA458877:TBA458885 TKW458877:TKW458885 TUS458877:TUS458885 UEO458877:UEO458885 UOK458877:UOK458885 UYG458877:UYG458885 VIC458877:VIC458885 VRY458877:VRY458885 WBU458877:WBU458885 WLQ458877:WLQ458885 WVM458877:WVM458885 JA524413:JA524421 SW524413:SW524421 ACS524413:ACS524421 AMO524413:AMO524421 AWK524413:AWK524421 BGG524413:BGG524421 BQC524413:BQC524421 BZY524413:BZY524421 CJU524413:CJU524421 CTQ524413:CTQ524421 DDM524413:DDM524421 DNI524413:DNI524421 DXE524413:DXE524421 EHA524413:EHA524421 EQW524413:EQW524421 FAS524413:FAS524421 FKO524413:FKO524421 FUK524413:FUK524421 GEG524413:GEG524421 GOC524413:GOC524421 GXY524413:GXY524421 HHU524413:HHU524421 HRQ524413:HRQ524421 IBM524413:IBM524421 ILI524413:ILI524421 IVE524413:IVE524421 JFA524413:JFA524421 JOW524413:JOW524421 JYS524413:JYS524421 KIO524413:KIO524421 KSK524413:KSK524421 LCG524413:LCG524421 LMC524413:LMC524421 LVY524413:LVY524421 MFU524413:MFU524421 MPQ524413:MPQ524421 MZM524413:MZM524421 NJI524413:NJI524421 NTE524413:NTE524421 ODA524413:ODA524421 OMW524413:OMW524421 OWS524413:OWS524421 PGO524413:PGO524421 PQK524413:PQK524421 QAG524413:QAG524421 QKC524413:QKC524421 QTY524413:QTY524421 RDU524413:RDU524421 RNQ524413:RNQ524421 RXM524413:RXM524421 SHI524413:SHI524421 SRE524413:SRE524421 TBA524413:TBA524421 TKW524413:TKW524421 TUS524413:TUS524421 UEO524413:UEO524421 UOK524413:UOK524421 UYG524413:UYG524421 VIC524413:VIC524421 VRY524413:VRY524421 WBU524413:WBU524421 WLQ524413:WLQ524421 WVM524413:WVM524421 JA589949:JA589957 SW589949:SW589957 ACS589949:ACS589957 AMO589949:AMO589957 AWK589949:AWK589957 BGG589949:BGG589957 BQC589949:BQC589957 BZY589949:BZY589957 CJU589949:CJU589957 CTQ589949:CTQ589957 DDM589949:DDM589957 DNI589949:DNI589957 DXE589949:DXE589957 EHA589949:EHA589957 EQW589949:EQW589957 FAS589949:FAS589957 FKO589949:FKO589957 FUK589949:FUK589957 GEG589949:GEG589957 GOC589949:GOC589957 GXY589949:GXY589957 HHU589949:HHU589957 HRQ589949:HRQ589957 IBM589949:IBM589957 ILI589949:ILI589957 IVE589949:IVE589957 JFA589949:JFA589957 JOW589949:JOW589957 JYS589949:JYS589957 KIO589949:KIO589957 KSK589949:KSK589957 LCG589949:LCG589957 LMC589949:LMC589957 LVY589949:LVY589957 MFU589949:MFU589957 MPQ589949:MPQ589957 MZM589949:MZM589957 NJI589949:NJI589957 NTE589949:NTE589957 ODA589949:ODA589957 OMW589949:OMW589957 OWS589949:OWS589957 PGO589949:PGO589957 PQK589949:PQK589957 QAG589949:QAG589957 QKC589949:QKC589957 QTY589949:QTY589957 RDU589949:RDU589957 RNQ589949:RNQ589957 RXM589949:RXM589957 SHI589949:SHI589957 SRE589949:SRE589957 TBA589949:TBA589957 TKW589949:TKW589957 TUS589949:TUS589957 UEO589949:UEO589957 UOK589949:UOK589957 UYG589949:UYG589957 VIC589949:VIC589957 VRY589949:VRY589957 WBU589949:WBU589957 WLQ589949:WLQ589957 WVM589949:WVM589957 JA655485:JA655493 SW655485:SW655493 ACS655485:ACS655493 AMO655485:AMO655493 AWK655485:AWK655493 BGG655485:BGG655493 BQC655485:BQC655493 BZY655485:BZY655493 CJU655485:CJU655493 CTQ655485:CTQ655493 DDM655485:DDM655493 DNI655485:DNI655493 DXE655485:DXE655493 EHA655485:EHA655493 EQW655485:EQW655493 FAS655485:FAS655493 FKO655485:FKO655493 FUK655485:FUK655493 GEG655485:GEG655493 GOC655485:GOC655493 GXY655485:GXY655493 HHU655485:HHU655493 HRQ655485:HRQ655493 IBM655485:IBM655493 ILI655485:ILI655493 IVE655485:IVE655493 JFA655485:JFA655493 JOW655485:JOW655493 JYS655485:JYS655493 KIO655485:KIO655493 KSK655485:KSK655493 LCG655485:LCG655493 LMC655485:LMC655493 LVY655485:LVY655493 MFU655485:MFU655493 MPQ655485:MPQ655493 MZM655485:MZM655493 NJI655485:NJI655493 NTE655485:NTE655493 ODA655485:ODA655493 OMW655485:OMW655493 OWS655485:OWS655493 PGO655485:PGO655493 PQK655485:PQK655493 QAG655485:QAG655493 QKC655485:QKC655493 QTY655485:QTY655493 RDU655485:RDU655493 RNQ655485:RNQ655493 RXM655485:RXM655493 SHI655485:SHI655493 SRE655485:SRE655493 TBA655485:TBA655493 TKW655485:TKW655493 TUS655485:TUS655493 UEO655485:UEO655493 UOK655485:UOK655493 UYG655485:UYG655493 VIC655485:VIC655493 VRY655485:VRY655493 WBU655485:WBU655493 WLQ655485:WLQ655493 WVM655485:WVM655493 JA721021:JA721029 SW721021:SW721029 ACS721021:ACS721029 AMO721021:AMO721029 AWK721021:AWK721029 BGG721021:BGG721029 BQC721021:BQC721029 BZY721021:BZY721029 CJU721021:CJU721029 CTQ721021:CTQ721029 DDM721021:DDM721029 DNI721021:DNI721029 DXE721021:DXE721029 EHA721021:EHA721029 EQW721021:EQW721029 FAS721021:FAS721029 FKO721021:FKO721029 FUK721021:FUK721029 GEG721021:GEG721029 GOC721021:GOC721029 GXY721021:GXY721029 HHU721021:HHU721029 HRQ721021:HRQ721029 IBM721021:IBM721029 ILI721021:ILI721029 IVE721021:IVE721029 JFA721021:JFA721029 JOW721021:JOW721029 JYS721021:JYS721029 KIO721021:KIO721029 KSK721021:KSK721029 LCG721021:LCG721029 LMC721021:LMC721029 LVY721021:LVY721029 MFU721021:MFU721029 MPQ721021:MPQ721029 MZM721021:MZM721029 NJI721021:NJI721029 NTE721021:NTE721029 ODA721021:ODA721029 OMW721021:OMW721029 OWS721021:OWS721029 PGO721021:PGO721029 PQK721021:PQK721029 QAG721021:QAG721029 QKC721021:QKC721029 QTY721021:QTY721029 RDU721021:RDU721029 RNQ721021:RNQ721029 RXM721021:RXM721029 SHI721021:SHI721029 SRE721021:SRE721029 TBA721021:TBA721029 TKW721021:TKW721029 TUS721021:TUS721029 UEO721021:UEO721029 UOK721021:UOK721029 UYG721021:UYG721029 VIC721021:VIC721029 VRY721021:VRY721029 WBU721021:WBU721029 WLQ721021:WLQ721029 WVM721021:WVM721029 JA786557:JA786565 SW786557:SW786565 ACS786557:ACS786565 AMO786557:AMO786565 AWK786557:AWK786565 BGG786557:BGG786565 BQC786557:BQC786565 BZY786557:BZY786565 CJU786557:CJU786565 CTQ786557:CTQ786565 DDM786557:DDM786565 DNI786557:DNI786565 DXE786557:DXE786565 EHA786557:EHA786565 EQW786557:EQW786565 FAS786557:FAS786565 FKO786557:FKO786565 FUK786557:FUK786565 GEG786557:GEG786565 GOC786557:GOC786565 GXY786557:GXY786565 HHU786557:HHU786565 HRQ786557:HRQ786565 IBM786557:IBM786565 ILI786557:ILI786565 IVE786557:IVE786565 JFA786557:JFA786565 JOW786557:JOW786565 JYS786557:JYS786565 KIO786557:KIO786565 KSK786557:KSK786565 LCG786557:LCG786565 LMC786557:LMC786565 LVY786557:LVY786565 MFU786557:MFU786565 MPQ786557:MPQ786565 MZM786557:MZM786565 NJI786557:NJI786565 NTE786557:NTE786565 ODA786557:ODA786565 OMW786557:OMW786565 OWS786557:OWS786565 PGO786557:PGO786565 PQK786557:PQK786565 QAG786557:QAG786565 QKC786557:QKC786565 QTY786557:QTY786565 RDU786557:RDU786565 RNQ786557:RNQ786565 RXM786557:RXM786565 SHI786557:SHI786565 SRE786557:SRE786565 TBA786557:TBA786565 TKW786557:TKW786565 TUS786557:TUS786565 UEO786557:UEO786565 UOK786557:UOK786565 UYG786557:UYG786565 VIC786557:VIC786565 VRY786557:VRY786565 WBU786557:WBU786565 WLQ786557:WLQ786565 WVM786557:WVM786565 JA852093:JA852101 SW852093:SW852101 ACS852093:ACS852101 AMO852093:AMO852101 AWK852093:AWK852101 BGG852093:BGG852101 BQC852093:BQC852101 BZY852093:BZY852101 CJU852093:CJU852101 CTQ852093:CTQ852101 DDM852093:DDM852101 DNI852093:DNI852101 DXE852093:DXE852101 EHA852093:EHA852101 EQW852093:EQW852101 FAS852093:FAS852101 FKO852093:FKO852101 FUK852093:FUK852101 GEG852093:GEG852101 GOC852093:GOC852101 GXY852093:GXY852101 HHU852093:HHU852101 HRQ852093:HRQ852101 IBM852093:IBM852101 ILI852093:ILI852101 IVE852093:IVE852101 JFA852093:JFA852101 JOW852093:JOW852101 JYS852093:JYS852101 KIO852093:KIO852101 KSK852093:KSK852101 LCG852093:LCG852101 LMC852093:LMC852101 LVY852093:LVY852101 MFU852093:MFU852101 MPQ852093:MPQ852101 MZM852093:MZM852101 NJI852093:NJI852101 NTE852093:NTE852101 ODA852093:ODA852101 OMW852093:OMW852101 OWS852093:OWS852101 PGO852093:PGO852101 PQK852093:PQK852101 QAG852093:QAG852101 QKC852093:QKC852101 QTY852093:QTY852101 RDU852093:RDU852101 RNQ852093:RNQ852101 RXM852093:RXM852101 SHI852093:SHI852101 SRE852093:SRE852101 TBA852093:TBA852101 TKW852093:TKW852101 TUS852093:TUS852101 UEO852093:UEO852101 UOK852093:UOK852101 UYG852093:UYG852101 VIC852093:VIC852101 VRY852093:VRY852101 WBU852093:WBU852101 WLQ852093:WLQ852101 WVM852093:WVM852101 JA917629:JA917637 SW917629:SW917637 ACS917629:ACS917637 AMO917629:AMO917637 AWK917629:AWK917637 BGG917629:BGG917637 BQC917629:BQC917637 BZY917629:BZY917637 CJU917629:CJU917637 CTQ917629:CTQ917637 DDM917629:DDM917637 DNI917629:DNI917637 DXE917629:DXE917637 EHA917629:EHA917637 EQW917629:EQW917637 FAS917629:FAS917637 FKO917629:FKO917637 FUK917629:FUK917637 GEG917629:GEG917637 GOC917629:GOC917637 GXY917629:GXY917637 HHU917629:HHU917637 HRQ917629:HRQ917637 IBM917629:IBM917637 ILI917629:ILI917637 IVE917629:IVE917637 JFA917629:JFA917637 JOW917629:JOW917637 JYS917629:JYS917637 KIO917629:KIO917637 KSK917629:KSK917637 LCG917629:LCG917637 LMC917629:LMC917637 LVY917629:LVY917637 MFU917629:MFU917637 MPQ917629:MPQ917637 MZM917629:MZM917637 NJI917629:NJI917637 NTE917629:NTE917637 ODA917629:ODA917637 OMW917629:OMW917637 OWS917629:OWS917637 PGO917629:PGO917637 PQK917629:PQK917637 QAG917629:QAG917637 QKC917629:QKC917637 QTY917629:QTY917637 RDU917629:RDU917637 RNQ917629:RNQ917637 RXM917629:RXM917637 SHI917629:SHI917637 SRE917629:SRE917637 TBA917629:TBA917637 TKW917629:TKW917637 TUS917629:TUS917637 UEO917629:UEO917637 UOK917629:UOK917637 UYG917629:UYG917637 VIC917629:VIC917637 VRY917629:VRY917637 WBU917629:WBU917637 WLQ917629:WLQ917637 WVM917629:WVM917637 JA983165:JA983173 SW983165:SW983173 ACS983165:ACS983173 AMO983165:AMO983173 AWK983165:AWK983173 BGG983165:BGG983173 BQC983165:BQC983173 BZY983165:BZY983173 CJU983165:CJU983173 CTQ983165:CTQ983173 DDM983165:DDM983173 DNI983165:DNI983173 DXE983165:DXE983173 EHA983165:EHA983173 EQW983165:EQW983173 FAS983165:FAS983173 FKO983165:FKO983173 FUK983165:FUK983173 GEG983165:GEG983173 GOC983165:GOC983173 GXY983165:GXY983173 HHU983165:HHU983173 HRQ983165:HRQ983173 IBM983165:IBM983173 ILI983165:ILI983173 IVE983165:IVE983173 JFA983165:JFA983173 JOW983165:JOW983173 JYS983165:JYS983173 KIO983165:KIO983173 KSK983165:KSK983173 LCG983165:LCG983173 LMC983165:LMC983173 LVY983165:LVY983173 MFU983165:MFU983173 MPQ983165:MPQ983173 MZM983165:MZM983173 NJI983165:NJI983173 NTE983165:NTE983173 ODA983165:ODA983173 OMW983165:OMW983173 OWS983165:OWS983173 PGO983165:PGO983173 PQK983165:PQK983173 QAG983165:QAG983173 QKC983165:QKC983173 QTY983165:QTY983173 RDU983165:RDU983173 RNQ983165:RNQ983173 RXM983165:RXM983173 SHI983165:SHI983173 SRE983165:SRE983173 TBA983165:TBA983173 TKW983165:TKW983173 TUS983165:TUS983173 UEO983165:UEO983173 UOK983165:UOK983173 UYG983165:UYG983173 VIC983165:VIC983173 VRY983165:VRY983173 WBU983165:WBU983173 WLQ983165:WLQ983173 WVM983165:WVM983173 JA63:JA98 SW63:SW98 ACS63:ACS98 AMO63:AMO98 AWK63:AWK98 BGG63:BGG98 BQC63:BQC98 BZY63:BZY98 CJU63:CJU98 CTQ63:CTQ98 DDM63:DDM98 DNI63:DNI98 DXE63:DXE98 EHA63:EHA98 EQW63:EQW98 FAS63:FAS98 FKO63:FKO98 FUK63:FUK98 GEG63:GEG98 GOC63:GOC98 GXY63:GXY98 HHU63:HHU98 HRQ63:HRQ98 IBM63:IBM98 ILI63:ILI98 IVE63:IVE98 JFA63:JFA98 JOW63:JOW98 JYS63:JYS98 KIO63:KIO98 KSK63:KSK98 LCG63:LCG98 LMC63:LMC98 LVY63:LVY98 MFU63:MFU98 MPQ63:MPQ98 MZM63:MZM98 NJI63:NJI98 NTE63:NTE98 ODA63:ODA98 OMW63:OMW98 OWS63:OWS98 PGO63:PGO98 PQK63:PQK98 QAG63:QAG98 QKC63:QKC98 QTY63:QTY98 RDU63:RDU98 RNQ63:RNQ98 RXM63:RXM98 SHI63:SHI98 SRE63:SRE98 TBA63:TBA98 TKW63:TKW98 TUS63:TUS98 UEO63:UEO98 UOK63:UOK98 UYG63:UYG98 VIC63:VIC98 VRY63:VRY98 WBU63:WBU98 WLQ63:WLQ98 WVM63:WVM98 JA65672:JA65680 SW65672:SW65680 ACS65672:ACS65680 AMO65672:AMO65680 AWK65672:AWK65680 BGG65672:BGG65680 BQC65672:BQC65680 BZY65672:BZY65680 CJU65672:CJU65680 CTQ65672:CTQ65680 DDM65672:DDM65680 DNI65672:DNI65680 DXE65672:DXE65680 EHA65672:EHA65680 EQW65672:EQW65680 FAS65672:FAS65680 FKO65672:FKO65680 FUK65672:FUK65680 GEG65672:GEG65680 GOC65672:GOC65680 GXY65672:GXY65680 HHU65672:HHU65680 HRQ65672:HRQ65680 IBM65672:IBM65680 ILI65672:ILI65680 IVE65672:IVE65680 JFA65672:JFA65680 JOW65672:JOW65680 JYS65672:JYS65680 KIO65672:KIO65680 KSK65672:KSK65680 LCG65672:LCG65680 LMC65672:LMC65680 LVY65672:LVY65680 MFU65672:MFU65680 MPQ65672:MPQ65680 MZM65672:MZM65680 NJI65672:NJI65680 NTE65672:NTE65680 ODA65672:ODA65680 OMW65672:OMW65680 OWS65672:OWS65680 PGO65672:PGO65680 PQK65672:PQK65680 QAG65672:QAG65680 QKC65672:QKC65680 QTY65672:QTY65680 RDU65672:RDU65680 RNQ65672:RNQ65680 RXM65672:RXM65680 SHI65672:SHI65680 SRE65672:SRE65680 TBA65672:TBA65680 TKW65672:TKW65680 TUS65672:TUS65680 UEO65672:UEO65680 UOK65672:UOK65680 UYG65672:UYG65680 VIC65672:VIC65680 VRY65672:VRY65680 WBU65672:WBU65680 WLQ65672:WLQ65680 WVM65672:WVM65680 JA131208:JA131216 SW131208:SW131216 ACS131208:ACS131216 AMO131208:AMO131216 AWK131208:AWK131216 BGG131208:BGG131216 BQC131208:BQC131216 BZY131208:BZY131216 CJU131208:CJU131216 CTQ131208:CTQ131216 DDM131208:DDM131216 DNI131208:DNI131216 DXE131208:DXE131216 EHA131208:EHA131216 EQW131208:EQW131216 FAS131208:FAS131216 FKO131208:FKO131216 FUK131208:FUK131216 GEG131208:GEG131216 GOC131208:GOC131216 GXY131208:GXY131216 HHU131208:HHU131216 HRQ131208:HRQ131216 IBM131208:IBM131216 ILI131208:ILI131216 IVE131208:IVE131216 JFA131208:JFA131216 JOW131208:JOW131216 JYS131208:JYS131216 KIO131208:KIO131216 KSK131208:KSK131216 LCG131208:LCG131216 LMC131208:LMC131216 LVY131208:LVY131216 MFU131208:MFU131216 MPQ131208:MPQ131216 MZM131208:MZM131216 NJI131208:NJI131216 NTE131208:NTE131216 ODA131208:ODA131216 OMW131208:OMW131216 OWS131208:OWS131216 PGO131208:PGO131216 PQK131208:PQK131216 QAG131208:QAG131216 QKC131208:QKC131216 QTY131208:QTY131216 RDU131208:RDU131216 RNQ131208:RNQ131216 RXM131208:RXM131216 SHI131208:SHI131216 SRE131208:SRE131216 TBA131208:TBA131216 TKW131208:TKW131216 TUS131208:TUS131216 UEO131208:UEO131216 UOK131208:UOK131216 UYG131208:UYG131216 VIC131208:VIC131216 VRY131208:VRY131216 WBU131208:WBU131216 WLQ131208:WLQ131216 WVM131208:WVM131216 JA196744:JA196752 SW196744:SW196752 ACS196744:ACS196752 AMO196744:AMO196752 AWK196744:AWK196752 BGG196744:BGG196752 BQC196744:BQC196752 BZY196744:BZY196752 CJU196744:CJU196752 CTQ196744:CTQ196752 DDM196744:DDM196752 DNI196744:DNI196752 DXE196744:DXE196752 EHA196744:EHA196752 EQW196744:EQW196752 FAS196744:FAS196752 FKO196744:FKO196752 FUK196744:FUK196752 GEG196744:GEG196752 GOC196744:GOC196752 GXY196744:GXY196752 HHU196744:HHU196752 HRQ196744:HRQ196752 IBM196744:IBM196752 ILI196744:ILI196752 IVE196744:IVE196752 JFA196744:JFA196752 JOW196744:JOW196752 JYS196744:JYS196752 KIO196744:KIO196752 KSK196744:KSK196752 LCG196744:LCG196752 LMC196744:LMC196752 LVY196744:LVY196752 MFU196744:MFU196752 MPQ196744:MPQ196752 MZM196744:MZM196752 NJI196744:NJI196752 NTE196744:NTE196752 ODA196744:ODA196752 OMW196744:OMW196752 OWS196744:OWS196752 PGO196744:PGO196752 PQK196744:PQK196752 QAG196744:QAG196752 QKC196744:QKC196752 QTY196744:QTY196752 RDU196744:RDU196752 RNQ196744:RNQ196752 RXM196744:RXM196752 SHI196744:SHI196752 SRE196744:SRE196752 TBA196744:TBA196752 TKW196744:TKW196752 TUS196744:TUS196752 UEO196744:UEO196752 UOK196744:UOK196752 UYG196744:UYG196752 VIC196744:VIC196752 VRY196744:VRY196752 WBU196744:WBU196752 WLQ196744:WLQ196752 WVM196744:WVM196752 JA262280:JA262288 SW262280:SW262288 ACS262280:ACS262288 AMO262280:AMO262288 AWK262280:AWK262288 BGG262280:BGG262288 BQC262280:BQC262288 BZY262280:BZY262288 CJU262280:CJU262288 CTQ262280:CTQ262288 DDM262280:DDM262288 DNI262280:DNI262288 DXE262280:DXE262288 EHA262280:EHA262288 EQW262280:EQW262288 FAS262280:FAS262288 FKO262280:FKO262288 FUK262280:FUK262288 GEG262280:GEG262288 GOC262280:GOC262288 GXY262280:GXY262288 HHU262280:HHU262288 HRQ262280:HRQ262288 IBM262280:IBM262288 ILI262280:ILI262288 IVE262280:IVE262288 JFA262280:JFA262288 JOW262280:JOW262288 JYS262280:JYS262288 KIO262280:KIO262288 KSK262280:KSK262288 LCG262280:LCG262288 LMC262280:LMC262288 LVY262280:LVY262288 MFU262280:MFU262288 MPQ262280:MPQ262288 MZM262280:MZM262288 NJI262280:NJI262288 NTE262280:NTE262288 ODA262280:ODA262288 OMW262280:OMW262288 OWS262280:OWS262288 PGO262280:PGO262288 PQK262280:PQK262288 QAG262280:QAG262288 QKC262280:QKC262288 QTY262280:QTY262288 RDU262280:RDU262288 RNQ262280:RNQ262288 RXM262280:RXM262288 SHI262280:SHI262288 SRE262280:SRE262288 TBA262280:TBA262288 TKW262280:TKW262288 TUS262280:TUS262288 UEO262280:UEO262288 UOK262280:UOK262288 UYG262280:UYG262288 VIC262280:VIC262288 VRY262280:VRY262288 WBU262280:WBU262288 WLQ262280:WLQ262288 WVM262280:WVM262288 JA327816:JA327824 SW327816:SW327824 ACS327816:ACS327824 AMO327816:AMO327824 AWK327816:AWK327824 BGG327816:BGG327824 BQC327816:BQC327824 BZY327816:BZY327824 CJU327816:CJU327824 CTQ327816:CTQ327824 DDM327816:DDM327824 DNI327816:DNI327824 DXE327816:DXE327824 EHA327816:EHA327824 EQW327816:EQW327824 FAS327816:FAS327824 FKO327816:FKO327824 FUK327816:FUK327824 GEG327816:GEG327824 GOC327816:GOC327824 GXY327816:GXY327824 HHU327816:HHU327824 HRQ327816:HRQ327824 IBM327816:IBM327824 ILI327816:ILI327824 IVE327816:IVE327824 JFA327816:JFA327824 JOW327816:JOW327824 JYS327816:JYS327824 KIO327816:KIO327824 KSK327816:KSK327824 LCG327816:LCG327824 LMC327816:LMC327824 LVY327816:LVY327824 MFU327816:MFU327824 MPQ327816:MPQ327824 MZM327816:MZM327824 NJI327816:NJI327824 NTE327816:NTE327824 ODA327816:ODA327824 OMW327816:OMW327824 OWS327816:OWS327824 PGO327816:PGO327824 PQK327816:PQK327824 QAG327816:QAG327824 QKC327816:QKC327824 QTY327816:QTY327824 RDU327816:RDU327824 RNQ327816:RNQ327824 RXM327816:RXM327824 SHI327816:SHI327824 SRE327816:SRE327824 TBA327816:TBA327824 TKW327816:TKW327824 TUS327816:TUS327824 UEO327816:UEO327824 UOK327816:UOK327824 UYG327816:UYG327824 VIC327816:VIC327824 VRY327816:VRY327824 WBU327816:WBU327824 WLQ327816:WLQ327824 WVM327816:WVM327824 JA393352:JA393360 SW393352:SW393360 ACS393352:ACS393360 AMO393352:AMO393360 AWK393352:AWK393360 BGG393352:BGG393360 BQC393352:BQC393360 BZY393352:BZY393360 CJU393352:CJU393360 CTQ393352:CTQ393360 DDM393352:DDM393360 DNI393352:DNI393360 DXE393352:DXE393360 EHA393352:EHA393360 EQW393352:EQW393360 FAS393352:FAS393360 FKO393352:FKO393360 FUK393352:FUK393360 GEG393352:GEG393360 GOC393352:GOC393360 GXY393352:GXY393360 HHU393352:HHU393360 HRQ393352:HRQ393360 IBM393352:IBM393360 ILI393352:ILI393360 IVE393352:IVE393360 JFA393352:JFA393360 JOW393352:JOW393360 JYS393352:JYS393360 KIO393352:KIO393360 KSK393352:KSK393360 LCG393352:LCG393360 LMC393352:LMC393360 LVY393352:LVY393360 MFU393352:MFU393360 MPQ393352:MPQ393360 MZM393352:MZM393360 NJI393352:NJI393360 NTE393352:NTE393360 ODA393352:ODA393360 OMW393352:OMW393360 OWS393352:OWS393360 PGO393352:PGO393360 PQK393352:PQK393360 QAG393352:QAG393360 QKC393352:QKC393360 QTY393352:QTY393360 RDU393352:RDU393360 RNQ393352:RNQ393360 RXM393352:RXM393360 SHI393352:SHI393360 SRE393352:SRE393360 TBA393352:TBA393360 TKW393352:TKW393360 TUS393352:TUS393360 UEO393352:UEO393360 UOK393352:UOK393360 UYG393352:UYG393360 VIC393352:VIC393360 VRY393352:VRY393360 WBU393352:WBU393360 WLQ393352:WLQ393360 WVM393352:WVM393360 JA458888:JA458896 SW458888:SW458896 ACS458888:ACS458896 AMO458888:AMO458896 AWK458888:AWK458896 BGG458888:BGG458896 BQC458888:BQC458896 BZY458888:BZY458896 CJU458888:CJU458896 CTQ458888:CTQ458896 DDM458888:DDM458896 DNI458888:DNI458896 DXE458888:DXE458896 EHA458888:EHA458896 EQW458888:EQW458896 FAS458888:FAS458896 FKO458888:FKO458896 FUK458888:FUK458896 GEG458888:GEG458896 GOC458888:GOC458896 GXY458888:GXY458896 HHU458888:HHU458896 HRQ458888:HRQ458896 IBM458888:IBM458896 ILI458888:ILI458896 IVE458888:IVE458896 JFA458888:JFA458896 JOW458888:JOW458896 JYS458888:JYS458896 KIO458888:KIO458896 KSK458888:KSK458896 LCG458888:LCG458896 LMC458888:LMC458896 LVY458888:LVY458896 MFU458888:MFU458896 MPQ458888:MPQ458896 MZM458888:MZM458896 NJI458888:NJI458896 NTE458888:NTE458896 ODA458888:ODA458896 OMW458888:OMW458896 OWS458888:OWS458896 PGO458888:PGO458896 PQK458888:PQK458896 QAG458888:QAG458896 QKC458888:QKC458896 QTY458888:QTY458896 RDU458888:RDU458896 RNQ458888:RNQ458896 RXM458888:RXM458896 SHI458888:SHI458896 SRE458888:SRE458896 TBA458888:TBA458896 TKW458888:TKW458896 TUS458888:TUS458896 UEO458888:UEO458896 UOK458888:UOK458896 UYG458888:UYG458896 VIC458888:VIC458896 VRY458888:VRY458896 WBU458888:WBU458896 WLQ458888:WLQ458896 WVM458888:WVM458896 JA524424:JA524432 SW524424:SW524432 ACS524424:ACS524432 AMO524424:AMO524432 AWK524424:AWK524432 BGG524424:BGG524432 BQC524424:BQC524432 BZY524424:BZY524432 CJU524424:CJU524432 CTQ524424:CTQ524432 DDM524424:DDM524432 DNI524424:DNI524432 DXE524424:DXE524432 EHA524424:EHA524432 EQW524424:EQW524432 FAS524424:FAS524432 FKO524424:FKO524432 FUK524424:FUK524432 GEG524424:GEG524432 GOC524424:GOC524432 GXY524424:GXY524432 HHU524424:HHU524432 HRQ524424:HRQ524432 IBM524424:IBM524432 ILI524424:ILI524432 IVE524424:IVE524432 JFA524424:JFA524432 JOW524424:JOW524432 JYS524424:JYS524432 KIO524424:KIO524432 KSK524424:KSK524432 LCG524424:LCG524432 LMC524424:LMC524432 LVY524424:LVY524432 MFU524424:MFU524432 MPQ524424:MPQ524432 MZM524424:MZM524432 NJI524424:NJI524432 NTE524424:NTE524432 ODA524424:ODA524432 OMW524424:OMW524432 OWS524424:OWS524432 PGO524424:PGO524432 PQK524424:PQK524432 QAG524424:QAG524432 QKC524424:QKC524432 QTY524424:QTY524432 RDU524424:RDU524432 RNQ524424:RNQ524432 RXM524424:RXM524432 SHI524424:SHI524432 SRE524424:SRE524432 TBA524424:TBA524432 TKW524424:TKW524432 TUS524424:TUS524432 UEO524424:UEO524432 UOK524424:UOK524432 UYG524424:UYG524432 VIC524424:VIC524432 VRY524424:VRY524432 WBU524424:WBU524432 WLQ524424:WLQ524432 WVM524424:WVM524432 JA589960:JA589968 SW589960:SW589968 ACS589960:ACS589968 AMO589960:AMO589968 AWK589960:AWK589968 BGG589960:BGG589968 BQC589960:BQC589968 BZY589960:BZY589968 CJU589960:CJU589968 CTQ589960:CTQ589968 DDM589960:DDM589968 DNI589960:DNI589968 DXE589960:DXE589968 EHA589960:EHA589968 EQW589960:EQW589968 FAS589960:FAS589968 FKO589960:FKO589968 FUK589960:FUK589968 GEG589960:GEG589968 GOC589960:GOC589968 GXY589960:GXY589968 HHU589960:HHU589968 HRQ589960:HRQ589968 IBM589960:IBM589968 ILI589960:ILI589968 IVE589960:IVE589968 JFA589960:JFA589968 JOW589960:JOW589968 JYS589960:JYS589968 KIO589960:KIO589968 KSK589960:KSK589968 LCG589960:LCG589968 LMC589960:LMC589968 LVY589960:LVY589968 MFU589960:MFU589968 MPQ589960:MPQ589968 MZM589960:MZM589968 NJI589960:NJI589968 NTE589960:NTE589968 ODA589960:ODA589968 OMW589960:OMW589968 OWS589960:OWS589968 PGO589960:PGO589968 PQK589960:PQK589968 QAG589960:QAG589968 QKC589960:QKC589968 QTY589960:QTY589968 RDU589960:RDU589968 RNQ589960:RNQ589968 RXM589960:RXM589968 SHI589960:SHI589968 SRE589960:SRE589968 TBA589960:TBA589968 TKW589960:TKW589968 TUS589960:TUS589968 UEO589960:UEO589968 UOK589960:UOK589968 UYG589960:UYG589968 VIC589960:VIC589968 VRY589960:VRY589968 WBU589960:WBU589968 WLQ589960:WLQ589968 WVM589960:WVM589968 JA655496:JA655504 SW655496:SW655504 ACS655496:ACS655504 AMO655496:AMO655504 AWK655496:AWK655504 BGG655496:BGG655504 BQC655496:BQC655504 BZY655496:BZY655504 CJU655496:CJU655504 CTQ655496:CTQ655504 DDM655496:DDM655504 DNI655496:DNI655504 DXE655496:DXE655504 EHA655496:EHA655504 EQW655496:EQW655504 FAS655496:FAS655504 FKO655496:FKO655504 FUK655496:FUK655504 GEG655496:GEG655504 GOC655496:GOC655504 GXY655496:GXY655504 HHU655496:HHU655504 HRQ655496:HRQ655504 IBM655496:IBM655504 ILI655496:ILI655504 IVE655496:IVE655504 JFA655496:JFA655504 JOW655496:JOW655504 JYS655496:JYS655504 KIO655496:KIO655504 KSK655496:KSK655504 LCG655496:LCG655504 LMC655496:LMC655504 LVY655496:LVY655504 MFU655496:MFU655504 MPQ655496:MPQ655504 MZM655496:MZM655504 NJI655496:NJI655504 NTE655496:NTE655504 ODA655496:ODA655504 OMW655496:OMW655504 OWS655496:OWS655504 PGO655496:PGO655504 PQK655496:PQK655504 QAG655496:QAG655504 QKC655496:QKC655504 QTY655496:QTY655504 RDU655496:RDU655504 RNQ655496:RNQ655504 RXM655496:RXM655504 SHI655496:SHI655504 SRE655496:SRE655504 TBA655496:TBA655504 TKW655496:TKW655504 TUS655496:TUS655504 UEO655496:UEO655504 UOK655496:UOK655504 UYG655496:UYG655504 VIC655496:VIC655504 VRY655496:VRY655504 WBU655496:WBU655504 WLQ655496:WLQ655504 WVM655496:WVM655504 JA721032:JA721040 SW721032:SW721040 ACS721032:ACS721040 AMO721032:AMO721040 AWK721032:AWK721040 BGG721032:BGG721040 BQC721032:BQC721040 BZY721032:BZY721040 CJU721032:CJU721040 CTQ721032:CTQ721040 DDM721032:DDM721040 DNI721032:DNI721040 DXE721032:DXE721040 EHA721032:EHA721040 EQW721032:EQW721040 FAS721032:FAS721040 FKO721032:FKO721040 FUK721032:FUK721040 GEG721032:GEG721040 GOC721032:GOC721040 GXY721032:GXY721040 HHU721032:HHU721040 HRQ721032:HRQ721040 IBM721032:IBM721040 ILI721032:ILI721040 IVE721032:IVE721040 JFA721032:JFA721040 JOW721032:JOW721040 JYS721032:JYS721040 KIO721032:KIO721040 KSK721032:KSK721040 LCG721032:LCG721040 LMC721032:LMC721040 LVY721032:LVY721040 MFU721032:MFU721040 MPQ721032:MPQ721040 MZM721032:MZM721040 NJI721032:NJI721040 NTE721032:NTE721040 ODA721032:ODA721040 OMW721032:OMW721040 OWS721032:OWS721040 PGO721032:PGO721040 PQK721032:PQK721040 QAG721032:QAG721040 QKC721032:QKC721040 QTY721032:QTY721040 RDU721032:RDU721040 RNQ721032:RNQ721040 RXM721032:RXM721040 SHI721032:SHI721040 SRE721032:SRE721040 TBA721032:TBA721040 TKW721032:TKW721040 TUS721032:TUS721040 UEO721032:UEO721040 UOK721032:UOK721040 UYG721032:UYG721040 VIC721032:VIC721040 VRY721032:VRY721040 WBU721032:WBU721040 WLQ721032:WLQ721040 WVM721032:WVM721040 JA786568:JA786576 SW786568:SW786576 ACS786568:ACS786576 AMO786568:AMO786576 AWK786568:AWK786576 BGG786568:BGG786576 BQC786568:BQC786576 BZY786568:BZY786576 CJU786568:CJU786576 CTQ786568:CTQ786576 DDM786568:DDM786576 DNI786568:DNI786576 DXE786568:DXE786576 EHA786568:EHA786576 EQW786568:EQW786576 FAS786568:FAS786576 FKO786568:FKO786576 FUK786568:FUK786576 GEG786568:GEG786576 GOC786568:GOC786576 GXY786568:GXY786576 HHU786568:HHU786576 HRQ786568:HRQ786576 IBM786568:IBM786576 ILI786568:ILI786576 IVE786568:IVE786576 JFA786568:JFA786576 JOW786568:JOW786576 JYS786568:JYS786576 KIO786568:KIO786576 KSK786568:KSK786576 LCG786568:LCG786576 LMC786568:LMC786576 LVY786568:LVY786576 MFU786568:MFU786576 MPQ786568:MPQ786576 MZM786568:MZM786576 NJI786568:NJI786576 NTE786568:NTE786576 ODA786568:ODA786576 OMW786568:OMW786576 OWS786568:OWS786576 PGO786568:PGO786576 PQK786568:PQK786576 QAG786568:QAG786576 QKC786568:QKC786576 QTY786568:QTY786576 RDU786568:RDU786576 RNQ786568:RNQ786576 RXM786568:RXM786576 SHI786568:SHI786576 SRE786568:SRE786576 TBA786568:TBA786576 TKW786568:TKW786576 TUS786568:TUS786576 UEO786568:UEO786576 UOK786568:UOK786576 UYG786568:UYG786576 VIC786568:VIC786576 VRY786568:VRY786576 WBU786568:WBU786576 WLQ786568:WLQ786576 WVM786568:WVM786576 JA852104:JA852112 SW852104:SW852112 ACS852104:ACS852112 AMO852104:AMO852112 AWK852104:AWK852112 BGG852104:BGG852112 BQC852104:BQC852112 BZY852104:BZY852112 CJU852104:CJU852112 CTQ852104:CTQ852112 DDM852104:DDM852112 DNI852104:DNI852112 DXE852104:DXE852112 EHA852104:EHA852112 EQW852104:EQW852112 FAS852104:FAS852112 FKO852104:FKO852112 FUK852104:FUK852112 GEG852104:GEG852112 GOC852104:GOC852112 GXY852104:GXY852112 HHU852104:HHU852112 HRQ852104:HRQ852112 IBM852104:IBM852112 ILI852104:ILI852112 IVE852104:IVE852112 JFA852104:JFA852112 JOW852104:JOW852112 JYS852104:JYS852112 KIO852104:KIO852112 KSK852104:KSK852112 LCG852104:LCG852112 LMC852104:LMC852112 LVY852104:LVY852112 MFU852104:MFU852112 MPQ852104:MPQ852112 MZM852104:MZM852112 NJI852104:NJI852112 NTE852104:NTE852112 ODA852104:ODA852112 OMW852104:OMW852112 OWS852104:OWS852112 PGO852104:PGO852112 PQK852104:PQK852112 QAG852104:QAG852112 QKC852104:QKC852112 QTY852104:QTY852112 RDU852104:RDU852112 RNQ852104:RNQ852112 RXM852104:RXM852112 SHI852104:SHI852112 SRE852104:SRE852112 TBA852104:TBA852112 TKW852104:TKW852112 TUS852104:TUS852112 UEO852104:UEO852112 UOK852104:UOK852112 UYG852104:UYG852112 VIC852104:VIC852112 VRY852104:VRY852112 WBU852104:WBU852112 WLQ852104:WLQ852112 WVM852104:WVM852112 JA917640:JA917648 SW917640:SW917648 ACS917640:ACS917648 AMO917640:AMO917648 AWK917640:AWK917648 BGG917640:BGG917648 BQC917640:BQC917648 BZY917640:BZY917648 CJU917640:CJU917648 CTQ917640:CTQ917648 DDM917640:DDM917648 DNI917640:DNI917648 DXE917640:DXE917648 EHA917640:EHA917648 EQW917640:EQW917648 FAS917640:FAS917648 FKO917640:FKO917648 FUK917640:FUK917648 GEG917640:GEG917648 GOC917640:GOC917648 GXY917640:GXY917648 HHU917640:HHU917648 HRQ917640:HRQ917648 IBM917640:IBM917648 ILI917640:ILI917648 IVE917640:IVE917648 JFA917640:JFA917648 JOW917640:JOW917648 JYS917640:JYS917648 KIO917640:KIO917648 KSK917640:KSK917648 LCG917640:LCG917648 LMC917640:LMC917648 LVY917640:LVY917648 MFU917640:MFU917648 MPQ917640:MPQ917648 MZM917640:MZM917648 NJI917640:NJI917648 NTE917640:NTE917648 ODA917640:ODA917648 OMW917640:OMW917648 OWS917640:OWS917648 PGO917640:PGO917648 PQK917640:PQK917648 QAG917640:QAG917648 QKC917640:QKC917648 QTY917640:QTY917648 RDU917640:RDU917648 RNQ917640:RNQ917648 RXM917640:RXM917648 SHI917640:SHI917648 SRE917640:SRE917648 TBA917640:TBA917648 TKW917640:TKW917648 TUS917640:TUS917648 UEO917640:UEO917648 UOK917640:UOK917648 UYG917640:UYG917648 VIC917640:VIC917648 VRY917640:VRY917648 WBU917640:WBU917648 WLQ917640:WLQ917648 WVM917640:WVM917648 JA983176:JA983184 SW983176:SW983184 ACS983176:ACS983184 AMO983176:AMO983184 AWK983176:AWK983184 BGG983176:BGG983184 BQC983176:BQC983184 BZY983176:BZY983184 CJU983176:CJU983184 CTQ983176:CTQ983184 DDM983176:DDM983184 DNI983176:DNI983184 DXE983176:DXE983184 EHA983176:EHA983184 EQW983176:EQW983184 FAS983176:FAS983184 FKO983176:FKO983184 FUK983176:FUK983184 GEG983176:GEG983184 GOC983176:GOC983184 GXY983176:GXY983184 HHU983176:HHU983184 HRQ983176:HRQ983184 IBM983176:IBM983184 ILI983176:ILI983184 IVE983176:IVE983184 JFA983176:JFA983184 JOW983176:JOW983184 JYS983176:JYS983184 KIO983176:KIO983184 KSK983176:KSK983184 LCG983176:LCG983184 LMC983176:LMC983184 LVY983176:LVY983184 MFU983176:MFU983184 MPQ983176:MPQ983184 MZM983176:MZM983184 NJI983176:NJI983184 NTE983176:NTE983184 ODA983176:ODA983184 OMW983176:OMW983184 OWS983176:OWS983184 PGO983176:PGO983184 PQK983176:PQK983184 QAG983176:QAG983184 QKC983176:QKC983184 QTY983176:QTY983184 RDU983176:RDU983184 RNQ983176:RNQ983184 RXM983176:RXM983184 SHI983176:SHI983184 SRE983176:SRE983184 TBA983176:TBA983184 TKW983176:TKW983184 TUS983176:TUS983184 UEO983176:UEO983184 UOK983176:UOK983184 UYG983176:UYG983184 VIC983176:VIC983184 VRY983176:VRY983184 WBU983176:WBU983184 WLQ983176:WLQ983184 WVM983176:WVM983184 E12:E34" xr:uid="{00000000-0002-0000-0500-000002000000}"/>
    <dataValidation allowBlank="1" showInputMessage="1" showErrorMessage="1" prompt="traer el valor definido en la hoja &quot;honorarios Corporativos&quot;" sqref="WVN983176:WVN983184 JB12:JB60 SX12:SX60 ACT12:ACT60 AMP12:AMP60 AWL12:AWL60 BGH12:BGH60 BQD12:BQD60 BZZ12:BZZ60 CJV12:CJV60 CTR12:CTR60 DDN12:DDN60 DNJ12:DNJ60 DXF12:DXF60 EHB12:EHB60 EQX12:EQX60 FAT12:FAT60 FKP12:FKP60 FUL12:FUL60 GEH12:GEH60 GOD12:GOD60 GXZ12:GXZ60 HHV12:HHV60 HRR12:HRR60 IBN12:IBN60 ILJ12:ILJ60 IVF12:IVF60 JFB12:JFB60 JOX12:JOX60 JYT12:JYT60 KIP12:KIP60 KSL12:KSL60 LCH12:LCH60 LMD12:LMD60 LVZ12:LVZ60 MFV12:MFV60 MPR12:MPR60 MZN12:MZN60 NJJ12:NJJ60 NTF12:NTF60 ODB12:ODB60 OMX12:OMX60 OWT12:OWT60 PGP12:PGP60 PQL12:PQL60 QAH12:QAH60 QKD12:QKD60 QTZ12:QTZ60 RDV12:RDV60 RNR12:RNR60 RXN12:RXN60 SHJ12:SHJ60 SRF12:SRF60 TBB12:TBB60 TKX12:TKX60 TUT12:TUT60 UEP12:UEP60 UOL12:UOL60 UYH12:UYH60 VID12:VID60 VRZ12:VRZ60 WBV12:WBV60 WLR12:WLR60 WVN12:WVN60 E65662:E65670 JB65661:JB65669 SX65661:SX65669 ACT65661:ACT65669 AMP65661:AMP65669 AWL65661:AWL65669 BGH65661:BGH65669 BQD65661:BQD65669 BZZ65661:BZZ65669 CJV65661:CJV65669 CTR65661:CTR65669 DDN65661:DDN65669 DNJ65661:DNJ65669 DXF65661:DXF65669 EHB65661:EHB65669 EQX65661:EQX65669 FAT65661:FAT65669 FKP65661:FKP65669 FUL65661:FUL65669 GEH65661:GEH65669 GOD65661:GOD65669 GXZ65661:GXZ65669 HHV65661:HHV65669 HRR65661:HRR65669 IBN65661:IBN65669 ILJ65661:ILJ65669 IVF65661:IVF65669 JFB65661:JFB65669 JOX65661:JOX65669 JYT65661:JYT65669 KIP65661:KIP65669 KSL65661:KSL65669 LCH65661:LCH65669 LMD65661:LMD65669 LVZ65661:LVZ65669 MFV65661:MFV65669 MPR65661:MPR65669 MZN65661:MZN65669 NJJ65661:NJJ65669 NTF65661:NTF65669 ODB65661:ODB65669 OMX65661:OMX65669 OWT65661:OWT65669 PGP65661:PGP65669 PQL65661:PQL65669 QAH65661:QAH65669 QKD65661:QKD65669 QTZ65661:QTZ65669 RDV65661:RDV65669 RNR65661:RNR65669 RXN65661:RXN65669 SHJ65661:SHJ65669 SRF65661:SRF65669 TBB65661:TBB65669 TKX65661:TKX65669 TUT65661:TUT65669 UEP65661:UEP65669 UOL65661:UOL65669 UYH65661:UYH65669 VID65661:VID65669 VRZ65661:VRZ65669 WBV65661:WBV65669 WLR65661:WLR65669 WVN65661:WVN65669 E131198:E131206 JB131197:JB131205 SX131197:SX131205 ACT131197:ACT131205 AMP131197:AMP131205 AWL131197:AWL131205 BGH131197:BGH131205 BQD131197:BQD131205 BZZ131197:BZZ131205 CJV131197:CJV131205 CTR131197:CTR131205 DDN131197:DDN131205 DNJ131197:DNJ131205 DXF131197:DXF131205 EHB131197:EHB131205 EQX131197:EQX131205 FAT131197:FAT131205 FKP131197:FKP131205 FUL131197:FUL131205 GEH131197:GEH131205 GOD131197:GOD131205 GXZ131197:GXZ131205 HHV131197:HHV131205 HRR131197:HRR131205 IBN131197:IBN131205 ILJ131197:ILJ131205 IVF131197:IVF131205 JFB131197:JFB131205 JOX131197:JOX131205 JYT131197:JYT131205 KIP131197:KIP131205 KSL131197:KSL131205 LCH131197:LCH131205 LMD131197:LMD131205 LVZ131197:LVZ131205 MFV131197:MFV131205 MPR131197:MPR131205 MZN131197:MZN131205 NJJ131197:NJJ131205 NTF131197:NTF131205 ODB131197:ODB131205 OMX131197:OMX131205 OWT131197:OWT131205 PGP131197:PGP131205 PQL131197:PQL131205 QAH131197:QAH131205 QKD131197:QKD131205 QTZ131197:QTZ131205 RDV131197:RDV131205 RNR131197:RNR131205 RXN131197:RXN131205 SHJ131197:SHJ131205 SRF131197:SRF131205 TBB131197:TBB131205 TKX131197:TKX131205 TUT131197:TUT131205 UEP131197:UEP131205 UOL131197:UOL131205 UYH131197:UYH131205 VID131197:VID131205 VRZ131197:VRZ131205 WBV131197:WBV131205 WLR131197:WLR131205 WVN131197:WVN131205 E196734:E196742 JB196733:JB196741 SX196733:SX196741 ACT196733:ACT196741 AMP196733:AMP196741 AWL196733:AWL196741 BGH196733:BGH196741 BQD196733:BQD196741 BZZ196733:BZZ196741 CJV196733:CJV196741 CTR196733:CTR196741 DDN196733:DDN196741 DNJ196733:DNJ196741 DXF196733:DXF196741 EHB196733:EHB196741 EQX196733:EQX196741 FAT196733:FAT196741 FKP196733:FKP196741 FUL196733:FUL196741 GEH196733:GEH196741 GOD196733:GOD196741 GXZ196733:GXZ196741 HHV196733:HHV196741 HRR196733:HRR196741 IBN196733:IBN196741 ILJ196733:ILJ196741 IVF196733:IVF196741 JFB196733:JFB196741 JOX196733:JOX196741 JYT196733:JYT196741 KIP196733:KIP196741 KSL196733:KSL196741 LCH196733:LCH196741 LMD196733:LMD196741 LVZ196733:LVZ196741 MFV196733:MFV196741 MPR196733:MPR196741 MZN196733:MZN196741 NJJ196733:NJJ196741 NTF196733:NTF196741 ODB196733:ODB196741 OMX196733:OMX196741 OWT196733:OWT196741 PGP196733:PGP196741 PQL196733:PQL196741 QAH196733:QAH196741 QKD196733:QKD196741 QTZ196733:QTZ196741 RDV196733:RDV196741 RNR196733:RNR196741 RXN196733:RXN196741 SHJ196733:SHJ196741 SRF196733:SRF196741 TBB196733:TBB196741 TKX196733:TKX196741 TUT196733:TUT196741 UEP196733:UEP196741 UOL196733:UOL196741 UYH196733:UYH196741 VID196733:VID196741 VRZ196733:VRZ196741 WBV196733:WBV196741 WLR196733:WLR196741 WVN196733:WVN196741 E262270:E262278 JB262269:JB262277 SX262269:SX262277 ACT262269:ACT262277 AMP262269:AMP262277 AWL262269:AWL262277 BGH262269:BGH262277 BQD262269:BQD262277 BZZ262269:BZZ262277 CJV262269:CJV262277 CTR262269:CTR262277 DDN262269:DDN262277 DNJ262269:DNJ262277 DXF262269:DXF262277 EHB262269:EHB262277 EQX262269:EQX262277 FAT262269:FAT262277 FKP262269:FKP262277 FUL262269:FUL262277 GEH262269:GEH262277 GOD262269:GOD262277 GXZ262269:GXZ262277 HHV262269:HHV262277 HRR262269:HRR262277 IBN262269:IBN262277 ILJ262269:ILJ262277 IVF262269:IVF262277 JFB262269:JFB262277 JOX262269:JOX262277 JYT262269:JYT262277 KIP262269:KIP262277 KSL262269:KSL262277 LCH262269:LCH262277 LMD262269:LMD262277 LVZ262269:LVZ262277 MFV262269:MFV262277 MPR262269:MPR262277 MZN262269:MZN262277 NJJ262269:NJJ262277 NTF262269:NTF262277 ODB262269:ODB262277 OMX262269:OMX262277 OWT262269:OWT262277 PGP262269:PGP262277 PQL262269:PQL262277 QAH262269:QAH262277 QKD262269:QKD262277 QTZ262269:QTZ262277 RDV262269:RDV262277 RNR262269:RNR262277 RXN262269:RXN262277 SHJ262269:SHJ262277 SRF262269:SRF262277 TBB262269:TBB262277 TKX262269:TKX262277 TUT262269:TUT262277 UEP262269:UEP262277 UOL262269:UOL262277 UYH262269:UYH262277 VID262269:VID262277 VRZ262269:VRZ262277 WBV262269:WBV262277 WLR262269:WLR262277 WVN262269:WVN262277 E327806:E327814 JB327805:JB327813 SX327805:SX327813 ACT327805:ACT327813 AMP327805:AMP327813 AWL327805:AWL327813 BGH327805:BGH327813 BQD327805:BQD327813 BZZ327805:BZZ327813 CJV327805:CJV327813 CTR327805:CTR327813 DDN327805:DDN327813 DNJ327805:DNJ327813 DXF327805:DXF327813 EHB327805:EHB327813 EQX327805:EQX327813 FAT327805:FAT327813 FKP327805:FKP327813 FUL327805:FUL327813 GEH327805:GEH327813 GOD327805:GOD327813 GXZ327805:GXZ327813 HHV327805:HHV327813 HRR327805:HRR327813 IBN327805:IBN327813 ILJ327805:ILJ327813 IVF327805:IVF327813 JFB327805:JFB327813 JOX327805:JOX327813 JYT327805:JYT327813 KIP327805:KIP327813 KSL327805:KSL327813 LCH327805:LCH327813 LMD327805:LMD327813 LVZ327805:LVZ327813 MFV327805:MFV327813 MPR327805:MPR327813 MZN327805:MZN327813 NJJ327805:NJJ327813 NTF327805:NTF327813 ODB327805:ODB327813 OMX327805:OMX327813 OWT327805:OWT327813 PGP327805:PGP327813 PQL327805:PQL327813 QAH327805:QAH327813 QKD327805:QKD327813 QTZ327805:QTZ327813 RDV327805:RDV327813 RNR327805:RNR327813 RXN327805:RXN327813 SHJ327805:SHJ327813 SRF327805:SRF327813 TBB327805:TBB327813 TKX327805:TKX327813 TUT327805:TUT327813 UEP327805:UEP327813 UOL327805:UOL327813 UYH327805:UYH327813 VID327805:VID327813 VRZ327805:VRZ327813 WBV327805:WBV327813 WLR327805:WLR327813 WVN327805:WVN327813 E393342:E393350 JB393341:JB393349 SX393341:SX393349 ACT393341:ACT393349 AMP393341:AMP393349 AWL393341:AWL393349 BGH393341:BGH393349 BQD393341:BQD393349 BZZ393341:BZZ393349 CJV393341:CJV393349 CTR393341:CTR393349 DDN393341:DDN393349 DNJ393341:DNJ393349 DXF393341:DXF393349 EHB393341:EHB393349 EQX393341:EQX393349 FAT393341:FAT393349 FKP393341:FKP393349 FUL393341:FUL393349 GEH393341:GEH393349 GOD393341:GOD393349 GXZ393341:GXZ393349 HHV393341:HHV393349 HRR393341:HRR393349 IBN393341:IBN393349 ILJ393341:ILJ393349 IVF393341:IVF393349 JFB393341:JFB393349 JOX393341:JOX393349 JYT393341:JYT393349 KIP393341:KIP393349 KSL393341:KSL393349 LCH393341:LCH393349 LMD393341:LMD393349 LVZ393341:LVZ393349 MFV393341:MFV393349 MPR393341:MPR393349 MZN393341:MZN393349 NJJ393341:NJJ393349 NTF393341:NTF393349 ODB393341:ODB393349 OMX393341:OMX393349 OWT393341:OWT393349 PGP393341:PGP393349 PQL393341:PQL393349 QAH393341:QAH393349 QKD393341:QKD393349 QTZ393341:QTZ393349 RDV393341:RDV393349 RNR393341:RNR393349 RXN393341:RXN393349 SHJ393341:SHJ393349 SRF393341:SRF393349 TBB393341:TBB393349 TKX393341:TKX393349 TUT393341:TUT393349 UEP393341:UEP393349 UOL393341:UOL393349 UYH393341:UYH393349 VID393341:VID393349 VRZ393341:VRZ393349 WBV393341:WBV393349 WLR393341:WLR393349 WVN393341:WVN393349 E458878:E458886 JB458877:JB458885 SX458877:SX458885 ACT458877:ACT458885 AMP458877:AMP458885 AWL458877:AWL458885 BGH458877:BGH458885 BQD458877:BQD458885 BZZ458877:BZZ458885 CJV458877:CJV458885 CTR458877:CTR458885 DDN458877:DDN458885 DNJ458877:DNJ458885 DXF458877:DXF458885 EHB458877:EHB458885 EQX458877:EQX458885 FAT458877:FAT458885 FKP458877:FKP458885 FUL458877:FUL458885 GEH458877:GEH458885 GOD458877:GOD458885 GXZ458877:GXZ458885 HHV458877:HHV458885 HRR458877:HRR458885 IBN458877:IBN458885 ILJ458877:ILJ458885 IVF458877:IVF458885 JFB458877:JFB458885 JOX458877:JOX458885 JYT458877:JYT458885 KIP458877:KIP458885 KSL458877:KSL458885 LCH458877:LCH458885 LMD458877:LMD458885 LVZ458877:LVZ458885 MFV458877:MFV458885 MPR458877:MPR458885 MZN458877:MZN458885 NJJ458877:NJJ458885 NTF458877:NTF458885 ODB458877:ODB458885 OMX458877:OMX458885 OWT458877:OWT458885 PGP458877:PGP458885 PQL458877:PQL458885 QAH458877:QAH458885 QKD458877:QKD458885 QTZ458877:QTZ458885 RDV458877:RDV458885 RNR458877:RNR458885 RXN458877:RXN458885 SHJ458877:SHJ458885 SRF458877:SRF458885 TBB458877:TBB458885 TKX458877:TKX458885 TUT458877:TUT458885 UEP458877:UEP458885 UOL458877:UOL458885 UYH458877:UYH458885 VID458877:VID458885 VRZ458877:VRZ458885 WBV458877:WBV458885 WLR458877:WLR458885 WVN458877:WVN458885 E524414:E524422 JB524413:JB524421 SX524413:SX524421 ACT524413:ACT524421 AMP524413:AMP524421 AWL524413:AWL524421 BGH524413:BGH524421 BQD524413:BQD524421 BZZ524413:BZZ524421 CJV524413:CJV524421 CTR524413:CTR524421 DDN524413:DDN524421 DNJ524413:DNJ524421 DXF524413:DXF524421 EHB524413:EHB524421 EQX524413:EQX524421 FAT524413:FAT524421 FKP524413:FKP524421 FUL524413:FUL524421 GEH524413:GEH524421 GOD524413:GOD524421 GXZ524413:GXZ524421 HHV524413:HHV524421 HRR524413:HRR524421 IBN524413:IBN524421 ILJ524413:ILJ524421 IVF524413:IVF524421 JFB524413:JFB524421 JOX524413:JOX524421 JYT524413:JYT524421 KIP524413:KIP524421 KSL524413:KSL524421 LCH524413:LCH524421 LMD524413:LMD524421 LVZ524413:LVZ524421 MFV524413:MFV524421 MPR524413:MPR524421 MZN524413:MZN524421 NJJ524413:NJJ524421 NTF524413:NTF524421 ODB524413:ODB524421 OMX524413:OMX524421 OWT524413:OWT524421 PGP524413:PGP524421 PQL524413:PQL524421 QAH524413:QAH524421 QKD524413:QKD524421 QTZ524413:QTZ524421 RDV524413:RDV524421 RNR524413:RNR524421 RXN524413:RXN524421 SHJ524413:SHJ524421 SRF524413:SRF524421 TBB524413:TBB524421 TKX524413:TKX524421 TUT524413:TUT524421 UEP524413:UEP524421 UOL524413:UOL524421 UYH524413:UYH524421 VID524413:VID524421 VRZ524413:VRZ524421 WBV524413:WBV524421 WLR524413:WLR524421 WVN524413:WVN524421 E589950:E589958 JB589949:JB589957 SX589949:SX589957 ACT589949:ACT589957 AMP589949:AMP589957 AWL589949:AWL589957 BGH589949:BGH589957 BQD589949:BQD589957 BZZ589949:BZZ589957 CJV589949:CJV589957 CTR589949:CTR589957 DDN589949:DDN589957 DNJ589949:DNJ589957 DXF589949:DXF589957 EHB589949:EHB589957 EQX589949:EQX589957 FAT589949:FAT589957 FKP589949:FKP589957 FUL589949:FUL589957 GEH589949:GEH589957 GOD589949:GOD589957 GXZ589949:GXZ589957 HHV589949:HHV589957 HRR589949:HRR589957 IBN589949:IBN589957 ILJ589949:ILJ589957 IVF589949:IVF589957 JFB589949:JFB589957 JOX589949:JOX589957 JYT589949:JYT589957 KIP589949:KIP589957 KSL589949:KSL589957 LCH589949:LCH589957 LMD589949:LMD589957 LVZ589949:LVZ589957 MFV589949:MFV589957 MPR589949:MPR589957 MZN589949:MZN589957 NJJ589949:NJJ589957 NTF589949:NTF589957 ODB589949:ODB589957 OMX589949:OMX589957 OWT589949:OWT589957 PGP589949:PGP589957 PQL589949:PQL589957 QAH589949:QAH589957 QKD589949:QKD589957 QTZ589949:QTZ589957 RDV589949:RDV589957 RNR589949:RNR589957 RXN589949:RXN589957 SHJ589949:SHJ589957 SRF589949:SRF589957 TBB589949:TBB589957 TKX589949:TKX589957 TUT589949:TUT589957 UEP589949:UEP589957 UOL589949:UOL589957 UYH589949:UYH589957 VID589949:VID589957 VRZ589949:VRZ589957 WBV589949:WBV589957 WLR589949:WLR589957 WVN589949:WVN589957 E655486:E655494 JB655485:JB655493 SX655485:SX655493 ACT655485:ACT655493 AMP655485:AMP655493 AWL655485:AWL655493 BGH655485:BGH655493 BQD655485:BQD655493 BZZ655485:BZZ655493 CJV655485:CJV655493 CTR655485:CTR655493 DDN655485:DDN655493 DNJ655485:DNJ655493 DXF655485:DXF655493 EHB655485:EHB655493 EQX655485:EQX655493 FAT655485:FAT655493 FKP655485:FKP655493 FUL655485:FUL655493 GEH655485:GEH655493 GOD655485:GOD655493 GXZ655485:GXZ655493 HHV655485:HHV655493 HRR655485:HRR655493 IBN655485:IBN655493 ILJ655485:ILJ655493 IVF655485:IVF655493 JFB655485:JFB655493 JOX655485:JOX655493 JYT655485:JYT655493 KIP655485:KIP655493 KSL655485:KSL655493 LCH655485:LCH655493 LMD655485:LMD655493 LVZ655485:LVZ655493 MFV655485:MFV655493 MPR655485:MPR655493 MZN655485:MZN655493 NJJ655485:NJJ655493 NTF655485:NTF655493 ODB655485:ODB655493 OMX655485:OMX655493 OWT655485:OWT655493 PGP655485:PGP655493 PQL655485:PQL655493 QAH655485:QAH655493 QKD655485:QKD655493 QTZ655485:QTZ655493 RDV655485:RDV655493 RNR655485:RNR655493 RXN655485:RXN655493 SHJ655485:SHJ655493 SRF655485:SRF655493 TBB655485:TBB655493 TKX655485:TKX655493 TUT655485:TUT655493 UEP655485:UEP655493 UOL655485:UOL655493 UYH655485:UYH655493 VID655485:VID655493 VRZ655485:VRZ655493 WBV655485:WBV655493 WLR655485:WLR655493 WVN655485:WVN655493 E721022:E721030 JB721021:JB721029 SX721021:SX721029 ACT721021:ACT721029 AMP721021:AMP721029 AWL721021:AWL721029 BGH721021:BGH721029 BQD721021:BQD721029 BZZ721021:BZZ721029 CJV721021:CJV721029 CTR721021:CTR721029 DDN721021:DDN721029 DNJ721021:DNJ721029 DXF721021:DXF721029 EHB721021:EHB721029 EQX721021:EQX721029 FAT721021:FAT721029 FKP721021:FKP721029 FUL721021:FUL721029 GEH721021:GEH721029 GOD721021:GOD721029 GXZ721021:GXZ721029 HHV721021:HHV721029 HRR721021:HRR721029 IBN721021:IBN721029 ILJ721021:ILJ721029 IVF721021:IVF721029 JFB721021:JFB721029 JOX721021:JOX721029 JYT721021:JYT721029 KIP721021:KIP721029 KSL721021:KSL721029 LCH721021:LCH721029 LMD721021:LMD721029 LVZ721021:LVZ721029 MFV721021:MFV721029 MPR721021:MPR721029 MZN721021:MZN721029 NJJ721021:NJJ721029 NTF721021:NTF721029 ODB721021:ODB721029 OMX721021:OMX721029 OWT721021:OWT721029 PGP721021:PGP721029 PQL721021:PQL721029 QAH721021:QAH721029 QKD721021:QKD721029 QTZ721021:QTZ721029 RDV721021:RDV721029 RNR721021:RNR721029 RXN721021:RXN721029 SHJ721021:SHJ721029 SRF721021:SRF721029 TBB721021:TBB721029 TKX721021:TKX721029 TUT721021:TUT721029 UEP721021:UEP721029 UOL721021:UOL721029 UYH721021:UYH721029 VID721021:VID721029 VRZ721021:VRZ721029 WBV721021:WBV721029 WLR721021:WLR721029 WVN721021:WVN721029 E786558:E786566 JB786557:JB786565 SX786557:SX786565 ACT786557:ACT786565 AMP786557:AMP786565 AWL786557:AWL786565 BGH786557:BGH786565 BQD786557:BQD786565 BZZ786557:BZZ786565 CJV786557:CJV786565 CTR786557:CTR786565 DDN786557:DDN786565 DNJ786557:DNJ786565 DXF786557:DXF786565 EHB786557:EHB786565 EQX786557:EQX786565 FAT786557:FAT786565 FKP786557:FKP786565 FUL786557:FUL786565 GEH786557:GEH786565 GOD786557:GOD786565 GXZ786557:GXZ786565 HHV786557:HHV786565 HRR786557:HRR786565 IBN786557:IBN786565 ILJ786557:ILJ786565 IVF786557:IVF786565 JFB786557:JFB786565 JOX786557:JOX786565 JYT786557:JYT786565 KIP786557:KIP786565 KSL786557:KSL786565 LCH786557:LCH786565 LMD786557:LMD786565 LVZ786557:LVZ786565 MFV786557:MFV786565 MPR786557:MPR786565 MZN786557:MZN786565 NJJ786557:NJJ786565 NTF786557:NTF786565 ODB786557:ODB786565 OMX786557:OMX786565 OWT786557:OWT786565 PGP786557:PGP786565 PQL786557:PQL786565 QAH786557:QAH786565 QKD786557:QKD786565 QTZ786557:QTZ786565 RDV786557:RDV786565 RNR786557:RNR786565 RXN786557:RXN786565 SHJ786557:SHJ786565 SRF786557:SRF786565 TBB786557:TBB786565 TKX786557:TKX786565 TUT786557:TUT786565 UEP786557:UEP786565 UOL786557:UOL786565 UYH786557:UYH786565 VID786557:VID786565 VRZ786557:VRZ786565 WBV786557:WBV786565 WLR786557:WLR786565 WVN786557:WVN786565 E852094:E852102 JB852093:JB852101 SX852093:SX852101 ACT852093:ACT852101 AMP852093:AMP852101 AWL852093:AWL852101 BGH852093:BGH852101 BQD852093:BQD852101 BZZ852093:BZZ852101 CJV852093:CJV852101 CTR852093:CTR852101 DDN852093:DDN852101 DNJ852093:DNJ852101 DXF852093:DXF852101 EHB852093:EHB852101 EQX852093:EQX852101 FAT852093:FAT852101 FKP852093:FKP852101 FUL852093:FUL852101 GEH852093:GEH852101 GOD852093:GOD852101 GXZ852093:GXZ852101 HHV852093:HHV852101 HRR852093:HRR852101 IBN852093:IBN852101 ILJ852093:ILJ852101 IVF852093:IVF852101 JFB852093:JFB852101 JOX852093:JOX852101 JYT852093:JYT852101 KIP852093:KIP852101 KSL852093:KSL852101 LCH852093:LCH852101 LMD852093:LMD852101 LVZ852093:LVZ852101 MFV852093:MFV852101 MPR852093:MPR852101 MZN852093:MZN852101 NJJ852093:NJJ852101 NTF852093:NTF852101 ODB852093:ODB852101 OMX852093:OMX852101 OWT852093:OWT852101 PGP852093:PGP852101 PQL852093:PQL852101 QAH852093:QAH852101 QKD852093:QKD852101 QTZ852093:QTZ852101 RDV852093:RDV852101 RNR852093:RNR852101 RXN852093:RXN852101 SHJ852093:SHJ852101 SRF852093:SRF852101 TBB852093:TBB852101 TKX852093:TKX852101 TUT852093:TUT852101 UEP852093:UEP852101 UOL852093:UOL852101 UYH852093:UYH852101 VID852093:VID852101 VRZ852093:VRZ852101 WBV852093:WBV852101 WLR852093:WLR852101 WVN852093:WVN852101 E917630:E917638 JB917629:JB917637 SX917629:SX917637 ACT917629:ACT917637 AMP917629:AMP917637 AWL917629:AWL917637 BGH917629:BGH917637 BQD917629:BQD917637 BZZ917629:BZZ917637 CJV917629:CJV917637 CTR917629:CTR917637 DDN917629:DDN917637 DNJ917629:DNJ917637 DXF917629:DXF917637 EHB917629:EHB917637 EQX917629:EQX917637 FAT917629:FAT917637 FKP917629:FKP917637 FUL917629:FUL917637 GEH917629:GEH917637 GOD917629:GOD917637 GXZ917629:GXZ917637 HHV917629:HHV917637 HRR917629:HRR917637 IBN917629:IBN917637 ILJ917629:ILJ917637 IVF917629:IVF917637 JFB917629:JFB917637 JOX917629:JOX917637 JYT917629:JYT917637 KIP917629:KIP917637 KSL917629:KSL917637 LCH917629:LCH917637 LMD917629:LMD917637 LVZ917629:LVZ917637 MFV917629:MFV917637 MPR917629:MPR917637 MZN917629:MZN917637 NJJ917629:NJJ917637 NTF917629:NTF917637 ODB917629:ODB917637 OMX917629:OMX917637 OWT917629:OWT917637 PGP917629:PGP917637 PQL917629:PQL917637 QAH917629:QAH917637 QKD917629:QKD917637 QTZ917629:QTZ917637 RDV917629:RDV917637 RNR917629:RNR917637 RXN917629:RXN917637 SHJ917629:SHJ917637 SRF917629:SRF917637 TBB917629:TBB917637 TKX917629:TKX917637 TUT917629:TUT917637 UEP917629:UEP917637 UOL917629:UOL917637 UYH917629:UYH917637 VID917629:VID917637 VRZ917629:VRZ917637 WBV917629:WBV917637 WLR917629:WLR917637 WVN917629:WVN917637 E983166:E983174 JB983165:JB983173 SX983165:SX983173 ACT983165:ACT983173 AMP983165:AMP983173 AWL983165:AWL983173 BGH983165:BGH983173 BQD983165:BQD983173 BZZ983165:BZZ983173 CJV983165:CJV983173 CTR983165:CTR983173 DDN983165:DDN983173 DNJ983165:DNJ983173 DXF983165:DXF983173 EHB983165:EHB983173 EQX983165:EQX983173 FAT983165:FAT983173 FKP983165:FKP983173 FUL983165:FUL983173 GEH983165:GEH983173 GOD983165:GOD983173 GXZ983165:GXZ983173 HHV983165:HHV983173 HRR983165:HRR983173 IBN983165:IBN983173 ILJ983165:ILJ983173 IVF983165:IVF983173 JFB983165:JFB983173 JOX983165:JOX983173 JYT983165:JYT983173 KIP983165:KIP983173 KSL983165:KSL983173 LCH983165:LCH983173 LMD983165:LMD983173 LVZ983165:LVZ983173 MFV983165:MFV983173 MPR983165:MPR983173 MZN983165:MZN983173 NJJ983165:NJJ983173 NTF983165:NTF983173 ODB983165:ODB983173 OMX983165:OMX983173 OWT983165:OWT983173 PGP983165:PGP983173 PQL983165:PQL983173 QAH983165:QAH983173 QKD983165:QKD983173 QTZ983165:QTZ983173 RDV983165:RDV983173 RNR983165:RNR983173 RXN983165:RXN983173 SHJ983165:SHJ983173 SRF983165:SRF983173 TBB983165:TBB983173 TKX983165:TKX983173 TUT983165:TUT983173 UEP983165:UEP983173 UOL983165:UOL983173 UYH983165:UYH983173 VID983165:VID983173 VRZ983165:VRZ983173 WBV983165:WBV983173 WLR983165:WLR983173 WVN983165:WVN983173 E35:E60 JB63:JB98 SX63:SX98 ACT63:ACT98 AMP63:AMP98 AWL63:AWL98 BGH63:BGH98 BQD63:BQD98 BZZ63:BZZ98 CJV63:CJV98 CTR63:CTR98 DDN63:DDN98 DNJ63:DNJ98 DXF63:DXF98 EHB63:EHB98 EQX63:EQX98 FAT63:FAT98 FKP63:FKP98 FUL63:FUL98 GEH63:GEH98 GOD63:GOD98 GXZ63:GXZ98 HHV63:HHV98 HRR63:HRR98 IBN63:IBN98 ILJ63:ILJ98 IVF63:IVF98 JFB63:JFB98 JOX63:JOX98 JYT63:JYT98 KIP63:KIP98 KSL63:KSL98 LCH63:LCH98 LMD63:LMD98 LVZ63:LVZ98 MFV63:MFV98 MPR63:MPR98 MZN63:MZN98 NJJ63:NJJ98 NTF63:NTF98 ODB63:ODB98 OMX63:OMX98 OWT63:OWT98 PGP63:PGP98 PQL63:PQL98 QAH63:QAH98 QKD63:QKD98 QTZ63:QTZ98 RDV63:RDV98 RNR63:RNR98 RXN63:RXN98 SHJ63:SHJ98 SRF63:SRF98 TBB63:TBB98 TKX63:TKX98 TUT63:TUT98 UEP63:UEP98 UOL63:UOL98 UYH63:UYH98 VID63:VID98 VRZ63:VRZ98 WBV63:WBV98 WLR63:WLR98 WVN63:WVN98 E65673:E65681 JB65672:JB65680 SX65672:SX65680 ACT65672:ACT65680 AMP65672:AMP65680 AWL65672:AWL65680 BGH65672:BGH65680 BQD65672:BQD65680 BZZ65672:BZZ65680 CJV65672:CJV65680 CTR65672:CTR65680 DDN65672:DDN65680 DNJ65672:DNJ65680 DXF65672:DXF65680 EHB65672:EHB65680 EQX65672:EQX65680 FAT65672:FAT65680 FKP65672:FKP65680 FUL65672:FUL65680 GEH65672:GEH65680 GOD65672:GOD65680 GXZ65672:GXZ65680 HHV65672:HHV65680 HRR65672:HRR65680 IBN65672:IBN65680 ILJ65672:ILJ65680 IVF65672:IVF65680 JFB65672:JFB65680 JOX65672:JOX65680 JYT65672:JYT65680 KIP65672:KIP65680 KSL65672:KSL65680 LCH65672:LCH65680 LMD65672:LMD65680 LVZ65672:LVZ65680 MFV65672:MFV65680 MPR65672:MPR65680 MZN65672:MZN65680 NJJ65672:NJJ65680 NTF65672:NTF65680 ODB65672:ODB65680 OMX65672:OMX65680 OWT65672:OWT65680 PGP65672:PGP65680 PQL65672:PQL65680 QAH65672:QAH65680 QKD65672:QKD65680 QTZ65672:QTZ65680 RDV65672:RDV65680 RNR65672:RNR65680 RXN65672:RXN65680 SHJ65672:SHJ65680 SRF65672:SRF65680 TBB65672:TBB65680 TKX65672:TKX65680 TUT65672:TUT65680 UEP65672:UEP65680 UOL65672:UOL65680 UYH65672:UYH65680 VID65672:VID65680 VRZ65672:VRZ65680 WBV65672:WBV65680 WLR65672:WLR65680 WVN65672:WVN65680 E131209:E131217 JB131208:JB131216 SX131208:SX131216 ACT131208:ACT131216 AMP131208:AMP131216 AWL131208:AWL131216 BGH131208:BGH131216 BQD131208:BQD131216 BZZ131208:BZZ131216 CJV131208:CJV131216 CTR131208:CTR131216 DDN131208:DDN131216 DNJ131208:DNJ131216 DXF131208:DXF131216 EHB131208:EHB131216 EQX131208:EQX131216 FAT131208:FAT131216 FKP131208:FKP131216 FUL131208:FUL131216 GEH131208:GEH131216 GOD131208:GOD131216 GXZ131208:GXZ131216 HHV131208:HHV131216 HRR131208:HRR131216 IBN131208:IBN131216 ILJ131208:ILJ131216 IVF131208:IVF131216 JFB131208:JFB131216 JOX131208:JOX131216 JYT131208:JYT131216 KIP131208:KIP131216 KSL131208:KSL131216 LCH131208:LCH131216 LMD131208:LMD131216 LVZ131208:LVZ131216 MFV131208:MFV131216 MPR131208:MPR131216 MZN131208:MZN131216 NJJ131208:NJJ131216 NTF131208:NTF131216 ODB131208:ODB131216 OMX131208:OMX131216 OWT131208:OWT131216 PGP131208:PGP131216 PQL131208:PQL131216 QAH131208:QAH131216 QKD131208:QKD131216 QTZ131208:QTZ131216 RDV131208:RDV131216 RNR131208:RNR131216 RXN131208:RXN131216 SHJ131208:SHJ131216 SRF131208:SRF131216 TBB131208:TBB131216 TKX131208:TKX131216 TUT131208:TUT131216 UEP131208:UEP131216 UOL131208:UOL131216 UYH131208:UYH131216 VID131208:VID131216 VRZ131208:VRZ131216 WBV131208:WBV131216 WLR131208:WLR131216 WVN131208:WVN131216 E196745:E196753 JB196744:JB196752 SX196744:SX196752 ACT196744:ACT196752 AMP196744:AMP196752 AWL196744:AWL196752 BGH196744:BGH196752 BQD196744:BQD196752 BZZ196744:BZZ196752 CJV196744:CJV196752 CTR196744:CTR196752 DDN196744:DDN196752 DNJ196744:DNJ196752 DXF196744:DXF196752 EHB196744:EHB196752 EQX196744:EQX196752 FAT196744:FAT196752 FKP196744:FKP196752 FUL196744:FUL196752 GEH196744:GEH196752 GOD196744:GOD196752 GXZ196744:GXZ196752 HHV196744:HHV196752 HRR196744:HRR196752 IBN196744:IBN196752 ILJ196744:ILJ196752 IVF196744:IVF196752 JFB196744:JFB196752 JOX196744:JOX196752 JYT196744:JYT196752 KIP196744:KIP196752 KSL196744:KSL196752 LCH196744:LCH196752 LMD196744:LMD196752 LVZ196744:LVZ196752 MFV196744:MFV196752 MPR196744:MPR196752 MZN196744:MZN196752 NJJ196744:NJJ196752 NTF196744:NTF196752 ODB196744:ODB196752 OMX196744:OMX196752 OWT196744:OWT196752 PGP196744:PGP196752 PQL196744:PQL196752 QAH196744:QAH196752 QKD196744:QKD196752 QTZ196744:QTZ196752 RDV196744:RDV196752 RNR196744:RNR196752 RXN196744:RXN196752 SHJ196744:SHJ196752 SRF196744:SRF196752 TBB196744:TBB196752 TKX196744:TKX196752 TUT196744:TUT196752 UEP196744:UEP196752 UOL196744:UOL196752 UYH196744:UYH196752 VID196744:VID196752 VRZ196744:VRZ196752 WBV196744:WBV196752 WLR196744:WLR196752 WVN196744:WVN196752 E262281:E262289 JB262280:JB262288 SX262280:SX262288 ACT262280:ACT262288 AMP262280:AMP262288 AWL262280:AWL262288 BGH262280:BGH262288 BQD262280:BQD262288 BZZ262280:BZZ262288 CJV262280:CJV262288 CTR262280:CTR262288 DDN262280:DDN262288 DNJ262280:DNJ262288 DXF262280:DXF262288 EHB262280:EHB262288 EQX262280:EQX262288 FAT262280:FAT262288 FKP262280:FKP262288 FUL262280:FUL262288 GEH262280:GEH262288 GOD262280:GOD262288 GXZ262280:GXZ262288 HHV262280:HHV262288 HRR262280:HRR262288 IBN262280:IBN262288 ILJ262280:ILJ262288 IVF262280:IVF262288 JFB262280:JFB262288 JOX262280:JOX262288 JYT262280:JYT262288 KIP262280:KIP262288 KSL262280:KSL262288 LCH262280:LCH262288 LMD262280:LMD262288 LVZ262280:LVZ262288 MFV262280:MFV262288 MPR262280:MPR262288 MZN262280:MZN262288 NJJ262280:NJJ262288 NTF262280:NTF262288 ODB262280:ODB262288 OMX262280:OMX262288 OWT262280:OWT262288 PGP262280:PGP262288 PQL262280:PQL262288 QAH262280:QAH262288 QKD262280:QKD262288 QTZ262280:QTZ262288 RDV262280:RDV262288 RNR262280:RNR262288 RXN262280:RXN262288 SHJ262280:SHJ262288 SRF262280:SRF262288 TBB262280:TBB262288 TKX262280:TKX262288 TUT262280:TUT262288 UEP262280:UEP262288 UOL262280:UOL262288 UYH262280:UYH262288 VID262280:VID262288 VRZ262280:VRZ262288 WBV262280:WBV262288 WLR262280:WLR262288 WVN262280:WVN262288 E327817:E327825 JB327816:JB327824 SX327816:SX327824 ACT327816:ACT327824 AMP327816:AMP327824 AWL327816:AWL327824 BGH327816:BGH327824 BQD327816:BQD327824 BZZ327816:BZZ327824 CJV327816:CJV327824 CTR327816:CTR327824 DDN327816:DDN327824 DNJ327816:DNJ327824 DXF327816:DXF327824 EHB327816:EHB327824 EQX327816:EQX327824 FAT327816:FAT327824 FKP327816:FKP327824 FUL327816:FUL327824 GEH327816:GEH327824 GOD327816:GOD327824 GXZ327816:GXZ327824 HHV327816:HHV327824 HRR327816:HRR327824 IBN327816:IBN327824 ILJ327816:ILJ327824 IVF327816:IVF327824 JFB327816:JFB327824 JOX327816:JOX327824 JYT327816:JYT327824 KIP327816:KIP327824 KSL327816:KSL327824 LCH327816:LCH327824 LMD327816:LMD327824 LVZ327816:LVZ327824 MFV327816:MFV327824 MPR327816:MPR327824 MZN327816:MZN327824 NJJ327816:NJJ327824 NTF327816:NTF327824 ODB327816:ODB327824 OMX327816:OMX327824 OWT327816:OWT327824 PGP327816:PGP327824 PQL327816:PQL327824 QAH327816:QAH327824 QKD327816:QKD327824 QTZ327816:QTZ327824 RDV327816:RDV327824 RNR327816:RNR327824 RXN327816:RXN327824 SHJ327816:SHJ327824 SRF327816:SRF327824 TBB327816:TBB327824 TKX327816:TKX327824 TUT327816:TUT327824 UEP327816:UEP327824 UOL327816:UOL327824 UYH327816:UYH327824 VID327816:VID327824 VRZ327816:VRZ327824 WBV327816:WBV327824 WLR327816:WLR327824 WVN327816:WVN327824 E393353:E393361 JB393352:JB393360 SX393352:SX393360 ACT393352:ACT393360 AMP393352:AMP393360 AWL393352:AWL393360 BGH393352:BGH393360 BQD393352:BQD393360 BZZ393352:BZZ393360 CJV393352:CJV393360 CTR393352:CTR393360 DDN393352:DDN393360 DNJ393352:DNJ393360 DXF393352:DXF393360 EHB393352:EHB393360 EQX393352:EQX393360 FAT393352:FAT393360 FKP393352:FKP393360 FUL393352:FUL393360 GEH393352:GEH393360 GOD393352:GOD393360 GXZ393352:GXZ393360 HHV393352:HHV393360 HRR393352:HRR393360 IBN393352:IBN393360 ILJ393352:ILJ393360 IVF393352:IVF393360 JFB393352:JFB393360 JOX393352:JOX393360 JYT393352:JYT393360 KIP393352:KIP393360 KSL393352:KSL393360 LCH393352:LCH393360 LMD393352:LMD393360 LVZ393352:LVZ393360 MFV393352:MFV393360 MPR393352:MPR393360 MZN393352:MZN393360 NJJ393352:NJJ393360 NTF393352:NTF393360 ODB393352:ODB393360 OMX393352:OMX393360 OWT393352:OWT393360 PGP393352:PGP393360 PQL393352:PQL393360 QAH393352:QAH393360 QKD393352:QKD393360 QTZ393352:QTZ393360 RDV393352:RDV393360 RNR393352:RNR393360 RXN393352:RXN393360 SHJ393352:SHJ393360 SRF393352:SRF393360 TBB393352:TBB393360 TKX393352:TKX393360 TUT393352:TUT393360 UEP393352:UEP393360 UOL393352:UOL393360 UYH393352:UYH393360 VID393352:VID393360 VRZ393352:VRZ393360 WBV393352:WBV393360 WLR393352:WLR393360 WVN393352:WVN393360 E458889:E458897 JB458888:JB458896 SX458888:SX458896 ACT458888:ACT458896 AMP458888:AMP458896 AWL458888:AWL458896 BGH458888:BGH458896 BQD458888:BQD458896 BZZ458888:BZZ458896 CJV458888:CJV458896 CTR458888:CTR458896 DDN458888:DDN458896 DNJ458888:DNJ458896 DXF458888:DXF458896 EHB458888:EHB458896 EQX458888:EQX458896 FAT458888:FAT458896 FKP458888:FKP458896 FUL458888:FUL458896 GEH458888:GEH458896 GOD458888:GOD458896 GXZ458888:GXZ458896 HHV458888:HHV458896 HRR458888:HRR458896 IBN458888:IBN458896 ILJ458888:ILJ458896 IVF458888:IVF458896 JFB458888:JFB458896 JOX458888:JOX458896 JYT458888:JYT458896 KIP458888:KIP458896 KSL458888:KSL458896 LCH458888:LCH458896 LMD458888:LMD458896 LVZ458888:LVZ458896 MFV458888:MFV458896 MPR458888:MPR458896 MZN458888:MZN458896 NJJ458888:NJJ458896 NTF458888:NTF458896 ODB458888:ODB458896 OMX458888:OMX458896 OWT458888:OWT458896 PGP458888:PGP458896 PQL458888:PQL458896 QAH458888:QAH458896 QKD458888:QKD458896 QTZ458888:QTZ458896 RDV458888:RDV458896 RNR458888:RNR458896 RXN458888:RXN458896 SHJ458888:SHJ458896 SRF458888:SRF458896 TBB458888:TBB458896 TKX458888:TKX458896 TUT458888:TUT458896 UEP458888:UEP458896 UOL458888:UOL458896 UYH458888:UYH458896 VID458888:VID458896 VRZ458888:VRZ458896 WBV458888:WBV458896 WLR458888:WLR458896 WVN458888:WVN458896 E524425:E524433 JB524424:JB524432 SX524424:SX524432 ACT524424:ACT524432 AMP524424:AMP524432 AWL524424:AWL524432 BGH524424:BGH524432 BQD524424:BQD524432 BZZ524424:BZZ524432 CJV524424:CJV524432 CTR524424:CTR524432 DDN524424:DDN524432 DNJ524424:DNJ524432 DXF524424:DXF524432 EHB524424:EHB524432 EQX524424:EQX524432 FAT524424:FAT524432 FKP524424:FKP524432 FUL524424:FUL524432 GEH524424:GEH524432 GOD524424:GOD524432 GXZ524424:GXZ524432 HHV524424:HHV524432 HRR524424:HRR524432 IBN524424:IBN524432 ILJ524424:ILJ524432 IVF524424:IVF524432 JFB524424:JFB524432 JOX524424:JOX524432 JYT524424:JYT524432 KIP524424:KIP524432 KSL524424:KSL524432 LCH524424:LCH524432 LMD524424:LMD524432 LVZ524424:LVZ524432 MFV524424:MFV524432 MPR524424:MPR524432 MZN524424:MZN524432 NJJ524424:NJJ524432 NTF524424:NTF524432 ODB524424:ODB524432 OMX524424:OMX524432 OWT524424:OWT524432 PGP524424:PGP524432 PQL524424:PQL524432 QAH524424:QAH524432 QKD524424:QKD524432 QTZ524424:QTZ524432 RDV524424:RDV524432 RNR524424:RNR524432 RXN524424:RXN524432 SHJ524424:SHJ524432 SRF524424:SRF524432 TBB524424:TBB524432 TKX524424:TKX524432 TUT524424:TUT524432 UEP524424:UEP524432 UOL524424:UOL524432 UYH524424:UYH524432 VID524424:VID524432 VRZ524424:VRZ524432 WBV524424:WBV524432 WLR524424:WLR524432 WVN524424:WVN524432 E589961:E589969 JB589960:JB589968 SX589960:SX589968 ACT589960:ACT589968 AMP589960:AMP589968 AWL589960:AWL589968 BGH589960:BGH589968 BQD589960:BQD589968 BZZ589960:BZZ589968 CJV589960:CJV589968 CTR589960:CTR589968 DDN589960:DDN589968 DNJ589960:DNJ589968 DXF589960:DXF589968 EHB589960:EHB589968 EQX589960:EQX589968 FAT589960:FAT589968 FKP589960:FKP589968 FUL589960:FUL589968 GEH589960:GEH589968 GOD589960:GOD589968 GXZ589960:GXZ589968 HHV589960:HHV589968 HRR589960:HRR589968 IBN589960:IBN589968 ILJ589960:ILJ589968 IVF589960:IVF589968 JFB589960:JFB589968 JOX589960:JOX589968 JYT589960:JYT589968 KIP589960:KIP589968 KSL589960:KSL589968 LCH589960:LCH589968 LMD589960:LMD589968 LVZ589960:LVZ589968 MFV589960:MFV589968 MPR589960:MPR589968 MZN589960:MZN589968 NJJ589960:NJJ589968 NTF589960:NTF589968 ODB589960:ODB589968 OMX589960:OMX589968 OWT589960:OWT589968 PGP589960:PGP589968 PQL589960:PQL589968 QAH589960:QAH589968 QKD589960:QKD589968 QTZ589960:QTZ589968 RDV589960:RDV589968 RNR589960:RNR589968 RXN589960:RXN589968 SHJ589960:SHJ589968 SRF589960:SRF589968 TBB589960:TBB589968 TKX589960:TKX589968 TUT589960:TUT589968 UEP589960:UEP589968 UOL589960:UOL589968 UYH589960:UYH589968 VID589960:VID589968 VRZ589960:VRZ589968 WBV589960:WBV589968 WLR589960:WLR589968 WVN589960:WVN589968 E655497:E655505 JB655496:JB655504 SX655496:SX655504 ACT655496:ACT655504 AMP655496:AMP655504 AWL655496:AWL655504 BGH655496:BGH655504 BQD655496:BQD655504 BZZ655496:BZZ655504 CJV655496:CJV655504 CTR655496:CTR655504 DDN655496:DDN655504 DNJ655496:DNJ655504 DXF655496:DXF655504 EHB655496:EHB655504 EQX655496:EQX655504 FAT655496:FAT655504 FKP655496:FKP655504 FUL655496:FUL655504 GEH655496:GEH655504 GOD655496:GOD655504 GXZ655496:GXZ655504 HHV655496:HHV655504 HRR655496:HRR655504 IBN655496:IBN655504 ILJ655496:ILJ655504 IVF655496:IVF655504 JFB655496:JFB655504 JOX655496:JOX655504 JYT655496:JYT655504 KIP655496:KIP655504 KSL655496:KSL655504 LCH655496:LCH655504 LMD655496:LMD655504 LVZ655496:LVZ655504 MFV655496:MFV655504 MPR655496:MPR655504 MZN655496:MZN655504 NJJ655496:NJJ655504 NTF655496:NTF655504 ODB655496:ODB655504 OMX655496:OMX655504 OWT655496:OWT655504 PGP655496:PGP655504 PQL655496:PQL655504 QAH655496:QAH655504 QKD655496:QKD655504 QTZ655496:QTZ655504 RDV655496:RDV655504 RNR655496:RNR655504 RXN655496:RXN655504 SHJ655496:SHJ655504 SRF655496:SRF655504 TBB655496:TBB655504 TKX655496:TKX655504 TUT655496:TUT655504 UEP655496:UEP655504 UOL655496:UOL655504 UYH655496:UYH655504 VID655496:VID655504 VRZ655496:VRZ655504 WBV655496:WBV655504 WLR655496:WLR655504 WVN655496:WVN655504 E721033:E721041 JB721032:JB721040 SX721032:SX721040 ACT721032:ACT721040 AMP721032:AMP721040 AWL721032:AWL721040 BGH721032:BGH721040 BQD721032:BQD721040 BZZ721032:BZZ721040 CJV721032:CJV721040 CTR721032:CTR721040 DDN721032:DDN721040 DNJ721032:DNJ721040 DXF721032:DXF721040 EHB721032:EHB721040 EQX721032:EQX721040 FAT721032:FAT721040 FKP721032:FKP721040 FUL721032:FUL721040 GEH721032:GEH721040 GOD721032:GOD721040 GXZ721032:GXZ721040 HHV721032:HHV721040 HRR721032:HRR721040 IBN721032:IBN721040 ILJ721032:ILJ721040 IVF721032:IVF721040 JFB721032:JFB721040 JOX721032:JOX721040 JYT721032:JYT721040 KIP721032:KIP721040 KSL721032:KSL721040 LCH721032:LCH721040 LMD721032:LMD721040 LVZ721032:LVZ721040 MFV721032:MFV721040 MPR721032:MPR721040 MZN721032:MZN721040 NJJ721032:NJJ721040 NTF721032:NTF721040 ODB721032:ODB721040 OMX721032:OMX721040 OWT721032:OWT721040 PGP721032:PGP721040 PQL721032:PQL721040 QAH721032:QAH721040 QKD721032:QKD721040 QTZ721032:QTZ721040 RDV721032:RDV721040 RNR721032:RNR721040 RXN721032:RXN721040 SHJ721032:SHJ721040 SRF721032:SRF721040 TBB721032:TBB721040 TKX721032:TKX721040 TUT721032:TUT721040 UEP721032:UEP721040 UOL721032:UOL721040 UYH721032:UYH721040 VID721032:VID721040 VRZ721032:VRZ721040 WBV721032:WBV721040 WLR721032:WLR721040 WVN721032:WVN721040 E786569:E786577 JB786568:JB786576 SX786568:SX786576 ACT786568:ACT786576 AMP786568:AMP786576 AWL786568:AWL786576 BGH786568:BGH786576 BQD786568:BQD786576 BZZ786568:BZZ786576 CJV786568:CJV786576 CTR786568:CTR786576 DDN786568:DDN786576 DNJ786568:DNJ786576 DXF786568:DXF786576 EHB786568:EHB786576 EQX786568:EQX786576 FAT786568:FAT786576 FKP786568:FKP786576 FUL786568:FUL786576 GEH786568:GEH786576 GOD786568:GOD786576 GXZ786568:GXZ786576 HHV786568:HHV786576 HRR786568:HRR786576 IBN786568:IBN786576 ILJ786568:ILJ786576 IVF786568:IVF786576 JFB786568:JFB786576 JOX786568:JOX786576 JYT786568:JYT786576 KIP786568:KIP786576 KSL786568:KSL786576 LCH786568:LCH786576 LMD786568:LMD786576 LVZ786568:LVZ786576 MFV786568:MFV786576 MPR786568:MPR786576 MZN786568:MZN786576 NJJ786568:NJJ786576 NTF786568:NTF786576 ODB786568:ODB786576 OMX786568:OMX786576 OWT786568:OWT786576 PGP786568:PGP786576 PQL786568:PQL786576 QAH786568:QAH786576 QKD786568:QKD786576 QTZ786568:QTZ786576 RDV786568:RDV786576 RNR786568:RNR786576 RXN786568:RXN786576 SHJ786568:SHJ786576 SRF786568:SRF786576 TBB786568:TBB786576 TKX786568:TKX786576 TUT786568:TUT786576 UEP786568:UEP786576 UOL786568:UOL786576 UYH786568:UYH786576 VID786568:VID786576 VRZ786568:VRZ786576 WBV786568:WBV786576 WLR786568:WLR786576 WVN786568:WVN786576 E852105:E852113 JB852104:JB852112 SX852104:SX852112 ACT852104:ACT852112 AMP852104:AMP852112 AWL852104:AWL852112 BGH852104:BGH852112 BQD852104:BQD852112 BZZ852104:BZZ852112 CJV852104:CJV852112 CTR852104:CTR852112 DDN852104:DDN852112 DNJ852104:DNJ852112 DXF852104:DXF852112 EHB852104:EHB852112 EQX852104:EQX852112 FAT852104:FAT852112 FKP852104:FKP852112 FUL852104:FUL852112 GEH852104:GEH852112 GOD852104:GOD852112 GXZ852104:GXZ852112 HHV852104:HHV852112 HRR852104:HRR852112 IBN852104:IBN852112 ILJ852104:ILJ852112 IVF852104:IVF852112 JFB852104:JFB852112 JOX852104:JOX852112 JYT852104:JYT852112 KIP852104:KIP852112 KSL852104:KSL852112 LCH852104:LCH852112 LMD852104:LMD852112 LVZ852104:LVZ852112 MFV852104:MFV852112 MPR852104:MPR852112 MZN852104:MZN852112 NJJ852104:NJJ852112 NTF852104:NTF852112 ODB852104:ODB852112 OMX852104:OMX852112 OWT852104:OWT852112 PGP852104:PGP852112 PQL852104:PQL852112 QAH852104:QAH852112 QKD852104:QKD852112 QTZ852104:QTZ852112 RDV852104:RDV852112 RNR852104:RNR852112 RXN852104:RXN852112 SHJ852104:SHJ852112 SRF852104:SRF852112 TBB852104:TBB852112 TKX852104:TKX852112 TUT852104:TUT852112 UEP852104:UEP852112 UOL852104:UOL852112 UYH852104:UYH852112 VID852104:VID852112 VRZ852104:VRZ852112 WBV852104:WBV852112 WLR852104:WLR852112 WVN852104:WVN852112 E917641:E917649 JB917640:JB917648 SX917640:SX917648 ACT917640:ACT917648 AMP917640:AMP917648 AWL917640:AWL917648 BGH917640:BGH917648 BQD917640:BQD917648 BZZ917640:BZZ917648 CJV917640:CJV917648 CTR917640:CTR917648 DDN917640:DDN917648 DNJ917640:DNJ917648 DXF917640:DXF917648 EHB917640:EHB917648 EQX917640:EQX917648 FAT917640:FAT917648 FKP917640:FKP917648 FUL917640:FUL917648 GEH917640:GEH917648 GOD917640:GOD917648 GXZ917640:GXZ917648 HHV917640:HHV917648 HRR917640:HRR917648 IBN917640:IBN917648 ILJ917640:ILJ917648 IVF917640:IVF917648 JFB917640:JFB917648 JOX917640:JOX917648 JYT917640:JYT917648 KIP917640:KIP917648 KSL917640:KSL917648 LCH917640:LCH917648 LMD917640:LMD917648 LVZ917640:LVZ917648 MFV917640:MFV917648 MPR917640:MPR917648 MZN917640:MZN917648 NJJ917640:NJJ917648 NTF917640:NTF917648 ODB917640:ODB917648 OMX917640:OMX917648 OWT917640:OWT917648 PGP917640:PGP917648 PQL917640:PQL917648 QAH917640:QAH917648 QKD917640:QKD917648 QTZ917640:QTZ917648 RDV917640:RDV917648 RNR917640:RNR917648 RXN917640:RXN917648 SHJ917640:SHJ917648 SRF917640:SRF917648 TBB917640:TBB917648 TKX917640:TKX917648 TUT917640:TUT917648 UEP917640:UEP917648 UOL917640:UOL917648 UYH917640:UYH917648 VID917640:VID917648 VRZ917640:VRZ917648 WBV917640:WBV917648 WLR917640:WLR917648 WVN917640:WVN917648 E983177:E983185 JB983176:JB983184 SX983176:SX983184 ACT983176:ACT983184 AMP983176:AMP983184 AWL983176:AWL983184 BGH983176:BGH983184 BQD983176:BQD983184 BZZ983176:BZZ983184 CJV983176:CJV983184 CTR983176:CTR983184 DDN983176:DDN983184 DNJ983176:DNJ983184 DXF983176:DXF983184 EHB983176:EHB983184 EQX983176:EQX983184 FAT983176:FAT983184 FKP983176:FKP983184 FUL983176:FUL983184 GEH983176:GEH983184 GOD983176:GOD983184 GXZ983176:GXZ983184 HHV983176:HHV983184 HRR983176:HRR983184 IBN983176:IBN983184 ILJ983176:ILJ983184 IVF983176:IVF983184 JFB983176:JFB983184 JOX983176:JOX983184 JYT983176:JYT983184 KIP983176:KIP983184 KSL983176:KSL983184 LCH983176:LCH983184 LMD983176:LMD983184 LVZ983176:LVZ983184 MFV983176:MFV983184 MPR983176:MPR983184 MZN983176:MZN983184 NJJ983176:NJJ983184 NTF983176:NTF983184 ODB983176:ODB983184 OMX983176:OMX983184 OWT983176:OWT983184 PGP983176:PGP983184 PQL983176:PQL983184 QAH983176:QAH983184 QKD983176:QKD983184 QTZ983176:QTZ983184 RDV983176:RDV983184 RNR983176:RNR983184 RXN983176:RXN983184 SHJ983176:SHJ983184 SRF983176:SRF983184 TBB983176:TBB983184 TKX983176:TKX983184 TUT983176:TUT983184 UEP983176:UEP983184 UOL983176:UOL983184 UYH983176:UYH983184 VID983176:VID983184 VRZ983176:VRZ983184 WBV983176:WBV983184 WLR983176:WLR983184 E63:E98" xr:uid="{00000000-0002-0000-0500-000003000000}"/>
    <dataValidation allowBlank="1" showInputMessage="1" showErrorMessage="1" prompt="ingrese el valor del Factor Prestacional asignado para el personal." sqref="WVO983176:WVO983184 JC12:JC60 SY12:SY60 ACU12:ACU60 AMQ12:AMQ60 AWM12:AWM60 BGI12:BGI60 BQE12:BQE60 CAA12:CAA60 CJW12:CJW60 CTS12:CTS60 DDO12:DDO60 DNK12:DNK60 DXG12:DXG60 EHC12:EHC60 EQY12:EQY60 FAU12:FAU60 FKQ12:FKQ60 FUM12:FUM60 GEI12:GEI60 GOE12:GOE60 GYA12:GYA60 HHW12:HHW60 HRS12:HRS60 IBO12:IBO60 ILK12:ILK60 IVG12:IVG60 JFC12:JFC60 JOY12:JOY60 JYU12:JYU60 KIQ12:KIQ60 KSM12:KSM60 LCI12:LCI60 LME12:LME60 LWA12:LWA60 MFW12:MFW60 MPS12:MPS60 MZO12:MZO60 NJK12:NJK60 NTG12:NTG60 ODC12:ODC60 OMY12:OMY60 OWU12:OWU60 PGQ12:PGQ60 PQM12:PQM60 QAI12:QAI60 QKE12:QKE60 QUA12:QUA60 RDW12:RDW60 RNS12:RNS60 RXO12:RXO60 SHK12:SHK60 SRG12:SRG60 TBC12:TBC60 TKY12:TKY60 TUU12:TUU60 UEQ12:UEQ60 UOM12:UOM60 UYI12:UYI60 VIE12:VIE60 VSA12:VSA60 WBW12:WBW60 WLS12:WLS60 WVO12:WVO60 F65662:G65670 JC65661:JC65669 SY65661:SY65669 ACU65661:ACU65669 AMQ65661:AMQ65669 AWM65661:AWM65669 BGI65661:BGI65669 BQE65661:BQE65669 CAA65661:CAA65669 CJW65661:CJW65669 CTS65661:CTS65669 DDO65661:DDO65669 DNK65661:DNK65669 DXG65661:DXG65669 EHC65661:EHC65669 EQY65661:EQY65669 FAU65661:FAU65669 FKQ65661:FKQ65669 FUM65661:FUM65669 GEI65661:GEI65669 GOE65661:GOE65669 GYA65661:GYA65669 HHW65661:HHW65669 HRS65661:HRS65669 IBO65661:IBO65669 ILK65661:ILK65669 IVG65661:IVG65669 JFC65661:JFC65669 JOY65661:JOY65669 JYU65661:JYU65669 KIQ65661:KIQ65669 KSM65661:KSM65669 LCI65661:LCI65669 LME65661:LME65669 LWA65661:LWA65669 MFW65661:MFW65669 MPS65661:MPS65669 MZO65661:MZO65669 NJK65661:NJK65669 NTG65661:NTG65669 ODC65661:ODC65669 OMY65661:OMY65669 OWU65661:OWU65669 PGQ65661:PGQ65669 PQM65661:PQM65669 QAI65661:QAI65669 QKE65661:QKE65669 QUA65661:QUA65669 RDW65661:RDW65669 RNS65661:RNS65669 RXO65661:RXO65669 SHK65661:SHK65669 SRG65661:SRG65669 TBC65661:TBC65669 TKY65661:TKY65669 TUU65661:TUU65669 UEQ65661:UEQ65669 UOM65661:UOM65669 UYI65661:UYI65669 VIE65661:VIE65669 VSA65661:VSA65669 WBW65661:WBW65669 WLS65661:WLS65669 WVO65661:WVO65669 F131198:G131206 JC131197:JC131205 SY131197:SY131205 ACU131197:ACU131205 AMQ131197:AMQ131205 AWM131197:AWM131205 BGI131197:BGI131205 BQE131197:BQE131205 CAA131197:CAA131205 CJW131197:CJW131205 CTS131197:CTS131205 DDO131197:DDO131205 DNK131197:DNK131205 DXG131197:DXG131205 EHC131197:EHC131205 EQY131197:EQY131205 FAU131197:FAU131205 FKQ131197:FKQ131205 FUM131197:FUM131205 GEI131197:GEI131205 GOE131197:GOE131205 GYA131197:GYA131205 HHW131197:HHW131205 HRS131197:HRS131205 IBO131197:IBO131205 ILK131197:ILK131205 IVG131197:IVG131205 JFC131197:JFC131205 JOY131197:JOY131205 JYU131197:JYU131205 KIQ131197:KIQ131205 KSM131197:KSM131205 LCI131197:LCI131205 LME131197:LME131205 LWA131197:LWA131205 MFW131197:MFW131205 MPS131197:MPS131205 MZO131197:MZO131205 NJK131197:NJK131205 NTG131197:NTG131205 ODC131197:ODC131205 OMY131197:OMY131205 OWU131197:OWU131205 PGQ131197:PGQ131205 PQM131197:PQM131205 QAI131197:QAI131205 QKE131197:QKE131205 QUA131197:QUA131205 RDW131197:RDW131205 RNS131197:RNS131205 RXO131197:RXO131205 SHK131197:SHK131205 SRG131197:SRG131205 TBC131197:TBC131205 TKY131197:TKY131205 TUU131197:TUU131205 UEQ131197:UEQ131205 UOM131197:UOM131205 UYI131197:UYI131205 VIE131197:VIE131205 VSA131197:VSA131205 WBW131197:WBW131205 WLS131197:WLS131205 WVO131197:WVO131205 F196734:G196742 JC196733:JC196741 SY196733:SY196741 ACU196733:ACU196741 AMQ196733:AMQ196741 AWM196733:AWM196741 BGI196733:BGI196741 BQE196733:BQE196741 CAA196733:CAA196741 CJW196733:CJW196741 CTS196733:CTS196741 DDO196733:DDO196741 DNK196733:DNK196741 DXG196733:DXG196741 EHC196733:EHC196741 EQY196733:EQY196741 FAU196733:FAU196741 FKQ196733:FKQ196741 FUM196733:FUM196741 GEI196733:GEI196741 GOE196733:GOE196741 GYA196733:GYA196741 HHW196733:HHW196741 HRS196733:HRS196741 IBO196733:IBO196741 ILK196733:ILK196741 IVG196733:IVG196741 JFC196733:JFC196741 JOY196733:JOY196741 JYU196733:JYU196741 KIQ196733:KIQ196741 KSM196733:KSM196741 LCI196733:LCI196741 LME196733:LME196741 LWA196733:LWA196741 MFW196733:MFW196741 MPS196733:MPS196741 MZO196733:MZO196741 NJK196733:NJK196741 NTG196733:NTG196741 ODC196733:ODC196741 OMY196733:OMY196741 OWU196733:OWU196741 PGQ196733:PGQ196741 PQM196733:PQM196741 QAI196733:QAI196741 QKE196733:QKE196741 QUA196733:QUA196741 RDW196733:RDW196741 RNS196733:RNS196741 RXO196733:RXO196741 SHK196733:SHK196741 SRG196733:SRG196741 TBC196733:TBC196741 TKY196733:TKY196741 TUU196733:TUU196741 UEQ196733:UEQ196741 UOM196733:UOM196741 UYI196733:UYI196741 VIE196733:VIE196741 VSA196733:VSA196741 WBW196733:WBW196741 WLS196733:WLS196741 WVO196733:WVO196741 F262270:G262278 JC262269:JC262277 SY262269:SY262277 ACU262269:ACU262277 AMQ262269:AMQ262277 AWM262269:AWM262277 BGI262269:BGI262277 BQE262269:BQE262277 CAA262269:CAA262277 CJW262269:CJW262277 CTS262269:CTS262277 DDO262269:DDO262277 DNK262269:DNK262277 DXG262269:DXG262277 EHC262269:EHC262277 EQY262269:EQY262277 FAU262269:FAU262277 FKQ262269:FKQ262277 FUM262269:FUM262277 GEI262269:GEI262277 GOE262269:GOE262277 GYA262269:GYA262277 HHW262269:HHW262277 HRS262269:HRS262277 IBO262269:IBO262277 ILK262269:ILK262277 IVG262269:IVG262277 JFC262269:JFC262277 JOY262269:JOY262277 JYU262269:JYU262277 KIQ262269:KIQ262277 KSM262269:KSM262277 LCI262269:LCI262277 LME262269:LME262277 LWA262269:LWA262277 MFW262269:MFW262277 MPS262269:MPS262277 MZO262269:MZO262277 NJK262269:NJK262277 NTG262269:NTG262277 ODC262269:ODC262277 OMY262269:OMY262277 OWU262269:OWU262277 PGQ262269:PGQ262277 PQM262269:PQM262277 QAI262269:QAI262277 QKE262269:QKE262277 QUA262269:QUA262277 RDW262269:RDW262277 RNS262269:RNS262277 RXO262269:RXO262277 SHK262269:SHK262277 SRG262269:SRG262277 TBC262269:TBC262277 TKY262269:TKY262277 TUU262269:TUU262277 UEQ262269:UEQ262277 UOM262269:UOM262277 UYI262269:UYI262277 VIE262269:VIE262277 VSA262269:VSA262277 WBW262269:WBW262277 WLS262269:WLS262277 WVO262269:WVO262277 F327806:G327814 JC327805:JC327813 SY327805:SY327813 ACU327805:ACU327813 AMQ327805:AMQ327813 AWM327805:AWM327813 BGI327805:BGI327813 BQE327805:BQE327813 CAA327805:CAA327813 CJW327805:CJW327813 CTS327805:CTS327813 DDO327805:DDO327813 DNK327805:DNK327813 DXG327805:DXG327813 EHC327805:EHC327813 EQY327805:EQY327813 FAU327805:FAU327813 FKQ327805:FKQ327813 FUM327805:FUM327813 GEI327805:GEI327813 GOE327805:GOE327813 GYA327805:GYA327813 HHW327805:HHW327813 HRS327805:HRS327813 IBO327805:IBO327813 ILK327805:ILK327813 IVG327805:IVG327813 JFC327805:JFC327813 JOY327805:JOY327813 JYU327805:JYU327813 KIQ327805:KIQ327813 KSM327805:KSM327813 LCI327805:LCI327813 LME327805:LME327813 LWA327805:LWA327813 MFW327805:MFW327813 MPS327805:MPS327813 MZO327805:MZO327813 NJK327805:NJK327813 NTG327805:NTG327813 ODC327805:ODC327813 OMY327805:OMY327813 OWU327805:OWU327813 PGQ327805:PGQ327813 PQM327805:PQM327813 QAI327805:QAI327813 QKE327805:QKE327813 QUA327805:QUA327813 RDW327805:RDW327813 RNS327805:RNS327813 RXO327805:RXO327813 SHK327805:SHK327813 SRG327805:SRG327813 TBC327805:TBC327813 TKY327805:TKY327813 TUU327805:TUU327813 UEQ327805:UEQ327813 UOM327805:UOM327813 UYI327805:UYI327813 VIE327805:VIE327813 VSA327805:VSA327813 WBW327805:WBW327813 WLS327805:WLS327813 WVO327805:WVO327813 F393342:G393350 JC393341:JC393349 SY393341:SY393349 ACU393341:ACU393349 AMQ393341:AMQ393349 AWM393341:AWM393349 BGI393341:BGI393349 BQE393341:BQE393349 CAA393341:CAA393349 CJW393341:CJW393349 CTS393341:CTS393349 DDO393341:DDO393349 DNK393341:DNK393349 DXG393341:DXG393349 EHC393341:EHC393349 EQY393341:EQY393349 FAU393341:FAU393349 FKQ393341:FKQ393349 FUM393341:FUM393349 GEI393341:GEI393349 GOE393341:GOE393349 GYA393341:GYA393349 HHW393341:HHW393349 HRS393341:HRS393349 IBO393341:IBO393349 ILK393341:ILK393349 IVG393341:IVG393349 JFC393341:JFC393349 JOY393341:JOY393349 JYU393341:JYU393349 KIQ393341:KIQ393349 KSM393341:KSM393349 LCI393341:LCI393349 LME393341:LME393349 LWA393341:LWA393349 MFW393341:MFW393349 MPS393341:MPS393349 MZO393341:MZO393349 NJK393341:NJK393349 NTG393341:NTG393349 ODC393341:ODC393349 OMY393341:OMY393349 OWU393341:OWU393349 PGQ393341:PGQ393349 PQM393341:PQM393349 QAI393341:QAI393349 QKE393341:QKE393349 QUA393341:QUA393349 RDW393341:RDW393349 RNS393341:RNS393349 RXO393341:RXO393349 SHK393341:SHK393349 SRG393341:SRG393349 TBC393341:TBC393349 TKY393341:TKY393349 TUU393341:TUU393349 UEQ393341:UEQ393349 UOM393341:UOM393349 UYI393341:UYI393349 VIE393341:VIE393349 VSA393341:VSA393349 WBW393341:WBW393349 WLS393341:WLS393349 WVO393341:WVO393349 F458878:G458886 JC458877:JC458885 SY458877:SY458885 ACU458877:ACU458885 AMQ458877:AMQ458885 AWM458877:AWM458885 BGI458877:BGI458885 BQE458877:BQE458885 CAA458877:CAA458885 CJW458877:CJW458885 CTS458877:CTS458885 DDO458877:DDO458885 DNK458877:DNK458885 DXG458877:DXG458885 EHC458877:EHC458885 EQY458877:EQY458885 FAU458877:FAU458885 FKQ458877:FKQ458885 FUM458877:FUM458885 GEI458877:GEI458885 GOE458877:GOE458885 GYA458877:GYA458885 HHW458877:HHW458885 HRS458877:HRS458885 IBO458877:IBO458885 ILK458877:ILK458885 IVG458877:IVG458885 JFC458877:JFC458885 JOY458877:JOY458885 JYU458877:JYU458885 KIQ458877:KIQ458885 KSM458877:KSM458885 LCI458877:LCI458885 LME458877:LME458885 LWA458877:LWA458885 MFW458877:MFW458885 MPS458877:MPS458885 MZO458877:MZO458885 NJK458877:NJK458885 NTG458877:NTG458885 ODC458877:ODC458885 OMY458877:OMY458885 OWU458877:OWU458885 PGQ458877:PGQ458885 PQM458877:PQM458885 QAI458877:QAI458885 QKE458877:QKE458885 QUA458877:QUA458885 RDW458877:RDW458885 RNS458877:RNS458885 RXO458877:RXO458885 SHK458877:SHK458885 SRG458877:SRG458885 TBC458877:TBC458885 TKY458877:TKY458885 TUU458877:TUU458885 UEQ458877:UEQ458885 UOM458877:UOM458885 UYI458877:UYI458885 VIE458877:VIE458885 VSA458877:VSA458885 WBW458877:WBW458885 WLS458877:WLS458885 WVO458877:WVO458885 F524414:G524422 JC524413:JC524421 SY524413:SY524421 ACU524413:ACU524421 AMQ524413:AMQ524421 AWM524413:AWM524421 BGI524413:BGI524421 BQE524413:BQE524421 CAA524413:CAA524421 CJW524413:CJW524421 CTS524413:CTS524421 DDO524413:DDO524421 DNK524413:DNK524421 DXG524413:DXG524421 EHC524413:EHC524421 EQY524413:EQY524421 FAU524413:FAU524421 FKQ524413:FKQ524421 FUM524413:FUM524421 GEI524413:GEI524421 GOE524413:GOE524421 GYA524413:GYA524421 HHW524413:HHW524421 HRS524413:HRS524421 IBO524413:IBO524421 ILK524413:ILK524421 IVG524413:IVG524421 JFC524413:JFC524421 JOY524413:JOY524421 JYU524413:JYU524421 KIQ524413:KIQ524421 KSM524413:KSM524421 LCI524413:LCI524421 LME524413:LME524421 LWA524413:LWA524421 MFW524413:MFW524421 MPS524413:MPS524421 MZO524413:MZO524421 NJK524413:NJK524421 NTG524413:NTG524421 ODC524413:ODC524421 OMY524413:OMY524421 OWU524413:OWU524421 PGQ524413:PGQ524421 PQM524413:PQM524421 QAI524413:QAI524421 QKE524413:QKE524421 QUA524413:QUA524421 RDW524413:RDW524421 RNS524413:RNS524421 RXO524413:RXO524421 SHK524413:SHK524421 SRG524413:SRG524421 TBC524413:TBC524421 TKY524413:TKY524421 TUU524413:TUU524421 UEQ524413:UEQ524421 UOM524413:UOM524421 UYI524413:UYI524421 VIE524413:VIE524421 VSA524413:VSA524421 WBW524413:WBW524421 WLS524413:WLS524421 WVO524413:WVO524421 F589950:G589958 JC589949:JC589957 SY589949:SY589957 ACU589949:ACU589957 AMQ589949:AMQ589957 AWM589949:AWM589957 BGI589949:BGI589957 BQE589949:BQE589957 CAA589949:CAA589957 CJW589949:CJW589957 CTS589949:CTS589957 DDO589949:DDO589957 DNK589949:DNK589957 DXG589949:DXG589957 EHC589949:EHC589957 EQY589949:EQY589957 FAU589949:FAU589957 FKQ589949:FKQ589957 FUM589949:FUM589957 GEI589949:GEI589957 GOE589949:GOE589957 GYA589949:GYA589957 HHW589949:HHW589957 HRS589949:HRS589957 IBO589949:IBO589957 ILK589949:ILK589957 IVG589949:IVG589957 JFC589949:JFC589957 JOY589949:JOY589957 JYU589949:JYU589957 KIQ589949:KIQ589957 KSM589949:KSM589957 LCI589949:LCI589957 LME589949:LME589957 LWA589949:LWA589957 MFW589949:MFW589957 MPS589949:MPS589957 MZO589949:MZO589957 NJK589949:NJK589957 NTG589949:NTG589957 ODC589949:ODC589957 OMY589949:OMY589957 OWU589949:OWU589957 PGQ589949:PGQ589957 PQM589949:PQM589957 QAI589949:QAI589957 QKE589949:QKE589957 QUA589949:QUA589957 RDW589949:RDW589957 RNS589949:RNS589957 RXO589949:RXO589957 SHK589949:SHK589957 SRG589949:SRG589957 TBC589949:TBC589957 TKY589949:TKY589957 TUU589949:TUU589957 UEQ589949:UEQ589957 UOM589949:UOM589957 UYI589949:UYI589957 VIE589949:VIE589957 VSA589949:VSA589957 WBW589949:WBW589957 WLS589949:WLS589957 WVO589949:WVO589957 F655486:G655494 JC655485:JC655493 SY655485:SY655493 ACU655485:ACU655493 AMQ655485:AMQ655493 AWM655485:AWM655493 BGI655485:BGI655493 BQE655485:BQE655493 CAA655485:CAA655493 CJW655485:CJW655493 CTS655485:CTS655493 DDO655485:DDO655493 DNK655485:DNK655493 DXG655485:DXG655493 EHC655485:EHC655493 EQY655485:EQY655493 FAU655485:FAU655493 FKQ655485:FKQ655493 FUM655485:FUM655493 GEI655485:GEI655493 GOE655485:GOE655493 GYA655485:GYA655493 HHW655485:HHW655493 HRS655485:HRS655493 IBO655485:IBO655493 ILK655485:ILK655493 IVG655485:IVG655493 JFC655485:JFC655493 JOY655485:JOY655493 JYU655485:JYU655493 KIQ655485:KIQ655493 KSM655485:KSM655493 LCI655485:LCI655493 LME655485:LME655493 LWA655485:LWA655493 MFW655485:MFW655493 MPS655485:MPS655493 MZO655485:MZO655493 NJK655485:NJK655493 NTG655485:NTG655493 ODC655485:ODC655493 OMY655485:OMY655493 OWU655485:OWU655493 PGQ655485:PGQ655493 PQM655485:PQM655493 QAI655485:QAI655493 QKE655485:QKE655493 QUA655485:QUA655493 RDW655485:RDW655493 RNS655485:RNS655493 RXO655485:RXO655493 SHK655485:SHK655493 SRG655485:SRG655493 TBC655485:TBC655493 TKY655485:TKY655493 TUU655485:TUU655493 UEQ655485:UEQ655493 UOM655485:UOM655493 UYI655485:UYI655493 VIE655485:VIE655493 VSA655485:VSA655493 WBW655485:WBW655493 WLS655485:WLS655493 WVO655485:WVO655493 F721022:G721030 JC721021:JC721029 SY721021:SY721029 ACU721021:ACU721029 AMQ721021:AMQ721029 AWM721021:AWM721029 BGI721021:BGI721029 BQE721021:BQE721029 CAA721021:CAA721029 CJW721021:CJW721029 CTS721021:CTS721029 DDO721021:DDO721029 DNK721021:DNK721029 DXG721021:DXG721029 EHC721021:EHC721029 EQY721021:EQY721029 FAU721021:FAU721029 FKQ721021:FKQ721029 FUM721021:FUM721029 GEI721021:GEI721029 GOE721021:GOE721029 GYA721021:GYA721029 HHW721021:HHW721029 HRS721021:HRS721029 IBO721021:IBO721029 ILK721021:ILK721029 IVG721021:IVG721029 JFC721021:JFC721029 JOY721021:JOY721029 JYU721021:JYU721029 KIQ721021:KIQ721029 KSM721021:KSM721029 LCI721021:LCI721029 LME721021:LME721029 LWA721021:LWA721029 MFW721021:MFW721029 MPS721021:MPS721029 MZO721021:MZO721029 NJK721021:NJK721029 NTG721021:NTG721029 ODC721021:ODC721029 OMY721021:OMY721029 OWU721021:OWU721029 PGQ721021:PGQ721029 PQM721021:PQM721029 QAI721021:QAI721029 QKE721021:QKE721029 QUA721021:QUA721029 RDW721021:RDW721029 RNS721021:RNS721029 RXO721021:RXO721029 SHK721021:SHK721029 SRG721021:SRG721029 TBC721021:TBC721029 TKY721021:TKY721029 TUU721021:TUU721029 UEQ721021:UEQ721029 UOM721021:UOM721029 UYI721021:UYI721029 VIE721021:VIE721029 VSA721021:VSA721029 WBW721021:WBW721029 WLS721021:WLS721029 WVO721021:WVO721029 F786558:G786566 JC786557:JC786565 SY786557:SY786565 ACU786557:ACU786565 AMQ786557:AMQ786565 AWM786557:AWM786565 BGI786557:BGI786565 BQE786557:BQE786565 CAA786557:CAA786565 CJW786557:CJW786565 CTS786557:CTS786565 DDO786557:DDO786565 DNK786557:DNK786565 DXG786557:DXG786565 EHC786557:EHC786565 EQY786557:EQY786565 FAU786557:FAU786565 FKQ786557:FKQ786565 FUM786557:FUM786565 GEI786557:GEI786565 GOE786557:GOE786565 GYA786557:GYA786565 HHW786557:HHW786565 HRS786557:HRS786565 IBO786557:IBO786565 ILK786557:ILK786565 IVG786557:IVG786565 JFC786557:JFC786565 JOY786557:JOY786565 JYU786557:JYU786565 KIQ786557:KIQ786565 KSM786557:KSM786565 LCI786557:LCI786565 LME786557:LME786565 LWA786557:LWA786565 MFW786557:MFW786565 MPS786557:MPS786565 MZO786557:MZO786565 NJK786557:NJK786565 NTG786557:NTG786565 ODC786557:ODC786565 OMY786557:OMY786565 OWU786557:OWU786565 PGQ786557:PGQ786565 PQM786557:PQM786565 QAI786557:QAI786565 QKE786557:QKE786565 QUA786557:QUA786565 RDW786557:RDW786565 RNS786557:RNS786565 RXO786557:RXO786565 SHK786557:SHK786565 SRG786557:SRG786565 TBC786557:TBC786565 TKY786557:TKY786565 TUU786557:TUU786565 UEQ786557:UEQ786565 UOM786557:UOM786565 UYI786557:UYI786565 VIE786557:VIE786565 VSA786557:VSA786565 WBW786557:WBW786565 WLS786557:WLS786565 WVO786557:WVO786565 F852094:G852102 JC852093:JC852101 SY852093:SY852101 ACU852093:ACU852101 AMQ852093:AMQ852101 AWM852093:AWM852101 BGI852093:BGI852101 BQE852093:BQE852101 CAA852093:CAA852101 CJW852093:CJW852101 CTS852093:CTS852101 DDO852093:DDO852101 DNK852093:DNK852101 DXG852093:DXG852101 EHC852093:EHC852101 EQY852093:EQY852101 FAU852093:FAU852101 FKQ852093:FKQ852101 FUM852093:FUM852101 GEI852093:GEI852101 GOE852093:GOE852101 GYA852093:GYA852101 HHW852093:HHW852101 HRS852093:HRS852101 IBO852093:IBO852101 ILK852093:ILK852101 IVG852093:IVG852101 JFC852093:JFC852101 JOY852093:JOY852101 JYU852093:JYU852101 KIQ852093:KIQ852101 KSM852093:KSM852101 LCI852093:LCI852101 LME852093:LME852101 LWA852093:LWA852101 MFW852093:MFW852101 MPS852093:MPS852101 MZO852093:MZO852101 NJK852093:NJK852101 NTG852093:NTG852101 ODC852093:ODC852101 OMY852093:OMY852101 OWU852093:OWU852101 PGQ852093:PGQ852101 PQM852093:PQM852101 QAI852093:QAI852101 QKE852093:QKE852101 QUA852093:QUA852101 RDW852093:RDW852101 RNS852093:RNS852101 RXO852093:RXO852101 SHK852093:SHK852101 SRG852093:SRG852101 TBC852093:TBC852101 TKY852093:TKY852101 TUU852093:TUU852101 UEQ852093:UEQ852101 UOM852093:UOM852101 UYI852093:UYI852101 VIE852093:VIE852101 VSA852093:VSA852101 WBW852093:WBW852101 WLS852093:WLS852101 WVO852093:WVO852101 F917630:G917638 JC917629:JC917637 SY917629:SY917637 ACU917629:ACU917637 AMQ917629:AMQ917637 AWM917629:AWM917637 BGI917629:BGI917637 BQE917629:BQE917637 CAA917629:CAA917637 CJW917629:CJW917637 CTS917629:CTS917637 DDO917629:DDO917637 DNK917629:DNK917637 DXG917629:DXG917637 EHC917629:EHC917637 EQY917629:EQY917637 FAU917629:FAU917637 FKQ917629:FKQ917637 FUM917629:FUM917637 GEI917629:GEI917637 GOE917629:GOE917637 GYA917629:GYA917637 HHW917629:HHW917637 HRS917629:HRS917637 IBO917629:IBO917637 ILK917629:ILK917637 IVG917629:IVG917637 JFC917629:JFC917637 JOY917629:JOY917637 JYU917629:JYU917637 KIQ917629:KIQ917637 KSM917629:KSM917637 LCI917629:LCI917637 LME917629:LME917637 LWA917629:LWA917637 MFW917629:MFW917637 MPS917629:MPS917637 MZO917629:MZO917637 NJK917629:NJK917637 NTG917629:NTG917637 ODC917629:ODC917637 OMY917629:OMY917637 OWU917629:OWU917637 PGQ917629:PGQ917637 PQM917629:PQM917637 QAI917629:QAI917637 QKE917629:QKE917637 QUA917629:QUA917637 RDW917629:RDW917637 RNS917629:RNS917637 RXO917629:RXO917637 SHK917629:SHK917637 SRG917629:SRG917637 TBC917629:TBC917637 TKY917629:TKY917637 TUU917629:TUU917637 UEQ917629:UEQ917637 UOM917629:UOM917637 UYI917629:UYI917637 VIE917629:VIE917637 VSA917629:VSA917637 WBW917629:WBW917637 WLS917629:WLS917637 WVO917629:WVO917637 F983166:G983174 JC983165:JC983173 SY983165:SY983173 ACU983165:ACU983173 AMQ983165:AMQ983173 AWM983165:AWM983173 BGI983165:BGI983173 BQE983165:BQE983173 CAA983165:CAA983173 CJW983165:CJW983173 CTS983165:CTS983173 DDO983165:DDO983173 DNK983165:DNK983173 DXG983165:DXG983173 EHC983165:EHC983173 EQY983165:EQY983173 FAU983165:FAU983173 FKQ983165:FKQ983173 FUM983165:FUM983173 GEI983165:GEI983173 GOE983165:GOE983173 GYA983165:GYA983173 HHW983165:HHW983173 HRS983165:HRS983173 IBO983165:IBO983173 ILK983165:ILK983173 IVG983165:IVG983173 JFC983165:JFC983173 JOY983165:JOY983173 JYU983165:JYU983173 KIQ983165:KIQ983173 KSM983165:KSM983173 LCI983165:LCI983173 LME983165:LME983173 LWA983165:LWA983173 MFW983165:MFW983173 MPS983165:MPS983173 MZO983165:MZO983173 NJK983165:NJK983173 NTG983165:NTG983173 ODC983165:ODC983173 OMY983165:OMY983173 OWU983165:OWU983173 PGQ983165:PGQ983173 PQM983165:PQM983173 QAI983165:QAI983173 QKE983165:QKE983173 QUA983165:QUA983173 RDW983165:RDW983173 RNS983165:RNS983173 RXO983165:RXO983173 SHK983165:SHK983173 SRG983165:SRG983173 TBC983165:TBC983173 TKY983165:TKY983173 TUU983165:TUU983173 UEQ983165:UEQ983173 UOM983165:UOM983173 UYI983165:UYI983173 VIE983165:VIE983173 VSA983165:VSA983173 WBW983165:WBW983173 WLS983165:WLS983173 WVO983165:WVO983173 F12:G60 JC63:JC98 SY63:SY98 ACU63:ACU98 AMQ63:AMQ98 AWM63:AWM98 BGI63:BGI98 BQE63:BQE98 CAA63:CAA98 CJW63:CJW98 CTS63:CTS98 DDO63:DDO98 DNK63:DNK98 DXG63:DXG98 EHC63:EHC98 EQY63:EQY98 FAU63:FAU98 FKQ63:FKQ98 FUM63:FUM98 GEI63:GEI98 GOE63:GOE98 GYA63:GYA98 HHW63:HHW98 HRS63:HRS98 IBO63:IBO98 ILK63:ILK98 IVG63:IVG98 JFC63:JFC98 JOY63:JOY98 JYU63:JYU98 KIQ63:KIQ98 KSM63:KSM98 LCI63:LCI98 LME63:LME98 LWA63:LWA98 MFW63:MFW98 MPS63:MPS98 MZO63:MZO98 NJK63:NJK98 NTG63:NTG98 ODC63:ODC98 OMY63:OMY98 OWU63:OWU98 PGQ63:PGQ98 PQM63:PQM98 QAI63:QAI98 QKE63:QKE98 QUA63:QUA98 RDW63:RDW98 RNS63:RNS98 RXO63:RXO98 SHK63:SHK98 SRG63:SRG98 TBC63:TBC98 TKY63:TKY98 TUU63:TUU98 UEQ63:UEQ98 UOM63:UOM98 UYI63:UYI98 VIE63:VIE98 VSA63:VSA98 WBW63:WBW98 WLS63:WLS98 WVO63:WVO98 F65673:G65681 JC65672:JC65680 SY65672:SY65680 ACU65672:ACU65680 AMQ65672:AMQ65680 AWM65672:AWM65680 BGI65672:BGI65680 BQE65672:BQE65680 CAA65672:CAA65680 CJW65672:CJW65680 CTS65672:CTS65680 DDO65672:DDO65680 DNK65672:DNK65680 DXG65672:DXG65680 EHC65672:EHC65680 EQY65672:EQY65680 FAU65672:FAU65680 FKQ65672:FKQ65680 FUM65672:FUM65680 GEI65672:GEI65680 GOE65672:GOE65680 GYA65672:GYA65680 HHW65672:HHW65680 HRS65672:HRS65680 IBO65672:IBO65680 ILK65672:ILK65680 IVG65672:IVG65680 JFC65672:JFC65680 JOY65672:JOY65680 JYU65672:JYU65680 KIQ65672:KIQ65680 KSM65672:KSM65680 LCI65672:LCI65680 LME65672:LME65680 LWA65672:LWA65680 MFW65672:MFW65680 MPS65672:MPS65680 MZO65672:MZO65680 NJK65672:NJK65680 NTG65672:NTG65680 ODC65672:ODC65680 OMY65672:OMY65680 OWU65672:OWU65680 PGQ65672:PGQ65680 PQM65672:PQM65680 QAI65672:QAI65680 QKE65672:QKE65680 QUA65672:QUA65680 RDW65672:RDW65680 RNS65672:RNS65680 RXO65672:RXO65680 SHK65672:SHK65680 SRG65672:SRG65680 TBC65672:TBC65680 TKY65672:TKY65680 TUU65672:TUU65680 UEQ65672:UEQ65680 UOM65672:UOM65680 UYI65672:UYI65680 VIE65672:VIE65680 VSA65672:VSA65680 WBW65672:WBW65680 WLS65672:WLS65680 WVO65672:WVO65680 F131209:G131217 JC131208:JC131216 SY131208:SY131216 ACU131208:ACU131216 AMQ131208:AMQ131216 AWM131208:AWM131216 BGI131208:BGI131216 BQE131208:BQE131216 CAA131208:CAA131216 CJW131208:CJW131216 CTS131208:CTS131216 DDO131208:DDO131216 DNK131208:DNK131216 DXG131208:DXG131216 EHC131208:EHC131216 EQY131208:EQY131216 FAU131208:FAU131216 FKQ131208:FKQ131216 FUM131208:FUM131216 GEI131208:GEI131216 GOE131208:GOE131216 GYA131208:GYA131216 HHW131208:HHW131216 HRS131208:HRS131216 IBO131208:IBO131216 ILK131208:ILK131216 IVG131208:IVG131216 JFC131208:JFC131216 JOY131208:JOY131216 JYU131208:JYU131216 KIQ131208:KIQ131216 KSM131208:KSM131216 LCI131208:LCI131216 LME131208:LME131216 LWA131208:LWA131216 MFW131208:MFW131216 MPS131208:MPS131216 MZO131208:MZO131216 NJK131208:NJK131216 NTG131208:NTG131216 ODC131208:ODC131216 OMY131208:OMY131216 OWU131208:OWU131216 PGQ131208:PGQ131216 PQM131208:PQM131216 QAI131208:QAI131216 QKE131208:QKE131216 QUA131208:QUA131216 RDW131208:RDW131216 RNS131208:RNS131216 RXO131208:RXO131216 SHK131208:SHK131216 SRG131208:SRG131216 TBC131208:TBC131216 TKY131208:TKY131216 TUU131208:TUU131216 UEQ131208:UEQ131216 UOM131208:UOM131216 UYI131208:UYI131216 VIE131208:VIE131216 VSA131208:VSA131216 WBW131208:WBW131216 WLS131208:WLS131216 WVO131208:WVO131216 F196745:G196753 JC196744:JC196752 SY196744:SY196752 ACU196744:ACU196752 AMQ196744:AMQ196752 AWM196744:AWM196752 BGI196744:BGI196752 BQE196744:BQE196752 CAA196744:CAA196752 CJW196744:CJW196752 CTS196744:CTS196752 DDO196744:DDO196752 DNK196744:DNK196752 DXG196744:DXG196752 EHC196744:EHC196752 EQY196744:EQY196752 FAU196744:FAU196752 FKQ196744:FKQ196752 FUM196744:FUM196752 GEI196744:GEI196752 GOE196744:GOE196752 GYA196744:GYA196752 HHW196744:HHW196752 HRS196744:HRS196752 IBO196744:IBO196752 ILK196744:ILK196752 IVG196744:IVG196752 JFC196744:JFC196752 JOY196744:JOY196752 JYU196744:JYU196752 KIQ196744:KIQ196752 KSM196744:KSM196752 LCI196744:LCI196752 LME196744:LME196752 LWA196744:LWA196752 MFW196744:MFW196752 MPS196744:MPS196752 MZO196744:MZO196752 NJK196744:NJK196752 NTG196744:NTG196752 ODC196744:ODC196752 OMY196744:OMY196752 OWU196744:OWU196752 PGQ196744:PGQ196752 PQM196744:PQM196752 QAI196744:QAI196752 QKE196744:QKE196752 QUA196744:QUA196752 RDW196744:RDW196752 RNS196744:RNS196752 RXO196744:RXO196752 SHK196744:SHK196752 SRG196744:SRG196752 TBC196744:TBC196752 TKY196744:TKY196752 TUU196744:TUU196752 UEQ196744:UEQ196752 UOM196744:UOM196752 UYI196744:UYI196752 VIE196744:VIE196752 VSA196744:VSA196752 WBW196744:WBW196752 WLS196744:WLS196752 WVO196744:WVO196752 F262281:G262289 JC262280:JC262288 SY262280:SY262288 ACU262280:ACU262288 AMQ262280:AMQ262288 AWM262280:AWM262288 BGI262280:BGI262288 BQE262280:BQE262288 CAA262280:CAA262288 CJW262280:CJW262288 CTS262280:CTS262288 DDO262280:DDO262288 DNK262280:DNK262288 DXG262280:DXG262288 EHC262280:EHC262288 EQY262280:EQY262288 FAU262280:FAU262288 FKQ262280:FKQ262288 FUM262280:FUM262288 GEI262280:GEI262288 GOE262280:GOE262288 GYA262280:GYA262288 HHW262280:HHW262288 HRS262280:HRS262288 IBO262280:IBO262288 ILK262280:ILK262288 IVG262280:IVG262288 JFC262280:JFC262288 JOY262280:JOY262288 JYU262280:JYU262288 KIQ262280:KIQ262288 KSM262280:KSM262288 LCI262280:LCI262288 LME262280:LME262288 LWA262280:LWA262288 MFW262280:MFW262288 MPS262280:MPS262288 MZO262280:MZO262288 NJK262280:NJK262288 NTG262280:NTG262288 ODC262280:ODC262288 OMY262280:OMY262288 OWU262280:OWU262288 PGQ262280:PGQ262288 PQM262280:PQM262288 QAI262280:QAI262288 QKE262280:QKE262288 QUA262280:QUA262288 RDW262280:RDW262288 RNS262280:RNS262288 RXO262280:RXO262288 SHK262280:SHK262288 SRG262280:SRG262288 TBC262280:TBC262288 TKY262280:TKY262288 TUU262280:TUU262288 UEQ262280:UEQ262288 UOM262280:UOM262288 UYI262280:UYI262288 VIE262280:VIE262288 VSA262280:VSA262288 WBW262280:WBW262288 WLS262280:WLS262288 WVO262280:WVO262288 F327817:G327825 JC327816:JC327824 SY327816:SY327824 ACU327816:ACU327824 AMQ327816:AMQ327824 AWM327816:AWM327824 BGI327816:BGI327824 BQE327816:BQE327824 CAA327816:CAA327824 CJW327816:CJW327824 CTS327816:CTS327824 DDO327816:DDO327824 DNK327816:DNK327824 DXG327816:DXG327824 EHC327816:EHC327824 EQY327816:EQY327824 FAU327816:FAU327824 FKQ327816:FKQ327824 FUM327816:FUM327824 GEI327816:GEI327824 GOE327816:GOE327824 GYA327816:GYA327824 HHW327816:HHW327824 HRS327816:HRS327824 IBO327816:IBO327824 ILK327816:ILK327824 IVG327816:IVG327824 JFC327816:JFC327824 JOY327816:JOY327824 JYU327816:JYU327824 KIQ327816:KIQ327824 KSM327816:KSM327824 LCI327816:LCI327824 LME327816:LME327824 LWA327816:LWA327824 MFW327816:MFW327824 MPS327816:MPS327824 MZO327816:MZO327824 NJK327816:NJK327824 NTG327816:NTG327824 ODC327816:ODC327824 OMY327816:OMY327824 OWU327816:OWU327824 PGQ327816:PGQ327824 PQM327816:PQM327824 QAI327816:QAI327824 QKE327816:QKE327824 QUA327816:QUA327824 RDW327816:RDW327824 RNS327816:RNS327824 RXO327816:RXO327824 SHK327816:SHK327824 SRG327816:SRG327824 TBC327816:TBC327824 TKY327816:TKY327824 TUU327816:TUU327824 UEQ327816:UEQ327824 UOM327816:UOM327824 UYI327816:UYI327824 VIE327816:VIE327824 VSA327816:VSA327824 WBW327816:WBW327824 WLS327816:WLS327824 WVO327816:WVO327824 F393353:G393361 JC393352:JC393360 SY393352:SY393360 ACU393352:ACU393360 AMQ393352:AMQ393360 AWM393352:AWM393360 BGI393352:BGI393360 BQE393352:BQE393360 CAA393352:CAA393360 CJW393352:CJW393360 CTS393352:CTS393360 DDO393352:DDO393360 DNK393352:DNK393360 DXG393352:DXG393360 EHC393352:EHC393360 EQY393352:EQY393360 FAU393352:FAU393360 FKQ393352:FKQ393360 FUM393352:FUM393360 GEI393352:GEI393360 GOE393352:GOE393360 GYA393352:GYA393360 HHW393352:HHW393360 HRS393352:HRS393360 IBO393352:IBO393360 ILK393352:ILK393360 IVG393352:IVG393360 JFC393352:JFC393360 JOY393352:JOY393360 JYU393352:JYU393360 KIQ393352:KIQ393360 KSM393352:KSM393360 LCI393352:LCI393360 LME393352:LME393360 LWA393352:LWA393360 MFW393352:MFW393360 MPS393352:MPS393360 MZO393352:MZO393360 NJK393352:NJK393360 NTG393352:NTG393360 ODC393352:ODC393360 OMY393352:OMY393360 OWU393352:OWU393360 PGQ393352:PGQ393360 PQM393352:PQM393360 QAI393352:QAI393360 QKE393352:QKE393360 QUA393352:QUA393360 RDW393352:RDW393360 RNS393352:RNS393360 RXO393352:RXO393360 SHK393352:SHK393360 SRG393352:SRG393360 TBC393352:TBC393360 TKY393352:TKY393360 TUU393352:TUU393360 UEQ393352:UEQ393360 UOM393352:UOM393360 UYI393352:UYI393360 VIE393352:VIE393360 VSA393352:VSA393360 WBW393352:WBW393360 WLS393352:WLS393360 WVO393352:WVO393360 F458889:G458897 JC458888:JC458896 SY458888:SY458896 ACU458888:ACU458896 AMQ458888:AMQ458896 AWM458888:AWM458896 BGI458888:BGI458896 BQE458888:BQE458896 CAA458888:CAA458896 CJW458888:CJW458896 CTS458888:CTS458896 DDO458888:DDO458896 DNK458888:DNK458896 DXG458888:DXG458896 EHC458888:EHC458896 EQY458888:EQY458896 FAU458888:FAU458896 FKQ458888:FKQ458896 FUM458888:FUM458896 GEI458888:GEI458896 GOE458888:GOE458896 GYA458888:GYA458896 HHW458888:HHW458896 HRS458888:HRS458896 IBO458888:IBO458896 ILK458888:ILK458896 IVG458888:IVG458896 JFC458888:JFC458896 JOY458888:JOY458896 JYU458888:JYU458896 KIQ458888:KIQ458896 KSM458888:KSM458896 LCI458888:LCI458896 LME458888:LME458896 LWA458888:LWA458896 MFW458888:MFW458896 MPS458888:MPS458896 MZO458888:MZO458896 NJK458888:NJK458896 NTG458888:NTG458896 ODC458888:ODC458896 OMY458888:OMY458896 OWU458888:OWU458896 PGQ458888:PGQ458896 PQM458888:PQM458896 QAI458888:QAI458896 QKE458888:QKE458896 QUA458888:QUA458896 RDW458888:RDW458896 RNS458888:RNS458896 RXO458888:RXO458896 SHK458888:SHK458896 SRG458888:SRG458896 TBC458888:TBC458896 TKY458888:TKY458896 TUU458888:TUU458896 UEQ458888:UEQ458896 UOM458888:UOM458896 UYI458888:UYI458896 VIE458888:VIE458896 VSA458888:VSA458896 WBW458888:WBW458896 WLS458888:WLS458896 WVO458888:WVO458896 F524425:G524433 JC524424:JC524432 SY524424:SY524432 ACU524424:ACU524432 AMQ524424:AMQ524432 AWM524424:AWM524432 BGI524424:BGI524432 BQE524424:BQE524432 CAA524424:CAA524432 CJW524424:CJW524432 CTS524424:CTS524432 DDO524424:DDO524432 DNK524424:DNK524432 DXG524424:DXG524432 EHC524424:EHC524432 EQY524424:EQY524432 FAU524424:FAU524432 FKQ524424:FKQ524432 FUM524424:FUM524432 GEI524424:GEI524432 GOE524424:GOE524432 GYA524424:GYA524432 HHW524424:HHW524432 HRS524424:HRS524432 IBO524424:IBO524432 ILK524424:ILK524432 IVG524424:IVG524432 JFC524424:JFC524432 JOY524424:JOY524432 JYU524424:JYU524432 KIQ524424:KIQ524432 KSM524424:KSM524432 LCI524424:LCI524432 LME524424:LME524432 LWA524424:LWA524432 MFW524424:MFW524432 MPS524424:MPS524432 MZO524424:MZO524432 NJK524424:NJK524432 NTG524424:NTG524432 ODC524424:ODC524432 OMY524424:OMY524432 OWU524424:OWU524432 PGQ524424:PGQ524432 PQM524424:PQM524432 QAI524424:QAI524432 QKE524424:QKE524432 QUA524424:QUA524432 RDW524424:RDW524432 RNS524424:RNS524432 RXO524424:RXO524432 SHK524424:SHK524432 SRG524424:SRG524432 TBC524424:TBC524432 TKY524424:TKY524432 TUU524424:TUU524432 UEQ524424:UEQ524432 UOM524424:UOM524432 UYI524424:UYI524432 VIE524424:VIE524432 VSA524424:VSA524432 WBW524424:WBW524432 WLS524424:WLS524432 WVO524424:WVO524432 F589961:G589969 JC589960:JC589968 SY589960:SY589968 ACU589960:ACU589968 AMQ589960:AMQ589968 AWM589960:AWM589968 BGI589960:BGI589968 BQE589960:BQE589968 CAA589960:CAA589968 CJW589960:CJW589968 CTS589960:CTS589968 DDO589960:DDO589968 DNK589960:DNK589968 DXG589960:DXG589968 EHC589960:EHC589968 EQY589960:EQY589968 FAU589960:FAU589968 FKQ589960:FKQ589968 FUM589960:FUM589968 GEI589960:GEI589968 GOE589960:GOE589968 GYA589960:GYA589968 HHW589960:HHW589968 HRS589960:HRS589968 IBO589960:IBO589968 ILK589960:ILK589968 IVG589960:IVG589968 JFC589960:JFC589968 JOY589960:JOY589968 JYU589960:JYU589968 KIQ589960:KIQ589968 KSM589960:KSM589968 LCI589960:LCI589968 LME589960:LME589968 LWA589960:LWA589968 MFW589960:MFW589968 MPS589960:MPS589968 MZO589960:MZO589968 NJK589960:NJK589968 NTG589960:NTG589968 ODC589960:ODC589968 OMY589960:OMY589968 OWU589960:OWU589968 PGQ589960:PGQ589968 PQM589960:PQM589968 QAI589960:QAI589968 QKE589960:QKE589968 QUA589960:QUA589968 RDW589960:RDW589968 RNS589960:RNS589968 RXO589960:RXO589968 SHK589960:SHK589968 SRG589960:SRG589968 TBC589960:TBC589968 TKY589960:TKY589968 TUU589960:TUU589968 UEQ589960:UEQ589968 UOM589960:UOM589968 UYI589960:UYI589968 VIE589960:VIE589968 VSA589960:VSA589968 WBW589960:WBW589968 WLS589960:WLS589968 WVO589960:WVO589968 F655497:G655505 JC655496:JC655504 SY655496:SY655504 ACU655496:ACU655504 AMQ655496:AMQ655504 AWM655496:AWM655504 BGI655496:BGI655504 BQE655496:BQE655504 CAA655496:CAA655504 CJW655496:CJW655504 CTS655496:CTS655504 DDO655496:DDO655504 DNK655496:DNK655504 DXG655496:DXG655504 EHC655496:EHC655504 EQY655496:EQY655504 FAU655496:FAU655504 FKQ655496:FKQ655504 FUM655496:FUM655504 GEI655496:GEI655504 GOE655496:GOE655504 GYA655496:GYA655504 HHW655496:HHW655504 HRS655496:HRS655504 IBO655496:IBO655504 ILK655496:ILK655504 IVG655496:IVG655504 JFC655496:JFC655504 JOY655496:JOY655504 JYU655496:JYU655504 KIQ655496:KIQ655504 KSM655496:KSM655504 LCI655496:LCI655504 LME655496:LME655504 LWA655496:LWA655504 MFW655496:MFW655504 MPS655496:MPS655504 MZO655496:MZO655504 NJK655496:NJK655504 NTG655496:NTG655504 ODC655496:ODC655504 OMY655496:OMY655504 OWU655496:OWU655504 PGQ655496:PGQ655504 PQM655496:PQM655504 QAI655496:QAI655504 QKE655496:QKE655504 QUA655496:QUA655504 RDW655496:RDW655504 RNS655496:RNS655504 RXO655496:RXO655504 SHK655496:SHK655504 SRG655496:SRG655504 TBC655496:TBC655504 TKY655496:TKY655504 TUU655496:TUU655504 UEQ655496:UEQ655504 UOM655496:UOM655504 UYI655496:UYI655504 VIE655496:VIE655504 VSA655496:VSA655504 WBW655496:WBW655504 WLS655496:WLS655504 WVO655496:WVO655504 F721033:G721041 JC721032:JC721040 SY721032:SY721040 ACU721032:ACU721040 AMQ721032:AMQ721040 AWM721032:AWM721040 BGI721032:BGI721040 BQE721032:BQE721040 CAA721032:CAA721040 CJW721032:CJW721040 CTS721032:CTS721040 DDO721032:DDO721040 DNK721032:DNK721040 DXG721032:DXG721040 EHC721032:EHC721040 EQY721032:EQY721040 FAU721032:FAU721040 FKQ721032:FKQ721040 FUM721032:FUM721040 GEI721032:GEI721040 GOE721032:GOE721040 GYA721032:GYA721040 HHW721032:HHW721040 HRS721032:HRS721040 IBO721032:IBO721040 ILK721032:ILK721040 IVG721032:IVG721040 JFC721032:JFC721040 JOY721032:JOY721040 JYU721032:JYU721040 KIQ721032:KIQ721040 KSM721032:KSM721040 LCI721032:LCI721040 LME721032:LME721040 LWA721032:LWA721040 MFW721032:MFW721040 MPS721032:MPS721040 MZO721032:MZO721040 NJK721032:NJK721040 NTG721032:NTG721040 ODC721032:ODC721040 OMY721032:OMY721040 OWU721032:OWU721040 PGQ721032:PGQ721040 PQM721032:PQM721040 QAI721032:QAI721040 QKE721032:QKE721040 QUA721032:QUA721040 RDW721032:RDW721040 RNS721032:RNS721040 RXO721032:RXO721040 SHK721032:SHK721040 SRG721032:SRG721040 TBC721032:TBC721040 TKY721032:TKY721040 TUU721032:TUU721040 UEQ721032:UEQ721040 UOM721032:UOM721040 UYI721032:UYI721040 VIE721032:VIE721040 VSA721032:VSA721040 WBW721032:WBW721040 WLS721032:WLS721040 WVO721032:WVO721040 F786569:G786577 JC786568:JC786576 SY786568:SY786576 ACU786568:ACU786576 AMQ786568:AMQ786576 AWM786568:AWM786576 BGI786568:BGI786576 BQE786568:BQE786576 CAA786568:CAA786576 CJW786568:CJW786576 CTS786568:CTS786576 DDO786568:DDO786576 DNK786568:DNK786576 DXG786568:DXG786576 EHC786568:EHC786576 EQY786568:EQY786576 FAU786568:FAU786576 FKQ786568:FKQ786576 FUM786568:FUM786576 GEI786568:GEI786576 GOE786568:GOE786576 GYA786568:GYA786576 HHW786568:HHW786576 HRS786568:HRS786576 IBO786568:IBO786576 ILK786568:ILK786576 IVG786568:IVG786576 JFC786568:JFC786576 JOY786568:JOY786576 JYU786568:JYU786576 KIQ786568:KIQ786576 KSM786568:KSM786576 LCI786568:LCI786576 LME786568:LME786576 LWA786568:LWA786576 MFW786568:MFW786576 MPS786568:MPS786576 MZO786568:MZO786576 NJK786568:NJK786576 NTG786568:NTG786576 ODC786568:ODC786576 OMY786568:OMY786576 OWU786568:OWU786576 PGQ786568:PGQ786576 PQM786568:PQM786576 QAI786568:QAI786576 QKE786568:QKE786576 QUA786568:QUA786576 RDW786568:RDW786576 RNS786568:RNS786576 RXO786568:RXO786576 SHK786568:SHK786576 SRG786568:SRG786576 TBC786568:TBC786576 TKY786568:TKY786576 TUU786568:TUU786576 UEQ786568:UEQ786576 UOM786568:UOM786576 UYI786568:UYI786576 VIE786568:VIE786576 VSA786568:VSA786576 WBW786568:WBW786576 WLS786568:WLS786576 WVO786568:WVO786576 F852105:G852113 JC852104:JC852112 SY852104:SY852112 ACU852104:ACU852112 AMQ852104:AMQ852112 AWM852104:AWM852112 BGI852104:BGI852112 BQE852104:BQE852112 CAA852104:CAA852112 CJW852104:CJW852112 CTS852104:CTS852112 DDO852104:DDO852112 DNK852104:DNK852112 DXG852104:DXG852112 EHC852104:EHC852112 EQY852104:EQY852112 FAU852104:FAU852112 FKQ852104:FKQ852112 FUM852104:FUM852112 GEI852104:GEI852112 GOE852104:GOE852112 GYA852104:GYA852112 HHW852104:HHW852112 HRS852104:HRS852112 IBO852104:IBO852112 ILK852104:ILK852112 IVG852104:IVG852112 JFC852104:JFC852112 JOY852104:JOY852112 JYU852104:JYU852112 KIQ852104:KIQ852112 KSM852104:KSM852112 LCI852104:LCI852112 LME852104:LME852112 LWA852104:LWA852112 MFW852104:MFW852112 MPS852104:MPS852112 MZO852104:MZO852112 NJK852104:NJK852112 NTG852104:NTG852112 ODC852104:ODC852112 OMY852104:OMY852112 OWU852104:OWU852112 PGQ852104:PGQ852112 PQM852104:PQM852112 QAI852104:QAI852112 QKE852104:QKE852112 QUA852104:QUA852112 RDW852104:RDW852112 RNS852104:RNS852112 RXO852104:RXO852112 SHK852104:SHK852112 SRG852104:SRG852112 TBC852104:TBC852112 TKY852104:TKY852112 TUU852104:TUU852112 UEQ852104:UEQ852112 UOM852104:UOM852112 UYI852104:UYI852112 VIE852104:VIE852112 VSA852104:VSA852112 WBW852104:WBW852112 WLS852104:WLS852112 WVO852104:WVO852112 F917641:G917649 JC917640:JC917648 SY917640:SY917648 ACU917640:ACU917648 AMQ917640:AMQ917648 AWM917640:AWM917648 BGI917640:BGI917648 BQE917640:BQE917648 CAA917640:CAA917648 CJW917640:CJW917648 CTS917640:CTS917648 DDO917640:DDO917648 DNK917640:DNK917648 DXG917640:DXG917648 EHC917640:EHC917648 EQY917640:EQY917648 FAU917640:FAU917648 FKQ917640:FKQ917648 FUM917640:FUM917648 GEI917640:GEI917648 GOE917640:GOE917648 GYA917640:GYA917648 HHW917640:HHW917648 HRS917640:HRS917648 IBO917640:IBO917648 ILK917640:ILK917648 IVG917640:IVG917648 JFC917640:JFC917648 JOY917640:JOY917648 JYU917640:JYU917648 KIQ917640:KIQ917648 KSM917640:KSM917648 LCI917640:LCI917648 LME917640:LME917648 LWA917640:LWA917648 MFW917640:MFW917648 MPS917640:MPS917648 MZO917640:MZO917648 NJK917640:NJK917648 NTG917640:NTG917648 ODC917640:ODC917648 OMY917640:OMY917648 OWU917640:OWU917648 PGQ917640:PGQ917648 PQM917640:PQM917648 QAI917640:QAI917648 QKE917640:QKE917648 QUA917640:QUA917648 RDW917640:RDW917648 RNS917640:RNS917648 RXO917640:RXO917648 SHK917640:SHK917648 SRG917640:SRG917648 TBC917640:TBC917648 TKY917640:TKY917648 TUU917640:TUU917648 UEQ917640:UEQ917648 UOM917640:UOM917648 UYI917640:UYI917648 VIE917640:VIE917648 VSA917640:VSA917648 WBW917640:WBW917648 WLS917640:WLS917648 WVO917640:WVO917648 F983177:G983185 JC983176:JC983184 SY983176:SY983184 ACU983176:ACU983184 AMQ983176:AMQ983184 AWM983176:AWM983184 BGI983176:BGI983184 BQE983176:BQE983184 CAA983176:CAA983184 CJW983176:CJW983184 CTS983176:CTS983184 DDO983176:DDO983184 DNK983176:DNK983184 DXG983176:DXG983184 EHC983176:EHC983184 EQY983176:EQY983184 FAU983176:FAU983184 FKQ983176:FKQ983184 FUM983176:FUM983184 GEI983176:GEI983184 GOE983176:GOE983184 GYA983176:GYA983184 HHW983176:HHW983184 HRS983176:HRS983184 IBO983176:IBO983184 ILK983176:ILK983184 IVG983176:IVG983184 JFC983176:JFC983184 JOY983176:JOY983184 JYU983176:JYU983184 KIQ983176:KIQ983184 KSM983176:KSM983184 LCI983176:LCI983184 LME983176:LME983184 LWA983176:LWA983184 MFW983176:MFW983184 MPS983176:MPS983184 MZO983176:MZO983184 NJK983176:NJK983184 NTG983176:NTG983184 ODC983176:ODC983184 OMY983176:OMY983184 OWU983176:OWU983184 PGQ983176:PGQ983184 PQM983176:PQM983184 QAI983176:QAI983184 QKE983176:QKE983184 QUA983176:QUA983184 RDW983176:RDW983184 RNS983176:RNS983184 RXO983176:RXO983184 SHK983176:SHK983184 SRG983176:SRG983184 TBC983176:TBC983184 TKY983176:TKY983184 TUU983176:TUU983184 UEQ983176:UEQ983184 UOM983176:UOM983184 UYI983176:UYI983184 VIE983176:VIE983184 VSA983176:VSA983184 WBW983176:WBW983184 WLS983176:WLS983184 F63:G98" xr:uid="{00000000-0002-0000-0500-000004000000}"/>
    <dataValidation allowBlank="1" showInputMessage="1" showErrorMessage="1" prompt="diligencie la dedicación del personal relacionado." sqref="WVK983176:WVK983184 IY12:IY60 SU12:SU60 ACQ12:ACQ60 AMM12:AMM60 AWI12:AWI60 BGE12:BGE60 BQA12:BQA60 BZW12:BZW60 CJS12:CJS60 CTO12:CTO60 DDK12:DDK60 DNG12:DNG60 DXC12:DXC60 EGY12:EGY60 EQU12:EQU60 FAQ12:FAQ60 FKM12:FKM60 FUI12:FUI60 GEE12:GEE60 GOA12:GOA60 GXW12:GXW60 HHS12:HHS60 HRO12:HRO60 IBK12:IBK60 ILG12:ILG60 IVC12:IVC60 JEY12:JEY60 JOU12:JOU60 JYQ12:JYQ60 KIM12:KIM60 KSI12:KSI60 LCE12:LCE60 LMA12:LMA60 LVW12:LVW60 MFS12:MFS60 MPO12:MPO60 MZK12:MZK60 NJG12:NJG60 NTC12:NTC60 OCY12:OCY60 OMU12:OMU60 OWQ12:OWQ60 PGM12:PGM60 PQI12:PQI60 QAE12:QAE60 QKA12:QKA60 QTW12:QTW60 RDS12:RDS60 RNO12:RNO60 RXK12:RXK60 SHG12:SHG60 SRC12:SRC60 TAY12:TAY60 TKU12:TKU60 TUQ12:TUQ60 UEM12:UEM60 UOI12:UOI60 UYE12:UYE60 VIA12:VIA60 VRW12:VRW60 WBS12:WBS60 WLO12:WLO60 WVK12:WVK60 C65662:C65670 IY65661:IY65669 SU65661:SU65669 ACQ65661:ACQ65669 AMM65661:AMM65669 AWI65661:AWI65669 BGE65661:BGE65669 BQA65661:BQA65669 BZW65661:BZW65669 CJS65661:CJS65669 CTO65661:CTO65669 DDK65661:DDK65669 DNG65661:DNG65669 DXC65661:DXC65669 EGY65661:EGY65669 EQU65661:EQU65669 FAQ65661:FAQ65669 FKM65661:FKM65669 FUI65661:FUI65669 GEE65661:GEE65669 GOA65661:GOA65669 GXW65661:GXW65669 HHS65661:HHS65669 HRO65661:HRO65669 IBK65661:IBK65669 ILG65661:ILG65669 IVC65661:IVC65669 JEY65661:JEY65669 JOU65661:JOU65669 JYQ65661:JYQ65669 KIM65661:KIM65669 KSI65661:KSI65669 LCE65661:LCE65669 LMA65661:LMA65669 LVW65661:LVW65669 MFS65661:MFS65669 MPO65661:MPO65669 MZK65661:MZK65669 NJG65661:NJG65669 NTC65661:NTC65669 OCY65661:OCY65669 OMU65661:OMU65669 OWQ65661:OWQ65669 PGM65661:PGM65669 PQI65661:PQI65669 QAE65661:QAE65669 QKA65661:QKA65669 QTW65661:QTW65669 RDS65661:RDS65669 RNO65661:RNO65669 RXK65661:RXK65669 SHG65661:SHG65669 SRC65661:SRC65669 TAY65661:TAY65669 TKU65661:TKU65669 TUQ65661:TUQ65669 UEM65661:UEM65669 UOI65661:UOI65669 UYE65661:UYE65669 VIA65661:VIA65669 VRW65661:VRW65669 WBS65661:WBS65669 WLO65661:WLO65669 WVK65661:WVK65669 C131198:C131206 IY131197:IY131205 SU131197:SU131205 ACQ131197:ACQ131205 AMM131197:AMM131205 AWI131197:AWI131205 BGE131197:BGE131205 BQA131197:BQA131205 BZW131197:BZW131205 CJS131197:CJS131205 CTO131197:CTO131205 DDK131197:DDK131205 DNG131197:DNG131205 DXC131197:DXC131205 EGY131197:EGY131205 EQU131197:EQU131205 FAQ131197:FAQ131205 FKM131197:FKM131205 FUI131197:FUI131205 GEE131197:GEE131205 GOA131197:GOA131205 GXW131197:GXW131205 HHS131197:HHS131205 HRO131197:HRO131205 IBK131197:IBK131205 ILG131197:ILG131205 IVC131197:IVC131205 JEY131197:JEY131205 JOU131197:JOU131205 JYQ131197:JYQ131205 KIM131197:KIM131205 KSI131197:KSI131205 LCE131197:LCE131205 LMA131197:LMA131205 LVW131197:LVW131205 MFS131197:MFS131205 MPO131197:MPO131205 MZK131197:MZK131205 NJG131197:NJG131205 NTC131197:NTC131205 OCY131197:OCY131205 OMU131197:OMU131205 OWQ131197:OWQ131205 PGM131197:PGM131205 PQI131197:PQI131205 QAE131197:QAE131205 QKA131197:QKA131205 QTW131197:QTW131205 RDS131197:RDS131205 RNO131197:RNO131205 RXK131197:RXK131205 SHG131197:SHG131205 SRC131197:SRC131205 TAY131197:TAY131205 TKU131197:TKU131205 TUQ131197:TUQ131205 UEM131197:UEM131205 UOI131197:UOI131205 UYE131197:UYE131205 VIA131197:VIA131205 VRW131197:VRW131205 WBS131197:WBS131205 WLO131197:WLO131205 WVK131197:WVK131205 C196734:C196742 IY196733:IY196741 SU196733:SU196741 ACQ196733:ACQ196741 AMM196733:AMM196741 AWI196733:AWI196741 BGE196733:BGE196741 BQA196733:BQA196741 BZW196733:BZW196741 CJS196733:CJS196741 CTO196733:CTO196741 DDK196733:DDK196741 DNG196733:DNG196741 DXC196733:DXC196741 EGY196733:EGY196741 EQU196733:EQU196741 FAQ196733:FAQ196741 FKM196733:FKM196741 FUI196733:FUI196741 GEE196733:GEE196741 GOA196733:GOA196741 GXW196733:GXW196741 HHS196733:HHS196741 HRO196733:HRO196741 IBK196733:IBK196741 ILG196733:ILG196741 IVC196733:IVC196741 JEY196733:JEY196741 JOU196733:JOU196741 JYQ196733:JYQ196741 KIM196733:KIM196741 KSI196733:KSI196741 LCE196733:LCE196741 LMA196733:LMA196741 LVW196733:LVW196741 MFS196733:MFS196741 MPO196733:MPO196741 MZK196733:MZK196741 NJG196733:NJG196741 NTC196733:NTC196741 OCY196733:OCY196741 OMU196733:OMU196741 OWQ196733:OWQ196741 PGM196733:PGM196741 PQI196733:PQI196741 QAE196733:QAE196741 QKA196733:QKA196741 QTW196733:QTW196741 RDS196733:RDS196741 RNO196733:RNO196741 RXK196733:RXK196741 SHG196733:SHG196741 SRC196733:SRC196741 TAY196733:TAY196741 TKU196733:TKU196741 TUQ196733:TUQ196741 UEM196733:UEM196741 UOI196733:UOI196741 UYE196733:UYE196741 VIA196733:VIA196741 VRW196733:VRW196741 WBS196733:WBS196741 WLO196733:WLO196741 WVK196733:WVK196741 C262270:C262278 IY262269:IY262277 SU262269:SU262277 ACQ262269:ACQ262277 AMM262269:AMM262277 AWI262269:AWI262277 BGE262269:BGE262277 BQA262269:BQA262277 BZW262269:BZW262277 CJS262269:CJS262277 CTO262269:CTO262277 DDK262269:DDK262277 DNG262269:DNG262277 DXC262269:DXC262277 EGY262269:EGY262277 EQU262269:EQU262277 FAQ262269:FAQ262277 FKM262269:FKM262277 FUI262269:FUI262277 GEE262269:GEE262277 GOA262269:GOA262277 GXW262269:GXW262277 HHS262269:HHS262277 HRO262269:HRO262277 IBK262269:IBK262277 ILG262269:ILG262277 IVC262269:IVC262277 JEY262269:JEY262277 JOU262269:JOU262277 JYQ262269:JYQ262277 KIM262269:KIM262277 KSI262269:KSI262277 LCE262269:LCE262277 LMA262269:LMA262277 LVW262269:LVW262277 MFS262269:MFS262277 MPO262269:MPO262277 MZK262269:MZK262277 NJG262269:NJG262277 NTC262269:NTC262277 OCY262269:OCY262277 OMU262269:OMU262277 OWQ262269:OWQ262277 PGM262269:PGM262277 PQI262269:PQI262277 QAE262269:QAE262277 QKA262269:QKA262277 QTW262269:QTW262277 RDS262269:RDS262277 RNO262269:RNO262277 RXK262269:RXK262277 SHG262269:SHG262277 SRC262269:SRC262277 TAY262269:TAY262277 TKU262269:TKU262277 TUQ262269:TUQ262277 UEM262269:UEM262277 UOI262269:UOI262277 UYE262269:UYE262277 VIA262269:VIA262277 VRW262269:VRW262277 WBS262269:WBS262277 WLO262269:WLO262277 WVK262269:WVK262277 C327806:C327814 IY327805:IY327813 SU327805:SU327813 ACQ327805:ACQ327813 AMM327805:AMM327813 AWI327805:AWI327813 BGE327805:BGE327813 BQA327805:BQA327813 BZW327805:BZW327813 CJS327805:CJS327813 CTO327805:CTO327813 DDK327805:DDK327813 DNG327805:DNG327813 DXC327805:DXC327813 EGY327805:EGY327813 EQU327805:EQU327813 FAQ327805:FAQ327813 FKM327805:FKM327813 FUI327805:FUI327813 GEE327805:GEE327813 GOA327805:GOA327813 GXW327805:GXW327813 HHS327805:HHS327813 HRO327805:HRO327813 IBK327805:IBK327813 ILG327805:ILG327813 IVC327805:IVC327813 JEY327805:JEY327813 JOU327805:JOU327813 JYQ327805:JYQ327813 KIM327805:KIM327813 KSI327805:KSI327813 LCE327805:LCE327813 LMA327805:LMA327813 LVW327805:LVW327813 MFS327805:MFS327813 MPO327805:MPO327813 MZK327805:MZK327813 NJG327805:NJG327813 NTC327805:NTC327813 OCY327805:OCY327813 OMU327805:OMU327813 OWQ327805:OWQ327813 PGM327805:PGM327813 PQI327805:PQI327813 QAE327805:QAE327813 QKA327805:QKA327813 QTW327805:QTW327813 RDS327805:RDS327813 RNO327805:RNO327813 RXK327805:RXK327813 SHG327805:SHG327813 SRC327805:SRC327813 TAY327805:TAY327813 TKU327805:TKU327813 TUQ327805:TUQ327813 UEM327805:UEM327813 UOI327805:UOI327813 UYE327805:UYE327813 VIA327805:VIA327813 VRW327805:VRW327813 WBS327805:WBS327813 WLO327805:WLO327813 WVK327805:WVK327813 C393342:C393350 IY393341:IY393349 SU393341:SU393349 ACQ393341:ACQ393349 AMM393341:AMM393349 AWI393341:AWI393349 BGE393341:BGE393349 BQA393341:BQA393349 BZW393341:BZW393349 CJS393341:CJS393349 CTO393341:CTO393349 DDK393341:DDK393349 DNG393341:DNG393349 DXC393341:DXC393349 EGY393341:EGY393349 EQU393341:EQU393349 FAQ393341:FAQ393349 FKM393341:FKM393349 FUI393341:FUI393349 GEE393341:GEE393349 GOA393341:GOA393349 GXW393341:GXW393349 HHS393341:HHS393349 HRO393341:HRO393349 IBK393341:IBK393349 ILG393341:ILG393349 IVC393341:IVC393349 JEY393341:JEY393349 JOU393341:JOU393349 JYQ393341:JYQ393349 KIM393341:KIM393349 KSI393341:KSI393349 LCE393341:LCE393349 LMA393341:LMA393349 LVW393341:LVW393349 MFS393341:MFS393349 MPO393341:MPO393349 MZK393341:MZK393349 NJG393341:NJG393349 NTC393341:NTC393349 OCY393341:OCY393349 OMU393341:OMU393349 OWQ393341:OWQ393349 PGM393341:PGM393349 PQI393341:PQI393349 QAE393341:QAE393349 QKA393341:QKA393349 QTW393341:QTW393349 RDS393341:RDS393349 RNO393341:RNO393349 RXK393341:RXK393349 SHG393341:SHG393349 SRC393341:SRC393349 TAY393341:TAY393349 TKU393341:TKU393349 TUQ393341:TUQ393349 UEM393341:UEM393349 UOI393341:UOI393349 UYE393341:UYE393349 VIA393341:VIA393349 VRW393341:VRW393349 WBS393341:WBS393349 WLO393341:WLO393349 WVK393341:WVK393349 C458878:C458886 IY458877:IY458885 SU458877:SU458885 ACQ458877:ACQ458885 AMM458877:AMM458885 AWI458877:AWI458885 BGE458877:BGE458885 BQA458877:BQA458885 BZW458877:BZW458885 CJS458877:CJS458885 CTO458877:CTO458885 DDK458877:DDK458885 DNG458877:DNG458885 DXC458877:DXC458885 EGY458877:EGY458885 EQU458877:EQU458885 FAQ458877:FAQ458885 FKM458877:FKM458885 FUI458877:FUI458885 GEE458877:GEE458885 GOA458877:GOA458885 GXW458877:GXW458885 HHS458877:HHS458885 HRO458877:HRO458885 IBK458877:IBK458885 ILG458877:ILG458885 IVC458877:IVC458885 JEY458877:JEY458885 JOU458877:JOU458885 JYQ458877:JYQ458885 KIM458877:KIM458885 KSI458877:KSI458885 LCE458877:LCE458885 LMA458877:LMA458885 LVW458877:LVW458885 MFS458877:MFS458885 MPO458877:MPO458885 MZK458877:MZK458885 NJG458877:NJG458885 NTC458877:NTC458885 OCY458877:OCY458885 OMU458877:OMU458885 OWQ458877:OWQ458885 PGM458877:PGM458885 PQI458877:PQI458885 QAE458877:QAE458885 QKA458877:QKA458885 QTW458877:QTW458885 RDS458877:RDS458885 RNO458877:RNO458885 RXK458877:RXK458885 SHG458877:SHG458885 SRC458877:SRC458885 TAY458877:TAY458885 TKU458877:TKU458885 TUQ458877:TUQ458885 UEM458877:UEM458885 UOI458877:UOI458885 UYE458877:UYE458885 VIA458877:VIA458885 VRW458877:VRW458885 WBS458877:WBS458885 WLO458877:WLO458885 WVK458877:WVK458885 C524414:C524422 IY524413:IY524421 SU524413:SU524421 ACQ524413:ACQ524421 AMM524413:AMM524421 AWI524413:AWI524421 BGE524413:BGE524421 BQA524413:BQA524421 BZW524413:BZW524421 CJS524413:CJS524421 CTO524413:CTO524421 DDK524413:DDK524421 DNG524413:DNG524421 DXC524413:DXC524421 EGY524413:EGY524421 EQU524413:EQU524421 FAQ524413:FAQ524421 FKM524413:FKM524421 FUI524413:FUI524421 GEE524413:GEE524421 GOA524413:GOA524421 GXW524413:GXW524421 HHS524413:HHS524421 HRO524413:HRO524421 IBK524413:IBK524421 ILG524413:ILG524421 IVC524413:IVC524421 JEY524413:JEY524421 JOU524413:JOU524421 JYQ524413:JYQ524421 KIM524413:KIM524421 KSI524413:KSI524421 LCE524413:LCE524421 LMA524413:LMA524421 LVW524413:LVW524421 MFS524413:MFS524421 MPO524413:MPO524421 MZK524413:MZK524421 NJG524413:NJG524421 NTC524413:NTC524421 OCY524413:OCY524421 OMU524413:OMU524421 OWQ524413:OWQ524421 PGM524413:PGM524421 PQI524413:PQI524421 QAE524413:QAE524421 QKA524413:QKA524421 QTW524413:QTW524421 RDS524413:RDS524421 RNO524413:RNO524421 RXK524413:RXK524421 SHG524413:SHG524421 SRC524413:SRC524421 TAY524413:TAY524421 TKU524413:TKU524421 TUQ524413:TUQ524421 UEM524413:UEM524421 UOI524413:UOI524421 UYE524413:UYE524421 VIA524413:VIA524421 VRW524413:VRW524421 WBS524413:WBS524421 WLO524413:WLO524421 WVK524413:WVK524421 C589950:C589958 IY589949:IY589957 SU589949:SU589957 ACQ589949:ACQ589957 AMM589949:AMM589957 AWI589949:AWI589957 BGE589949:BGE589957 BQA589949:BQA589957 BZW589949:BZW589957 CJS589949:CJS589957 CTO589949:CTO589957 DDK589949:DDK589957 DNG589949:DNG589957 DXC589949:DXC589957 EGY589949:EGY589957 EQU589949:EQU589957 FAQ589949:FAQ589957 FKM589949:FKM589957 FUI589949:FUI589957 GEE589949:GEE589957 GOA589949:GOA589957 GXW589949:GXW589957 HHS589949:HHS589957 HRO589949:HRO589957 IBK589949:IBK589957 ILG589949:ILG589957 IVC589949:IVC589957 JEY589949:JEY589957 JOU589949:JOU589957 JYQ589949:JYQ589957 KIM589949:KIM589957 KSI589949:KSI589957 LCE589949:LCE589957 LMA589949:LMA589957 LVW589949:LVW589957 MFS589949:MFS589957 MPO589949:MPO589957 MZK589949:MZK589957 NJG589949:NJG589957 NTC589949:NTC589957 OCY589949:OCY589957 OMU589949:OMU589957 OWQ589949:OWQ589957 PGM589949:PGM589957 PQI589949:PQI589957 QAE589949:QAE589957 QKA589949:QKA589957 QTW589949:QTW589957 RDS589949:RDS589957 RNO589949:RNO589957 RXK589949:RXK589957 SHG589949:SHG589957 SRC589949:SRC589957 TAY589949:TAY589957 TKU589949:TKU589957 TUQ589949:TUQ589957 UEM589949:UEM589957 UOI589949:UOI589957 UYE589949:UYE589957 VIA589949:VIA589957 VRW589949:VRW589957 WBS589949:WBS589957 WLO589949:WLO589957 WVK589949:WVK589957 C655486:C655494 IY655485:IY655493 SU655485:SU655493 ACQ655485:ACQ655493 AMM655485:AMM655493 AWI655485:AWI655493 BGE655485:BGE655493 BQA655485:BQA655493 BZW655485:BZW655493 CJS655485:CJS655493 CTO655485:CTO655493 DDK655485:DDK655493 DNG655485:DNG655493 DXC655485:DXC655493 EGY655485:EGY655493 EQU655485:EQU655493 FAQ655485:FAQ655493 FKM655485:FKM655493 FUI655485:FUI655493 GEE655485:GEE655493 GOA655485:GOA655493 GXW655485:GXW655493 HHS655485:HHS655493 HRO655485:HRO655493 IBK655485:IBK655493 ILG655485:ILG655493 IVC655485:IVC655493 JEY655485:JEY655493 JOU655485:JOU655493 JYQ655485:JYQ655493 KIM655485:KIM655493 KSI655485:KSI655493 LCE655485:LCE655493 LMA655485:LMA655493 LVW655485:LVW655493 MFS655485:MFS655493 MPO655485:MPO655493 MZK655485:MZK655493 NJG655485:NJG655493 NTC655485:NTC655493 OCY655485:OCY655493 OMU655485:OMU655493 OWQ655485:OWQ655493 PGM655485:PGM655493 PQI655485:PQI655493 QAE655485:QAE655493 QKA655485:QKA655493 QTW655485:QTW655493 RDS655485:RDS655493 RNO655485:RNO655493 RXK655485:RXK655493 SHG655485:SHG655493 SRC655485:SRC655493 TAY655485:TAY655493 TKU655485:TKU655493 TUQ655485:TUQ655493 UEM655485:UEM655493 UOI655485:UOI655493 UYE655485:UYE655493 VIA655485:VIA655493 VRW655485:VRW655493 WBS655485:WBS655493 WLO655485:WLO655493 WVK655485:WVK655493 C721022:C721030 IY721021:IY721029 SU721021:SU721029 ACQ721021:ACQ721029 AMM721021:AMM721029 AWI721021:AWI721029 BGE721021:BGE721029 BQA721021:BQA721029 BZW721021:BZW721029 CJS721021:CJS721029 CTO721021:CTO721029 DDK721021:DDK721029 DNG721021:DNG721029 DXC721021:DXC721029 EGY721021:EGY721029 EQU721021:EQU721029 FAQ721021:FAQ721029 FKM721021:FKM721029 FUI721021:FUI721029 GEE721021:GEE721029 GOA721021:GOA721029 GXW721021:GXW721029 HHS721021:HHS721029 HRO721021:HRO721029 IBK721021:IBK721029 ILG721021:ILG721029 IVC721021:IVC721029 JEY721021:JEY721029 JOU721021:JOU721029 JYQ721021:JYQ721029 KIM721021:KIM721029 KSI721021:KSI721029 LCE721021:LCE721029 LMA721021:LMA721029 LVW721021:LVW721029 MFS721021:MFS721029 MPO721021:MPO721029 MZK721021:MZK721029 NJG721021:NJG721029 NTC721021:NTC721029 OCY721021:OCY721029 OMU721021:OMU721029 OWQ721021:OWQ721029 PGM721021:PGM721029 PQI721021:PQI721029 QAE721021:QAE721029 QKA721021:QKA721029 QTW721021:QTW721029 RDS721021:RDS721029 RNO721021:RNO721029 RXK721021:RXK721029 SHG721021:SHG721029 SRC721021:SRC721029 TAY721021:TAY721029 TKU721021:TKU721029 TUQ721021:TUQ721029 UEM721021:UEM721029 UOI721021:UOI721029 UYE721021:UYE721029 VIA721021:VIA721029 VRW721021:VRW721029 WBS721021:WBS721029 WLO721021:WLO721029 WVK721021:WVK721029 C786558:C786566 IY786557:IY786565 SU786557:SU786565 ACQ786557:ACQ786565 AMM786557:AMM786565 AWI786557:AWI786565 BGE786557:BGE786565 BQA786557:BQA786565 BZW786557:BZW786565 CJS786557:CJS786565 CTO786557:CTO786565 DDK786557:DDK786565 DNG786557:DNG786565 DXC786557:DXC786565 EGY786557:EGY786565 EQU786557:EQU786565 FAQ786557:FAQ786565 FKM786557:FKM786565 FUI786557:FUI786565 GEE786557:GEE786565 GOA786557:GOA786565 GXW786557:GXW786565 HHS786557:HHS786565 HRO786557:HRO786565 IBK786557:IBK786565 ILG786557:ILG786565 IVC786557:IVC786565 JEY786557:JEY786565 JOU786557:JOU786565 JYQ786557:JYQ786565 KIM786557:KIM786565 KSI786557:KSI786565 LCE786557:LCE786565 LMA786557:LMA786565 LVW786557:LVW786565 MFS786557:MFS786565 MPO786557:MPO786565 MZK786557:MZK786565 NJG786557:NJG786565 NTC786557:NTC786565 OCY786557:OCY786565 OMU786557:OMU786565 OWQ786557:OWQ786565 PGM786557:PGM786565 PQI786557:PQI786565 QAE786557:QAE786565 QKA786557:QKA786565 QTW786557:QTW786565 RDS786557:RDS786565 RNO786557:RNO786565 RXK786557:RXK786565 SHG786557:SHG786565 SRC786557:SRC786565 TAY786557:TAY786565 TKU786557:TKU786565 TUQ786557:TUQ786565 UEM786557:UEM786565 UOI786557:UOI786565 UYE786557:UYE786565 VIA786557:VIA786565 VRW786557:VRW786565 WBS786557:WBS786565 WLO786557:WLO786565 WVK786557:WVK786565 C852094:C852102 IY852093:IY852101 SU852093:SU852101 ACQ852093:ACQ852101 AMM852093:AMM852101 AWI852093:AWI852101 BGE852093:BGE852101 BQA852093:BQA852101 BZW852093:BZW852101 CJS852093:CJS852101 CTO852093:CTO852101 DDK852093:DDK852101 DNG852093:DNG852101 DXC852093:DXC852101 EGY852093:EGY852101 EQU852093:EQU852101 FAQ852093:FAQ852101 FKM852093:FKM852101 FUI852093:FUI852101 GEE852093:GEE852101 GOA852093:GOA852101 GXW852093:GXW852101 HHS852093:HHS852101 HRO852093:HRO852101 IBK852093:IBK852101 ILG852093:ILG852101 IVC852093:IVC852101 JEY852093:JEY852101 JOU852093:JOU852101 JYQ852093:JYQ852101 KIM852093:KIM852101 KSI852093:KSI852101 LCE852093:LCE852101 LMA852093:LMA852101 LVW852093:LVW852101 MFS852093:MFS852101 MPO852093:MPO852101 MZK852093:MZK852101 NJG852093:NJG852101 NTC852093:NTC852101 OCY852093:OCY852101 OMU852093:OMU852101 OWQ852093:OWQ852101 PGM852093:PGM852101 PQI852093:PQI852101 QAE852093:QAE852101 QKA852093:QKA852101 QTW852093:QTW852101 RDS852093:RDS852101 RNO852093:RNO852101 RXK852093:RXK852101 SHG852093:SHG852101 SRC852093:SRC852101 TAY852093:TAY852101 TKU852093:TKU852101 TUQ852093:TUQ852101 UEM852093:UEM852101 UOI852093:UOI852101 UYE852093:UYE852101 VIA852093:VIA852101 VRW852093:VRW852101 WBS852093:WBS852101 WLO852093:WLO852101 WVK852093:WVK852101 C917630:C917638 IY917629:IY917637 SU917629:SU917637 ACQ917629:ACQ917637 AMM917629:AMM917637 AWI917629:AWI917637 BGE917629:BGE917637 BQA917629:BQA917637 BZW917629:BZW917637 CJS917629:CJS917637 CTO917629:CTO917637 DDK917629:DDK917637 DNG917629:DNG917637 DXC917629:DXC917637 EGY917629:EGY917637 EQU917629:EQU917637 FAQ917629:FAQ917637 FKM917629:FKM917637 FUI917629:FUI917637 GEE917629:GEE917637 GOA917629:GOA917637 GXW917629:GXW917637 HHS917629:HHS917637 HRO917629:HRO917637 IBK917629:IBK917637 ILG917629:ILG917637 IVC917629:IVC917637 JEY917629:JEY917637 JOU917629:JOU917637 JYQ917629:JYQ917637 KIM917629:KIM917637 KSI917629:KSI917637 LCE917629:LCE917637 LMA917629:LMA917637 LVW917629:LVW917637 MFS917629:MFS917637 MPO917629:MPO917637 MZK917629:MZK917637 NJG917629:NJG917637 NTC917629:NTC917637 OCY917629:OCY917637 OMU917629:OMU917637 OWQ917629:OWQ917637 PGM917629:PGM917637 PQI917629:PQI917637 QAE917629:QAE917637 QKA917629:QKA917637 QTW917629:QTW917637 RDS917629:RDS917637 RNO917629:RNO917637 RXK917629:RXK917637 SHG917629:SHG917637 SRC917629:SRC917637 TAY917629:TAY917637 TKU917629:TKU917637 TUQ917629:TUQ917637 UEM917629:UEM917637 UOI917629:UOI917637 UYE917629:UYE917637 VIA917629:VIA917637 VRW917629:VRW917637 WBS917629:WBS917637 WLO917629:WLO917637 WVK917629:WVK917637 C983166:C983174 IY983165:IY983173 SU983165:SU983173 ACQ983165:ACQ983173 AMM983165:AMM983173 AWI983165:AWI983173 BGE983165:BGE983173 BQA983165:BQA983173 BZW983165:BZW983173 CJS983165:CJS983173 CTO983165:CTO983173 DDK983165:DDK983173 DNG983165:DNG983173 DXC983165:DXC983173 EGY983165:EGY983173 EQU983165:EQU983173 FAQ983165:FAQ983173 FKM983165:FKM983173 FUI983165:FUI983173 GEE983165:GEE983173 GOA983165:GOA983173 GXW983165:GXW983173 HHS983165:HHS983173 HRO983165:HRO983173 IBK983165:IBK983173 ILG983165:ILG983173 IVC983165:IVC983173 JEY983165:JEY983173 JOU983165:JOU983173 JYQ983165:JYQ983173 KIM983165:KIM983173 KSI983165:KSI983173 LCE983165:LCE983173 LMA983165:LMA983173 LVW983165:LVW983173 MFS983165:MFS983173 MPO983165:MPO983173 MZK983165:MZK983173 NJG983165:NJG983173 NTC983165:NTC983173 OCY983165:OCY983173 OMU983165:OMU983173 OWQ983165:OWQ983173 PGM983165:PGM983173 PQI983165:PQI983173 QAE983165:QAE983173 QKA983165:QKA983173 QTW983165:QTW983173 RDS983165:RDS983173 RNO983165:RNO983173 RXK983165:RXK983173 SHG983165:SHG983173 SRC983165:SRC983173 TAY983165:TAY983173 TKU983165:TKU983173 TUQ983165:TUQ983173 UEM983165:UEM983173 UOI983165:UOI983173 UYE983165:UYE983173 VIA983165:VIA983173 VRW983165:VRW983173 WBS983165:WBS983173 WLO983165:WLO983173 WVK983165:WVK983173 C12:C60 IY63:IY98 SU63:SU98 ACQ63:ACQ98 AMM63:AMM98 AWI63:AWI98 BGE63:BGE98 BQA63:BQA98 BZW63:BZW98 CJS63:CJS98 CTO63:CTO98 DDK63:DDK98 DNG63:DNG98 DXC63:DXC98 EGY63:EGY98 EQU63:EQU98 FAQ63:FAQ98 FKM63:FKM98 FUI63:FUI98 GEE63:GEE98 GOA63:GOA98 GXW63:GXW98 HHS63:HHS98 HRO63:HRO98 IBK63:IBK98 ILG63:ILG98 IVC63:IVC98 JEY63:JEY98 JOU63:JOU98 JYQ63:JYQ98 KIM63:KIM98 KSI63:KSI98 LCE63:LCE98 LMA63:LMA98 LVW63:LVW98 MFS63:MFS98 MPO63:MPO98 MZK63:MZK98 NJG63:NJG98 NTC63:NTC98 OCY63:OCY98 OMU63:OMU98 OWQ63:OWQ98 PGM63:PGM98 PQI63:PQI98 QAE63:QAE98 QKA63:QKA98 QTW63:QTW98 RDS63:RDS98 RNO63:RNO98 RXK63:RXK98 SHG63:SHG98 SRC63:SRC98 TAY63:TAY98 TKU63:TKU98 TUQ63:TUQ98 UEM63:UEM98 UOI63:UOI98 UYE63:UYE98 VIA63:VIA98 VRW63:VRW98 WBS63:WBS98 WLO63:WLO98 WVK63:WVK98 C65673:C65681 IY65672:IY65680 SU65672:SU65680 ACQ65672:ACQ65680 AMM65672:AMM65680 AWI65672:AWI65680 BGE65672:BGE65680 BQA65672:BQA65680 BZW65672:BZW65680 CJS65672:CJS65680 CTO65672:CTO65680 DDK65672:DDK65680 DNG65672:DNG65680 DXC65672:DXC65680 EGY65672:EGY65680 EQU65672:EQU65680 FAQ65672:FAQ65680 FKM65672:FKM65680 FUI65672:FUI65680 GEE65672:GEE65680 GOA65672:GOA65680 GXW65672:GXW65680 HHS65672:HHS65680 HRO65672:HRO65680 IBK65672:IBK65680 ILG65672:ILG65680 IVC65672:IVC65680 JEY65672:JEY65680 JOU65672:JOU65680 JYQ65672:JYQ65680 KIM65672:KIM65680 KSI65672:KSI65680 LCE65672:LCE65680 LMA65672:LMA65680 LVW65672:LVW65680 MFS65672:MFS65680 MPO65672:MPO65680 MZK65672:MZK65680 NJG65672:NJG65680 NTC65672:NTC65680 OCY65672:OCY65680 OMU65672:OMU65680 OWQ65672:OWQ65680 PGM65672:PGM65680 PQI65672:PQI65680 QAE65672:QAE65680 QKA65672:QKA65680 QTW65672:QTW65680 RDS65672:RDS65680 RNO65672:RNO65680 RXK65672:RXK65680 SHG65672:SHG65680 SRC65672:SRC65680 TAY65672:TAY65680 TKU65672:TKU65680 TUQ65672:TUQ65680 UEM65672:UEM65680 UOI65672:UOI65680 UYE65672:UYE65680 VIA65672:VIA65680 VRW65672:VRW65680 WBS65672:WBS65680 WLO65672:WLO65680 WVK65672:WVK65680 C131209:C131217 IY131208:IY131216 SU131208:SU131216 ACQ131208:ACQ131216 AMM131208:AMM131216 AWI131208:AWI131216 BGE131208:BGE131216 BQA131208:BQA131216 BZW131208:BZW131216 CJS131208:CJS131216 CTO131208:CTO131216 DDK131208:DDK131216 DNG131208:DNG131216 DXC131208:DXC131216 EGY131208:EGY131216 EQU131208:EQU131216 FAQ131208:FAQ131216 FKM131208:FKM131216 FUI131208:FUI131216 GEE131208:GEE131216 GOA131208:GOA131216 GXW131208:GXW131216 HHS131208:HHS131216 HRO131208:HRO131216 IBK131208:IBK131216 ILG131208:ILG131216 IVC131208:IVC131216 JEY131208:JEY131216 JOU131208:JOU131216 JYQ131208:JYQ131216 KIM131208:KIM131216 KSI131208:KSI131216 LCE131208:LCE131216 LMA131208:LMA131216 LVW131208:LVW131216 MFS131208:MFS131216 MPO131208:MPO131216 MZK131208:MZK131216 NJG131208:NJG131216 NTC131208:NTC131216 OCY131208:OCY131216 OMU131208:OMU131216 OWQ131208:OWQ131216 PGM131208:PGM131216 PQI131208:PQI131216 QAE131208:QAE131216 QKA131208:QKA131216 QTW131208:QTW131216 RDS131208:RDS131216 RNO131208:RNO131216 RXK131208:RXK131216 SHG131208:SHG131216 SRC131208:SRC131216 TAY131208:TAY131216 TKU131208:TKU131216 TUQ131208:TUQ131216 UEM131208:UEM131216 UOI131208:UOI131216 UYE131208:UYE131216 VIA131208:VIA131216 VRW131208:VRW131216 WBS131208:WBS131216 WLO131208:WLO131216 WVK131208:WVK131216 C196745:C196753 IY196744:IY196752 SU196744:SU196752 ACQ196744:ACQ196752 AMM196744:AMM196752 AWI196744:AWI196752 BGE196744:BGE196752 BQA196744:BQA196752 BZW196744:BZW196752 CJS196744:CJS196752 CTO196744:CTO196752 DDK196744:DDK196752 DNG196744:DNG196752 DXC196744:DXC196752 EGY196744:EGY196752 EQU196744:EQU196752 FAQ196744:FAQ196752 FKM196744:FKM196752 FUI196744:FUI196752 GEE196744:GEE196752 GOA196744:GOA196752 GXW196744:GXW196752 HHS196744:HHS196752 HRO196744:HRO196752 IBK196744:IBK196752 ILG196744:ILG196752 IVC196744:IVC196752 JEY196744:JEY196752 JOU196744:JOU196752 JYQ196744:JYQ196752 KIM196744:KIM196752 KSI196744:KSI196752 LCE196744:LCE196752 LMA196744:LMA196752 LVW196744:LVW196752 MFS196744:MFS196752 MPO196744:MPO196752 MZK196744:MZK196752 NJG196744:NJG196752 NTC196744:NTC196752 OCY196744:OCY196752 OMU196744:OMU196752 OWQ196744:OWQ196752 PGM196744:PGM196752 PQI196744:PQI196752 QAE196744:QAE196752 QKA196744:QKA196752 QTW196744:QTW196752 RDS196744:RDS196752 RNO196744:RNO196752 RXK196744:RXK196752 SHG196744:SHG196752 SRC196744:SRC196752 TAY196744:TAY196752 TKU196744:TKU196752 TUQ196744:TUQ196752 UEM196744:UEM196752 UOI196744:UOI196752 UYE196744:UYE196752 VIA196744:VIA196752 VRW196744:VRW196752 WBS196744:WBS196752 WLO196744:WLO196752 WVK196744:WVK196752 C262281:C262289 IY262280:IY262288 SU262280:SU262288 ACQ262280:ACQ262288 AMM262280:AMM262288 AWI262280:AWI262288 BGE262280:BGE262288 BQA262280:BQA262288 BZW262280:BZW262288 CJS262280:CJS262288 CTO262280:CTO262288 DDK262280:DDK262288 DNG262280:DNG262288 DXC262280:DXC262288 EGY262280:EGY262288 EQU262280:EQU262288 FAQ262280:FAQ262288 FKM262280:FKM262288 FUI262280:FUI262288 GEE262280:GEE262288 GOA262280:GOA262288 GXW262280:GXW262288 HHS262280:HHS262288 HRO262280:HRO262288 IBK262280:IBK262288 ILG262280:ILG262288 IVC262280:IVC262288 JEY262280:JEY262288 JOU262280:JOU262288 JYQ262280:JYQ262288 KIM262280:KIM262288 KSI262280:KSI262288 LCE262280:LCE262288 LMA262280:LMA262288 LVW262280:LVW262288 MFS262280:MFS262288 MPO262280:MPO262288 MZK262280:MZK262288 NJG262280:NJG262288 NTC262280:NTC262288 OCY262280:OCY262288 OMU262280:OMU262288 OWQ262280:OWQ262288 PGM262280:PGM262288 PQI262280:PQI262288 QAE262280:QAE262288 QKA262280:QKA262288 QTW262280:QTW262288 RDS262280:RDS262288 RNO262280:RNO262288 RXK262280:RXK262288 SHG262280:SHG262288 SRC262280:SRC262288 TAY262280:TAY262288 TKU262280:TKU262288 TUQ262280:TUQ262288 UEM262280:UEM262288 UOI262280:UOI262288 UYE262280:UYE262288 VIA262280:VIA262288 VRW262280:VRW262288 WBS262280:WBS262288 WLO262280:WLO262288 WVK262280:WVK262288 C327817:C327825 IY327816:IY327824 SU327816:SU327824 ACQ327816:ACQ327824 AMM327816:AMM327824 AWI327816:AWI327824 BGE327816:BGE327824 BQA327816:BQA327824 BZW327816:BZW327824 CJS327816:CJS327824 CTO327816:CTO327824 DDK327816:DDK327824 DNG327816:DNG327824 DXC327816:DXC327824 EGY327816:EGY327824 EQU327816:EQU327824 FAQ327816:FAQ327824 FKM327816:FKM327824 FUI327816:FUI327824 GEE327816:GEE327824 GOA327816:GOA327824 GXW327816:GXW327824 HHS327816:HHS327824 HRO327816:HRO327824 IBK327816:IBK327824 ILG327816:ILG327824 IVC327816:IVC327824 JEY327816:JEY327824 JOU327816:JOU327824 JYQ327816:JYQ327824 KIM327816:KIM327824 KSI327816:KSI327824 LCE327816:LCE327824 LMA327816:LMA327824 LVW327816:LVW327824 MFS327816:MFS327824 MPO327816:MPO327824 MZK327816:MZK327824 NJG327816:NJG327824 NTC327816:NTC327824 OCY327816:OCY327824 OMU327816:OMU327824 OWQ327816:OWQ327824 PGM327816:PGM327824 PQI327816:PQI327824 QAE327816:QAE327824 QKA327816:QKA327824 QTW327816:QTW327824 RDS327816:RDS327824 RNO327816:RNO327824 RXK327816:RXK327824 SHG327816:SHG327824 SRC327816:SRC327824 TAY327816:TAY327824 TKU327816:TKU327824 TUQ327816:TUQ327824 UEM327816:UEM327824 UOI327816:UOI327824 UYE327816:UYE327824 VIA327816:VIA327824 VRW327816:VRW327824 WBS327816:WBS327824 WLO327816:WLO327824 WVK327816:WVK327824 C393353:C393361 IY393352:IY393360 SU393352:SU393360 ACQ393352:ACQ393360 AMM393352:AMM393360 AWI393352:AWI393360 BGE393352:BGE393360 BQA393352:BQA393360 BZW393352:BZW393360 CJS393352:CJS393360 CTO393352:CTO393360 DDK393352:DDK393360 DNG393352:DNG393360 DXC393352:DXC393360 EGY393352:EGY393360 EQU393352:EQU393360 FAQ393352:FAQ393360 FKM393352:FKM393360 FUI393352:FUI393360 GEE393352:GEE393360 GOA393352:GOA393360 GXW393352:GXW393360 HHS393352:HHS393360 HRO393352:HRO393360 IBK393352:IBK393360 ILG393352:ILG393360 IVC393352:IVC393360 JEY393352:JEY393360 JOU393352:JOU393360 JYQ393352:JYQ393360 KIM393352:KIM393360 KSI393352:KSI393360 LCE393352:LCE393360 LMA393352:LMA393360 LVW393352:LVW393360 MFS393352:MFS393360 MPO393352:MPO393360 MZK393352:MZK393360 NJG393352:NJG393360 NTC393352:NTC393360 OCY393352:OCY393360 OMU393352:OMU393360 OWQ393352:OWQ393360 PGM393352:PGM393360 PQI393352:PQI393360 QAE393352:QAE393360 QKA393352:QKA393360 QTW393352:QTW393360 RDS393352:RDS393360 RNO393352:RNO393360 RXK393352:RXK393360 SHG393352:SHG393360 SRC393352:SRC393360 TAY393352:TAY393360 TKU393352:TKU393360 TUQ393352:TUQ393360 UEM393352:UEM393360 UOI393352:UOI393360 UYE393352:UYE393360 VIA393352:VIA393360 VRW393352:VRW393360 WBS393352:WBS393360 WLO393352:WLO393360 WVK393352:WVK393360 C458889:C458897 IY458888:IY458896 SU458888:SU458896 ACQ458888:ACQ458896 AMM458888:AMM458896 AWI458888:AWI458896 BGE458888:BGE458896 BQA458888:BQA458896 BZW458888:BZW458896 CJS458888:CJS458896 CTO458888:CTO458896 DDK458888:DDK458896 DNG458888:DNG458896 DXC458888:DXC458896 EGY458888:EGY458896 EQU458888:EQU458896 FAQ458888:FAQ458896 FKM458888:FKM458896 FUI458888:FUI458896 GEE458888:GEE458896 GOA458888:GOA458896 GXW458888:GXW458896 HHS458888:HHS458896 HRO458888:HRO458896 IBK458888:IBK458896 ILG458888:ILG458896 IVC458888:IVC458896 JEY458888:JEY458896 JOU458888:JOU458896 JYQ458888:JYQ458896 KIM458888:KIM458896 KSI458888:KSI458896 LCE458888:LCE458896 LMA458888:LMA458896 LVW458888:LVW458896 MFS458888:MFS458896 MPO458888:MPO458896 MZK458888:MZK458896 NJG458888:NJG458896 NTC458888:NTC458896 OCY458888:OCY458896 OMU458888:OMU458896 OWQ458888:OWQ458896 PGM458888:PGM458896 PQI458888:PQI458896 QAE458888:QAE458896 QKA458888:QKA458896 QTW458888:QTW458896 RDS458888:RDS458896 RNO458888:RNO458896 RXK458888:RXK458896 SHG458888:SHG458896 SRC458888:SRC458896 TAY458888:TAY458896 TKU458888:TKU458896 TUQ458888:TUQ458896 UEM458888:UEM458896 UOI458888:UOI458896 UYE458888:UYE458896 VIA458888:VIA458896 VRW458888:VRW458896 WBS458888:WBS458896 WLO458888:WLO458896 WVK458888:WVK458896 C524425:C524433 IY524424:IY524432 SU524424:SU524432 ACQ524424:ACQ524432 AMM524424:AMM524432 AWI524424:AWI524432 BGE524424:BGE524432 BQA524424:BQA524432 BZW524424:BZW524432 CJS524424:CJS524432 CTO524424:CTO524432 DDK524424:DDK524432 DNG524424:DNG524432 DXC524424:DXC524432 EGY524424:EGY524432 EQU524424:EQU524432 FAQ524424:FAQ524432 FKM524424:FKM524432 FUI524424:FUI524432 GEE524424:GEE524432 GOA524424:GOA524432 GXW524424:GXW524432 HHS524424:HHS524432 HRO524424:HRO524432 IBK524424:IBK524432 ILG524424:ILG524432 IVC524424:IVC524432 JEY524424:JEY524432 JOU524424:JOU524432 JYQ524424:JYQ524432 KIM524424:KIM524432 KSI524424:KSI524432 LCE524424:LCE524432 LMA524424:LMA524432 LVW524424:LVW524432 MFS524424:MFS524432 MPO524424:MPO524432 MZK524424:MZK524432 NJG524424:NJG524432 NTC524424:NTC524432 OCY524424:OCY524432 OMU524424:OMU524432 OWQ524424:OWQ524432 PGM524424:PGM524432 PQI524424:PQI524432 QAE524424:QAE524432 QKA524424:QKA524432 QTW524424:QTW524432 RDS524424:RDS524432 RNO524424:RNO524432 RXK524424:RXK524432 SHG524424:SHG524432 SRC524424:SRC524432 TAY524424:TAY524432 TKU524424:TKU524432 TUQ524424:TUQ524432 UEM524424:UEM524432 UOI524424:UOI524432 UYE524424:UYE524432 VIA524424:VIA524432 VRW524424:VRW524432 WBS524424:WBS524432 WLO524424:WLO524432 WVK524424:WVK524432 C589961:C589969 IY589960:IY589968 SU589960:SU589968 ACQ589960:ACQ589968 AMM589960:AMM589968 AWI589960:AWI589968 BGE589960:BGE589968 BQA589960:BQA589968 BZW589960:BZW589968 CJS589960:CJS589968 CTO589960:CTO589968 DDK589960:DDK589968 DNG589960:DNG589968 DXC589960:DXC589968 EGY589960:EGY589968 EQU589960:EQU589968 FAQ589960:FAQ589968 FKM589960:FKM589968 FUI589960:FUI589968 GEE589960:GEE589968 GOA589960:GOA589968 GXW589960:GXW589968 HHS589960:HHS589968 HRO589960:HRO589968 IBK589960:IBK589968 ILG589960:ILG589968 IVC589960:IVC589968 JEY589960:JEY589968 JOU589960:JOU589968 JYQ589960:JYQ589968 KIM589960:KIM589968 KSI589960:KSI589968 LCE589960:LCE589968 LMA589960:LMA589968 LVW589960:LVW589968 MFS589960:MFS589968 MPO589960:MPO589968 MZK589960:MZK589968 NJG589960:NJG589968 NTC589960:NTC589968 OCY589960:OCY589968 OMU589960:OMU589968 OWQ589960:OWQ589968 PGM589960:PGM589968 PQI589960:PQI589968 QAE589960:QAE589968 QKA589960:QKA589968 QTW589960:QTW589968 RDS589960:RDS589968 RNO589960:RNO589968 RXK589960:RXK589968 SHG589960:SHG589968 SRC589960:SRC589968 TAY589960:TAY589968 TKU589960:TKU589968 TUQ589960:TUQ589968 UEM589960:UEM589968 UOI589960:UOI589968 UYE589960:UYE589968 VIA589960:VIA589968 VRW589960:VRW589968 WBS589960:WBS589968 WLO589960:WLO589968 WVK589960:WVK589968 C655497:C655505 IY655496:IY655504 SU655496:SU655504 ACQ655496:ACQ655504 AMM655496:AMM655504 AWI655496:AWI655504 BGE655496:BGE655504 BQA655496:BQA655504 BZW655496:BZW655504 CJS655496:CJS655504 CTO655496:CTO655504 DDK655496:DDK655504 DNG655496:DNG655504 DXC655496:DXC655504 EGY655496:EGY655504 EQU655496:EQU655504 FAQ655496:FAQ655504 FKM655496:FKM655504 FUI655496:FUI655504 GEE655496:GEE655504 GOA655496:GOA655504 GXW655496:GXW655504 HHS655496:HHS655504 HRO655496:HRO655504 IBK655496:IBK655504 ILG655496:ILG655504 IVC655496:IVC655504 JEY655496:JEY655504 JOU655496:JOU655504 JYQ655496:JYQ655504 KIM655496:KIM655504 KSI655496:KSI655504 LCE655496:LCE655504 LMA655496:LMA655504 LVW655496:LVW655504 MFS655496:MFS655504 MPO655496:MPO655504 MZK655496:MZK655504 NJG655496:NJG655504 NTC655496:NTC655504 OCY655496:OCY655504 OMU655496:OMU655504 OWQ655496:OWQ655504 PGM655496:PGM655504 PQI655496:PQI655504 QAE655496:QAE655504 QKA655496:QKA655504 QTW655496:QTW655504 RDS655496:RDS655504 RNO655496:RNO655504 RXK655496:RXK655504 SHG655496:SHG655504 SRC655496:SRC655504 TAY655496:TAY655504 TKU655496:TKU655504 TUQ655496:TUQ655504 UEM655496:UEM655504 UOI655496:UOI655504 UYE655496:UYE655504 VIA655496:VIA655504 VRW655496:VRW655504 WBS655496:WBS655504 WLO655496:WLO655504 WVK655496:WVK655504 C721033:C721041 IY721032:IY721040 SU721032:SU721040 ACQ721032:ACQ721040 AMM721032:AMM721040 AWI721032:AWI721040 BGE721032:BGE721040 BQA721032:BQA721040 BZW721032:BZW721040 CJS721032:CJS721040 CTO721032:CTO721040 DDK721032:DDK721040 DNG721032:DNG721040 DXC721032:DXC721040 EGY721032:EGY721040 EQU721032:EQU721040 FAQ721032:FAQ721040 FKM721032:FKM721040 FUI721032:FUI721040 GEE721032:GEE721040 GOA721032:GOA721040 GXW721032:GXW721040 HHS721032:HHS721040 HRO721032:HRO721040 IBK721032:IBK721040 ILG721032:ILG721040 IVC721032:IVC721040 JEY721032:JEY721040 JOU721032:JOU721040 JYQ721032:JYQ721040 KIM721032:KIM721040 KSI721032:KSI721040 LCE721032:LCE721040 LMA721032:LMA721040 LVW721032:LVW721040 MFS721032:MFS721040 MPO721032:MPO721040 MZK721032:MZK721040 NJG721032:NJG721040 NTC721032:NTC721040 OCY721032:OCY721040 OMU721032:OMU721040 OWQ721032:OWQ721040 PGM721032:PGM721040 PQI721032:PQI721040 QAE721032:QAE721040 QKA721032:QKA721040 QTW721032:QTW721040 RDS721032:RDS721040 RNO721032:RNO721040 RXK721032:RXK721040 SHG721032:SHG721040 SRC721032:SRC721040 TAY721032:TAY721040 TKU721032:TKU721040 TUQ721032:TUQ721040 UEM721032:UEM721040 UOI721032:UOI721040 UYE721032:UYE721040 VIA721032:VIA721040 VRW721032:VRW721040 WBS721032:WBS721040 WLO721032:WLO721040 WVK721032:WVK721040 C786569:C786577 IY786568:IY786576 SU786568:SU786576 ACQ786568:ACQ786576 AMM786568:AMM786576 AWI786568:AWI786576 BGE786568:BGE786576 BQA786568:BQA786576 BZW786568:BZW786576 CJS786568:CJS786576 CTO786568:CTO786576 DDK786568:DDK786576 DNG786568:DNG786576 DXC786568:DXC786576 EGY786568:EGY786576 EQU786568:EQU786576 FAQ786568:FAQ786576 FKM786568:FKM786576 FUI786568:FUI786576 GEE786568:GEE786576 GOA786568:GOA786576 GXW786568:GXW786576 HHS786568:HHS786576 HRO786568:HRO786576 IBK786568:IBK786576 ILG786568:ILG786576 IVC786568:IVC786576 JEY786568:JEY786576 JOU786568:JOU786576 JYQ786568:JYQ786576 KIM786568:KIM786576 KSI786568:KSI786576 LCE786568:LCE786576 LMA786568:LMA786576 LVW786568:LVW786576 MFS786568:MFS786576 MPO786568:MPO786576 MZK786568:MZK786576 NJG786568:NJG786576 NTC786568:NTC786576 OCY786568:OCY786576 OMU786568:OMU786576 OWQ786568:OWQ786576 PGM786568:PGM786576 PQI786568:PQI786576 QAE786568:QAE786576 QKA786568:QKA786576 QTW786568:QTW786576 RDS786568:RDS786576 RNO786568:RNO786576 RXK786568:RXK786576 SHG786568:SHG786576 SRC786568:SRC786576 TAY786568:TAY786576 TKU786568:TKU786576 TUQ786568:TUQ786576 UEM786568:UEM786576 UOI786568:UOI786576 UYE786568:UYE786576 VIA786568:VIA786576 VRW786568:VRW786576 WBS786568:WBS786576 WLO786568:WLO786576 WVK786568:WVK786576 C852105:C852113 IY852104:IY852112 SU852104:SU852112 ACQ852104:ACQ852112 AMM852104:AMM852112 AWI852104:AWI852112 BGE852104:BGE852112 BQA852104:BQA852112 BZW852104:BZW852112 CJS852104:CJS852112 CTO852104:CTO852112 DDK852104:DDK852112 DNG852104:DNG852112 DXC852104:DXC852112 EGY852104:EGY852112 EQU852104:EQU852112 FAQ852104:FAQ852112 FKM852104:FKM852112 FUI852104:FUI852112 GEE852104:GEE852112 GOA852104:GOA852112 GXW852104:GXW852112 HHS852104:HHS852112 HRO852104:HRO852112 IBK852104:IBK852112 ILG852104:ILG852112 IVC852104:IVC852112 JEY852104:JEY852112 JOU852104:JOU852112 JYQ852104:JYQ852112 KIM852104:KIM852112 KSI852104:KSI852112 LCE852104:LCE852112 LMA852104:LMA852112 LVW852104:LVW852112 MFS852104:MFS852112 MPO852104:MPO852112 MZK852104:MZK852112 NJG852104:NJG852112 NTC852104:NTC852112 OCY852104:OCY852112 OMU852104:OMU852112 OWQ852104:OWQ852112 PGM852104:PGM852112 PQI852104:PQI852112 QAE852104:QAE852112 QKA852104:QKA852112 QTW852104:QTW852112 RDS852104:RDS852112 RNO852104:RNO852112 RXK852104:RXK852112 SHG852104:SHG852112 SRC852104:SRC852112 TAY852104:TAY852112 TKU852104:TKU852112 TUQ852104:TUQ852112 UEM852104:UEM852112 UOI852104:UOI852112 UYE852104:UYE852112 VIA852104:VIA852112 VRW852104:VRW852112 WBS852104:WBS852112 WLO852104:WLO852112 WVK852104:WVK852112 C917641:C917649 IY917640:IY917648 SU917640:SU917648 ACQ917640:ACQ917648 AMM917640:AMM917648 AWI917640:AWI917648 BGE917640:BGE917648 BQA917640:BQA917648 BZW917640:BZW917648 CJS917640:CJS917648 CTO917640:CTO917648 DDK917640:DDK917648 DNG917640:DNG917648 DXC917640:DXC917648 EGY917640:EGY917648 EQU917640:EQU917648 FAQ917640:FAQ917648 FKM917640:FKM917648 FUI917640:FUI917648 GEE917640:GEE917648 GOA917640:GOA917648 GXW917640:GXW917648 HHS917640:HHS917648 HRO917640:HRO917648 IBK917640:IBK917648 ILG917640:ILG917648 IVC917640:IVC917648 JEY917640:JEY917648 JOU917640:JOU917648 JYQ917640:JYQ917648 KIM917640:KIM917648 KSI917640:KSI917648 LCE917640:LCE917648 LMA917640:LMA917648 LVW917640:LVW917648 MFS917640:MFS917648 MPO917640:MPO917648 MZK917640:MZK917648 NJG917640:NJG917648 NTC917640:NTC917648 OCY917640:OCY917648 OMU917640:OMU917648 OWQ917640:OWQ917648 PGM917640:PGM917648 PQI917640:PQI917648 QAE917640:QAE917648 QKA917640:QKA917648 QTW917640:QTW917648 RDS917640:RDS917648 RNO917640:RNO917648 RXK917640:RXK917648 SHG917640:SHG917648 SRC917640:SRC917648 TAY917640:TAY917648 TKU917640:TKU917648 TUQ917640:TUQ917648 UEM917640:UEM917648 UOI917640:UOI917648 UYE917640:UYE917648 VIA917640:VIA917648 VRW917640:VRW917648 WBS917640:WBS917648 WLO917640:WLO917648 WVK917640:WVK917648 C983177:C983185 IY983176:IY983184 SU983176:SU983184 ACQ983176:ACQ983184 AMM983176:AMM983184 AWI983176:AWI983184 BGE983176:BGE983184 BQA983176:BQA983184 BZW983176:BZW983184 CJS983176:CJS983184 CTO983176:CTO983184 DDK983176:DDK983184 DNG983176:DNG983184 DXC983176:DXC983184 EGY983176:EGY983184 EQU983176:EQU983184 FAQ983176:FAQ983184 FKM983176:FKM983184 FUI983176:FUI983184 GEE983176:GEE983184 GOA983176:GOA983184 GXW983176:GXW983184 HHS983176:HHS983184 HRO983176:HRO983184 IBK983176:IBK983184 ILG983176:ILG983184 IVC983176:IVC983184 JEY983176:JEY983184 JOU983176:JOU983184 JYQ983176:JYQ983184 KIM983176:KIM983184 KSI983176:KSI983184 LCE983176:LCE983184 LMA983176:LMA983184 LVW983176:LVW983184 MFS983176:MFS983184 MPO983176:MPO983184 MZK983176:MZK983184 NJG983176:NJG983184 NTC983176:NTC983184 OCY983176:OCY983184 OMU983176:OMU983184 OWQ983176:OWQ983184 PGM983176:PGM983184 PQI983176:PQI983184 QAE983176:QAE983184 QKA983176:QKA983184 QTW983176:QTW983184 RDS983176:RDS983184 RNO983176:RNO983184 RXK983176:RXK983184 SHG983176:SHG983184 SRC983176:SRC983184 TAY983176:TAY983184 TKU983176:TKU983184 TUQ983176:TUQ983184 UEM983176:UEM983184 UOI983176:UOI983184 UYE983176:UYE983184 VIA983176:VIA983184 VRW983176:VRW983184 WBS983176:WBS983184 WLO983176:WLO983184 C63:C98" xr:uid="{00000000-0002-0000-0500-000005000000}"/>
    <dataValidation type="list" allowBlank="1" showInputMessage="1" showErrorMessage="1" sqref="H154" xr:uid="{00000000-0002-0000-0500-000006000000}">
      <formula1>"Si, No"</formula1>
    </dataValidation>
    <dataValidation type="list" allowBlank="1" showInputMessage="1" showErrorMessage="1" sqref="E173:E192" xr:uid="{00000000-0002-0000-0500-000007000000}">
      <formula1>"Si,No"</formula1>
    </dataValidation>
  </dataValidations>
  <hyperlinks>
    <hyperlink ref="U1" location="ins" display="Instructivo" xr:uid="{00000000-0004-0000-0500-000000000000}"/>
    <hyperlink ref="A169" location="gtosadm" display="Ir a estimar gastos de administración" xr:uid="{00000000-0004-0000-0500-000001000000}"/>
    <hyperlink ref="C169" location="IVA" display="Info IVA" xr:uid="{00000000-0004-0000-0500-000002000000}"/>
  </hyperlinks>
  <printOptions horizontalCentered="1"/>
  <pageMargins left="0" right="0" top="0" bottom="0" header="0" footer="0"/>
  <pageSetup scale="42" fitToHeight="0" orientation="landscape" horizontalDpi="1200" verticalDpi="1200" r:id="rId1"/>
  <headerFooter>
    <oddFooter>&amp;R&amp;"Arial,Normal"&amp;K01+000Página &amp;P de &amp;N</oddFooter>
  </headerFooter>
  <drawing r:id="rId2"/>
  <legacyDrawing r:id="rId3"/>
  <extLst>
    <ext xmlns:x14="http://schemas.microsoft.com/office/spreadsheetml/2009/9/main" uri="{CCE6A557-97BC-4b89-ADB6-D9C93CAAB3DF}">
      <x14:dataValidations xmlns:xm="http://schemas.microsoft.com/office/excel/2006/main" xWindow="266" yWindow="562" count="1">
        <x14:dataValidation type="list" allowBlank="1" showInputMessage="1" showErrorMessage="1" xr:uid="{00000000-0002-0000-0500-000008000000}">
          <x14:formula1>
            <xm:f>Honorarios!$A$9:$A$15</xm:f>
          </x14:formula1>
          <xm:sqref>A12:A42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tabColor theme="5" tint="0.39997558519241921"/>
    <pageSetUpPr fitToPage="1"/>
  </sheetPr>
  <dimension ref="A1:G190"/>
  <sheetViews>
    <sheetView showGridLines="0" topLeftCell="A8" zoomScaleNormal="100" workbookViewId="0">
      <selection activeCell="E188" sqref="E188"/>
    </sheetView>
  </sheetViews>
  <sheetFormatPr baseColWidth="10" defaultColWidth="11.5" defaultRowHeight="20.100000000000001" customHeight="1" x14ac:dyDescent="0.2"/>
  <cols>
    <col min="1" max="1" width="59.83203125" style="187" customWidth="1"/>
    <col min="2" max="2" width="15.83203125" style="187" customWidth="1"/>
    <col min="3" max="3" width="14.1640625" style="187" customWidth="1"/>
    <col min="4" max="4" width="19.1640625" style="187" customWidth="1"/>
    <col min="5" max="5" width="19.5" style="203" customWidth="1"/>
    <col min="6" max="6" width="18.6640625" style="71" customWidth="1"/>
    <col min="7" max="7" width="16.83203125" style="71" customWidth="1"/>
    <col min="8" max="16384" width="11.5" style="71"/>
  </cols>
  <sheetData>
    <row r="1" spans="1:7" ht="20.100000000000001" customHeight="1" x14ac:dyDescent="0.2">
      <c r="A1" s="637"/>
      <c r="B1" s="947" t="s">
        <v>0</v>
      </c>
      <c r="C1" s="948"/>
      <c r="D1" s="948"/>
      <c r="E1" s="949"/>
      <c r="F1" s="339" t="s">
        <v>104</v>
      </c>
    </row>
    <row r="2" spans="1:7" ht="20.100000000000001" customHeight="1" x14ac:dyDescent="0.2">
      <c r="A2" s="638"/>
      <c r="B2" s="950" t="s">
        <v>427</v>
      </c>
      <c r="C2" s="951"/>
      <c r="D2" s="951"/>
      <c r="E2" s="952"/>
    </row>
    <row r="3" spans="1:7" ht="20.100000000000001" customHeight="1" thickBot="1" x14ac:dyDescent="0.25">
      <c r="A3" s="639"/>
      <c r="B3" s="953" t="s">
        <v>2</v>
      </c>
      <c r="C3" s="954"/>
      <c r="D3" s="953" t="str">
        <f>Instructivo!G3</f>
        <v>VERSIÓN: 04</v>
      </c>
      <c r="E3" s="955"/>
    </row>
    <row r="4" spans="1:7" ht="20.100000000000001" customHeight="1" thickBot="1" x14ac:dyDescent="0.25">
      <c r="A4" s="71"/>
      <c r="B4" s="67"/>
      <c r="C4" s="67"/>
      <c r="D4" s="67"/>
      <c r="E4" s="67"/>
    </row>
    <row r="5" spans="1:7" ht="20.100000000000001" customHeight="1" thickBot="1" x14ac:dyDescent="0.25">
      <c r="A5" s="560" t="s">
        <v>106</v>
      </c>
      <c r="B5" s="956" t="str">
        <f>'Plan Ejecución'!AE5</f>
        <v>Licitación Pública</v>
      </c>
      <c r="C5" s="957"/>
      <c r="D5" s="957"/>
      <c r="E5" s="958"/>
      <c r="F5" s="225"/>
    </row>
    <row r="6" spans="1:7" ht="44.25" customHeight="1" thickBot="1" x14ac:dyDescent="0.25">
      <c r="A6" s="560" t="s">
        <v>108</v>
      </c>
      <c r="B6" s="959" t="str">
        <f>'Plan Ejecución'!AE6</f>
        <v>“Adquirir el Programa de Seguros para la protección de los bienes e intereses, según los ramos y coberturas que requiera CORANTIOQUIA”.</v>
      </c>
      <c r="C6" s="960"/>
      <c r="D6" s="960"/>
      <c r="E6" s="961"/>
      <c r="F6" s="225"/>
    </row>
    <row r="7" spans="1:7" ht="20.100000000000001" customHeight="1" thickBot="1" x14ac:dyDescent="0.25">
      <c r="A7" s="946"/>
      <c r="B7" s="946"/>
      <c r="C7" s="946"/>
      <c r="D7" s="946"/>
      <c r="E7" s="946"/>
    </row>
    <row r="8" spans="1:7" s="67" customFormat="1" ht="41.25" customHeight="1" thickBot="1" x14ac:dyDescent="0.25">
      <c r="A8" s="940" t="s">
        <v>428</v>
      </c>
      <c r="B8" s="970" t="str">
        <f>+B6</f>
        <v>“Adquirir el Programa de Seguros para la protección de los bienes e intereses, según los ramos y coberturas que requiera CORANTIOQUIA”.</v>
      </c>
      <c r="C8" s="971"/>
      <c r="D8" s="971"/>
      <c r="E8" s="972"/>
      <c r="G8" s="71"/>
    </row>
    <row r="9" spans="1:7" s="67" customFormat="1" ht="18" customHeight="1" thickBot="1" x14ac:dyDescent="0.25">
      <c r="A9" s="941" t="s">
        <v>429</v>
      </c>
      <c r="B9" s="970" t="s">
        <v>148</v>
      </c>
      <c r="C9" s="971"/>
      <c r="D9" s="971"/>
      <c r="E9" s="972"/>
    </row>
    <row r="10" spans="1:7" ht="18" customHeight="1" thickBot="1" x14ac:dyDescent="0.25">
      <c r="A10" s="942" t="s">
        <v>430</v>
      </c>
      <c r="B10" s="970"/>
      <c r="C10" s="971"/>
      <c r="D10" s="971"/>
      <c r="E10" s="972"/>
    </row>
    <row r="11" spans="1:7" ht="20.100000000000001" customHeight="1" thickBot="1" x14ac:dyDescent="0.25">
      <c r="A11" s="221"/>
      <c r="B11" s="190"/>
      <c r="C11" s="190"/>
      <c r="D11" s="190"/>
      <c r="E11" s="190"/>
    </row>
    <row r="12" spans="1:7" ht="27.75" customHeight="1" thickBot="1" x14ac:dyDescent="0.25">
      <c r="A12" s="936" t="s">
        <v>370</v>
      </c>
      <c r="B12" s="935" t="s">
        <v>119</v>
      </c>
      <c r="C12" s="563" t="s">
        <v>373</v>
      </c>
      <c r="D12" s="563" t="s">
        <v>431</v>
      </c>
      <c r="E12" s="564" t="s">
        <v>432</v>
      </c>
    </row>
    <row r="13" spans="1:7" ht="27.75" customHeight="1" x14ac:dyDescent="0.2">
      <c r="A13" s="943" t="s">
        <v>1541</v>
      </c>
      <c r="B13" s="923" t="s">
        <v>387</v>
      </c>
      <c r="C13" s="923">
        <v>1</v>
      </c>
      <c r="D13" s="934">
        <f>+'Presupuesto Contrato'!H84</f>
        <v>92760628.554720387</v>
      </c>
      <c r="E13" s="651">
        <f t="shared" ref="E13:E17" si="0">C13*D13</f>
        <v>92760628.554720387</v>
      </c>
    </row>
    <row r="14" spans="1:7" ht="27.75" customHeight="1" x14ac:dyDescent="0.2">
      <c r="A14" s="944" t="s">
        <v>1542</v>
      </c>
      <c r="B14" s="923" t="s">
        <v>387</v>
      </c>
      <c r="C14" s="923">
        <v>1</v>
      </c>
      <c r="D14" s="934">
        <f>+'Presupuesto Contrato'!H85</f>
        <v>149451400</v>
      </c>
      <c r="E14" s="651">
        <f t="shared" si="0"/>
        <v>149451400</v>
      </c>
    </row>
    <row r="15" spans="1:7" ht="27.75" customHeight="1" x14ac:dyDescent="0.2">
      <c r="A15" s="944" t="s">
        <v>1543</v>
      </c>
      <c r="B15" s="923" t="s">
        <v>387</v>
      </c>
      <c r="C15" s="923">
        <v>1</v>
      </c>
      <c r="D15" s="934">
        <f>+'Presupuesto Contrato'!H86</f>
        <v>28620300</v>
      </c>
      <c r="E15" s="651">
        <f t="shared" si="0"/>
        <v>28620300</v>
      </c>
    </row>
    <row r="16" spans="1:7" ht="27.75" customHeight="1" x14ac:dyDescent="0.2">
      <c r="A16" s="944" t="s">
        <v>1544</v>
      </c>
      <c r="B16" s="923" t="s">
        <v>387</v>
      </c>
      <c r="C16" s="923">
        <v>1</v>
      </c>
      <c r="D16" s="934">
        <f>+'Presupuesto Contrato'!H87</f>
        <v>380000000</v>
      </c>
      <c r="E16" s="651">
        <f t="shared" si="0"/>
        <v>380000000</v>
      </c>
    </row>
    <row r="17" spans="1:5" ht="27.75" customHeight="1" x14ac:dyDescent="0.2">
      <c r="A17" s="944" t="s">
        <v>1545</v>
      </c>
      <c r="B17" s="923" t="s">
        <v>387</v>
      </c>
      <c r="C17" s="923">
        <v>1</v>
      </c>
      <c r="D17" s="934">
        <f>+'Presupuesto Contrato'!H88</f>
        <v>72015000</v>
      </c>
      <c r="E17" s="651">
        <f t="shared" si="0"/>
        <v>72015000</v>
      </c>
    </row>
    <row r="18" spans="1:5" ht="27.75" customHeight="1" x14ac:dyDescent="0.2">
      <c r="A18" s="944" t="s">
        <v>1546</v>
      </c>
      <c r="B18" s="923" t="s">
        <v>387</v>
      </c>
      <c r="C18" s="923">
        <v>1</v>
      </c>
      <c r="D18" s="934">
        <f>+'Presupuesto Contrato'!H89</f>
        <v>33765000</v>
      </c>
      <c r="E18" s="651">
        <f>C18*D18</f>
        <v>33765000</v>
      </c>
    </row>
    <row r="19" spans="1:5" ht="27.75" customHeight="1" x14ac:dyDescent="0.2">
      <c r="A19" s="944" t="s">
        <v>1547</v>
      </c>
      <c r="B19" s="923" t="s">
        <v>387</v>
      </c>
      <c r="C19" s="923">
        <v>1</v>
      </c>
      <c r="D19" s="934">
        <f>+'Presupuesto Contrato'!H90</f>
        <v>12515000</v>
      </c>
      <c r="E19" s="651">
        <f t="shared" ref="E19:E77" si="1">C19*D19</f>
        <v>12515000</v>
      </c>
    </row>
    <row r="20" spans="1:5" ht="27.75" customHeight="1" x14ac:dyDescent="0.2">
      <c r="A20" s="944" t="s">
        <v>1548</v>
      </c>
      <c r="B20" s="923" t="s">
        <v>387</v>
      </c>
      <c r="C20" s="923">
        <v>1</v>
      </c>
      <c r="D20" s="934">
        <f>+'Presupuesto Contrato'!H91</f>
        <v>165000</v>
      </c>
      <c r="E20" s="651">
        <f>+C20*D20</f>
        <v>165000</v>
      </c>
    </row>
    <row r="21" spans="1:5" ht="27.75" customHeight="1" x14ac:dyDescent="0.2">
      <c r="A21" s="944" t="s">
        <v>1549</v>
      </c>
      <c r="B21" s="923" t="s">
        <v>387</v>
      </c>
      <c r="C21" s="923">
        <v>1</v>
      </c>
      <c r="D21" s="934">
        <f>+'Presupuesto Contrato'!H92</f>
        <v>350015000</v>
      </c>
      <c r="E21" s="651">
        <f t="shared" si="1"/>
        <v>350015000</v>
      </c>
    </row>
    <row r="22" spans="1:5" ht="27.75" customHeight="1" thickBot="1" x14ac:dyDescent="0.25">
      <c r="A22" s="945" t="s">
        <v>1550</v>
      </c>
      <c r="B22" s="937" t="s">
        <v>387</v>
      </c>
      <c r="C22" s="937">
        <v>1</v>
      </c>
      <c r="D22" s="938">
        <f>+'Presupuesto Contrato'!H93</f>
        <v>35662136.019882701</v>
      </c>
      <c r="E22" s="939">
        <f t="shared" si="1"/>
        <v>35662136.019882701</v>
      </c>
    </row>
    <row r="23" spans="1:5" ht="27.75" hidden="1" customHeight="1" x14ac:dyDescent="0.2">
      <c r="A23" s="640"/>
      <c r="B23" s="641"/>
      <c r="C23" s="641"/>
      <c r="D23" s="642"/>
      <c r="E23" s="651">
        <f t="shared" si="1"/>
        <v>0</v>
      </c>
    </row>
    <row r="24" spans="1:5" ht="27.75" hidden="1" customHeight="1" x14ac:dyDescent="0.2">
      <c r="A24" s="640"/>
      <c r="B24" s="641"/>
      <c r="C24" s="641"/>
      <c r="D24" s="642"/>
      <c r="E24" s="651">
        <f t="shared" si="1"/>
        <v>0</v>
      </c>
    </row>
    <row r="25" spans="1:5" ht="27.75" hidden="1" customHeight="1" x14ac:dyDescent="0.2">
      <c r="A25" s="640"/>
      <c r="B25" s="641"/>
      <c r="C25" s="641"/>
      <c r="D25" s="642"/>
      <c r="E25" s="651">
        <f t="shared" si="1"/>
        <v>0</v>
      </c>
    </row>
    <row r="26" spans="1:5" ht="27.75" hidden="1" customHeight="1" x14ac:dyDescent="0.2">
      <c r="A26" s="640"/>
      <c r="B26" s="641"/>
      <c r="C26" s="641"/>
      <c r="D26" s="642"/>
      <c r="E26" s="651">
        <f t="shared" si="1"/>
        <v>0</v>
      </c>
    </row>
    <row r="27" spans="1:5" ht="27.75" hidden="1" customHeight="1" x14ac:dyDescent="0.2">
      <c r="A27" s="640"/>
      <c r="B27" s="641"/>
      <c r="C27" s="641"/>
      <c r="D27" s="642"/>
      <c r="E27" s="651">
        <f t="shared" si="1"/>
        <v>0</v>
      </c>
    </row>
    <row r="28" spans="1:5" ht="27.75" hidden="1" customHeight="1" x14ac:dyDescent="0.2">
      <c r="A28" s="640"/>
      <c r="B28" s="641"/>
      <c r="C28" s="641"/>
      <c r="D28" s="642"/>
      <c r="E28" s="651">
        <f t="shared" si="1"/>
        <v>0</v>
      </c>
    </row>
    <row r="29" spans="1:5" ht="27.75" hidden="1" customHeight="1" x14ac:dyDescent="0.2">
      <c r="A29" s="640"/>
      <c r="B29" s="641"/>
      <c r="C29" s="641"/>
      <c r="D29" s="642"/>
      <c r="E29" s="651">
        <f t="shared" si="1"/>
        <v>0</v>
      </c>
    </row>
    <row r="30" spans="1:5" ht="27.75" hidden="1" customHeight="1" x14ac:dyDescent="0.2">
      <c r="A30" s="640"/>
      <c r="B30" s="641"/>
      <c r="C30" s="641"/>
      <c r="D30" s="642"/>
      <c r="E30" s="651">
        <f t="shared" si="1"/>
        <v>0</v>
      </c>
    </row>
    <row r="31" spans="1:5" ht="27.75" hidden="1" customHeight="1" x14ac:dyDescent="0.2">
      <c r="A31" s="640"/>
      <c r="B31" s="641"/>
      <c r="C31" s="641"/>
      <c r="D31" s="642"/>
      <c r="E31" s="651">
        <f t="shared" si="1"/>
        <v>0</v>
      </c>
    </row>
    <row r="32" spans="1:5" ht="27.75" hidden="1" customHeight="1" x14ac:dyDescent="0.2">
      <c r="A32" s="640"/>
      <c r="B32" s="641"/>
      <c r="C32" s="641"/>
      <c r="D32" s="642"/>
      <c r="E32" s="651">
        <f t="shared" si="1"/>
        <v>0</v>
      </c>
    </row>
    <row r="33" spans="1:5" ht="27.75" hidden="1" customHeight="1" x14ac:dyDescent="0.2">
      <c r="A33" s="640"/>
      <c r="B33" s="641"/>
      <c r="C33" s="641"/>
      <c r="D33" s="642"/>
      <c r="E33" s="651">
        <f t="shared" si="1"/>
        <v>0</v>
      </c>
    </row>
    <row r="34" spans="1:5" ht="27.75" hidden="1" customHeight="1" x14ac:dyDescent="0.2">
      <c r="A34" s="640"/>
      <c r="B34" s="641"/>
      <c r="C34" s="641"/>
      <c r="D34" s="642"/>
      <c r="E34" s="651">
        <f t="shared" si="1"/>
        <v>0</v>
      </c>
    </row>
    <row r="35" spans="1:5" ht="27.75" hidden="1" customHeight="1" x14ac:dyDescent="0.2">
      <c r="A35" s="640"/>
      <c r="B35" s="641"/>
      <c r="C35" s="641"/>
      <c r="D35" s="642"/>
      <c r="E35" s="651">
        <f t="shared" si="1"/>
        <v>0</v>
      </c>
    </row>
    <row r="36" spans="1:5" ht="27.75" hidden="1" customHeight="1" x14ac:dyDescent="0.2">
      <c r="A36" s="640"/>
      <c r="B36" s="641"/>
      <c r="C36" s="641"/>
      <c r="D36" s="642"/>
      <c r="E36" s="651">
        <f t="shared" si="1"/>
        <v>0</v>
      </c>
    </row>
    <row r="37" spans="1:5" ht="27.75" hidden="1" customHeight="1" x14ac:dyDescent="0.2">
      <c r="A37" s="640"/>
      <c r="B37" s="641"/>
      <c r="C37" s="641"/>
      <c r="D37" s="642"/>
      <c r="E37" s="651">
        <f t="shared" si="1"/>
        <v>0</v>
      </c>
    </row>
    <row r="38" spans="1:5" ht="27.75" hidden="1" customHeight="1" x14ac:dyDescent="0.2">
      <c r="A38" s="640"/>
      <c r="B38" s="641"/>
      <c r="C38" s="641"/>
      <c r="D38" s="642"/>
      <c r="E38" s="651">
        <f t="shared" si="1"/>
        <v>0</v>
      </c>
    </row>
    <row r="39" spans="1:5" ht="27.75" hidden="1" customHeight="1" x14ac:dyDescent="0.2">
      <c r="A39" s="640"/>
      <c r="B39" s="641"/>
      <c r="C39" s="641"/>
      <c r="D39" s="642"/>
      <c r="E39" s="651">
        <f t="shared" si="1"/>
        <v>0</v>
      </c>
    </row>
    <row r="40" spans="1:5" ht="27.75" hidden="1" customHeight="1" x14ac:dyDescent="0.2">
      <c r="A40" s="640"/>
      <c r="B40" s="641"/>
      <c r="C40" s="641"/>
      <c r="D40" s="642"/>
      <c r="E40" s="651">
        <f t="shared" si="1"/>
        <v>0</v>
      </c>
    </row>
    <row r="41" spans="1:5" ht="27.75" hidden="1" customHeight="1" x14ac:dyDescent="0.2">
      <c r="A41" s="640"/>
      <c r="B41" s="641"/>
      <c r="C41" s="641"/>
      <c r="D41" s="642"/>
      <c r="E41" s="651">
        <f t="shared" si="1"/>
        <v>0</v>
      </c>
    </row>
    <row r="42" spans="1:5" ht="27.75" hidden="1" customHeight="1" x14ac:dyDescent="0.2">
      <c r="A42" s="640"/>
      <c r="B42" s="641"/>
      <c r="C42" s="641"/>
      <c r="D42" s="642"/>
      <c r="E42" s="651">
        <f t="shared" si="1"/>
        <v>0</v>
      </c>
    </row>
    <row r="43" spans="1:5" ht="27.75" hidden="1" customHeight="1" x14ac:dyDescent="0.2">
      <c r="A43" s="640"/>
      <c r="B43" s="641"/>
      <c r="C43" s="641"/>
      <c r="D43" s="642"/>
      <c r="E43" s="651">
        <f t="shared" si="1"/>
        <v>0</v>
      </c>
    </row>
    <row r="44" spans="1:5" ht="27.75" hidden="1" customHeight="1" x14ac:dyDescent="0.2">
      <c r="A44" s="640"/>
      <c r="B44" s="641"/>
      <c r="C44" s="641"/>
      <c r="D44" s="642"/>
      <c r="E44" s="651">
        <f t="shared" si="1"/>
        <v>0</v>
      </c>
    </row>
    <row r="45" spans="1:5" ht="27.75" hidden="1" customHeight="1" x14ac:dyDescent="0.2">
      <c r="A45" s="640"/>
      <c r="B45" s="641"/>
      <c r="C45" s="641"/>
      <c r="D45" s="642"/>
      <c r="E45" s="651">
        <f t="shared" si="1"/>
        <v>0</v>
      </c>
    </row>
    <row r="46" spans="1:5" ht="27.75" hidden="1" customHeight="1" x14ac:dyDescent="0.2">
      <c r="A46" s="640"/>
      <c r="B46" s="641"/>
      <c r="C46" s="641"/>
      <c r="D46" s="642"/>
      <c r="E46" s="651">
        <f t="shared" si="1"/>
        <v>0</v>
      </c>
    </row>
    <row r="47" spans="1:5" ht="27.75" hidden="1" customHeight="1" x14ac:dyDescent="0.2">
      <c r="A47" s="640"/>
      <c r="B47" s="641"/>
      <c r="C47" s="641"/>
      <c r="D47" s="642"/>
      <c r="E47" s="651">
        <f t="shared" si="1"/>
        <v>0</v>
      </c>
    </row>
    <row r="48" spans="1:5" ht="27.75" hidden="1" customHeight="1" x14ac:dyDescent="0.2">
      <c r="A48" s="640"/>
      <c r="B48" s="641"/>
      <c r="C48" s="641"/>
      <c r="D48" s="642"/>
      <c r="E48" s="651">
        <f t="shared" si="1"/>
        <v>0</v>
      </c>
    </row>
    <row r="49" spans="1:5" ht="27.75" hidden="1" customHeight="1" x14ac:dyDescent="0.2">
      <c r="A49" s="640"/>
      <c r="B49" s="641"/>
      <c r="C49" s="641"/>
      <c r="D49" s="642"/>
      <c r="E49" s="651">
        <f t="shared" si="1"/>
        <v>0</v>
      </c>
    </row>
    <row r="50" spans="1:5" ht="27.75" hidden="1" customHeight="1" x14ac:dyDescent="0.2">
      <c r="A50" s="640"/>
      <c r="B50" s="641"/>
      <c r="C50" s="641"/>
      <c r="D50" s="642"/>
      <c r="E50" s="651">
        <f t="shared" si="1"/>
        <v>0</v>
      </c>
    </row>
    <row r="51" spans="1:5" ht="27.75" hidden="1" customHeight="1" x14ac:dyDescent="0.2">
      <c r="A51" s="640"/>
      <c r="B51" s="641"/>
      <c r="C51" s="641"/>
      <c r="D51" s="642"/>
      <c r="E51" s="651">
        <f t="shared" si="1"/>
        <v>0</v>
      </c>
    </row>
    <row r="52" spans="1:5" ht="27.75" hidden="1" customHeight="1" x14ac:dyDescent="0.2">
      <c r="A52" s="640"/>
      <c r="B52" s="641"/>
      <c r="C52" s="641"/>
      <c r="D52" s="642"/>
      <c r="E52" s="651">
        <f t="shared" si="1"/>
        <v>0</v>
      </c>
    </row>
    <row r="53" spans="1:5" ht="27.75" hidden="1" customHeight="1" x14ac:dyDescent="0.2">
      <c r="A53" s="640"/>
      <c r="B53" s="641"/>
      <c r="C53" s="641"/>
      <c r="D53" s="642"/>
      <c r="E53" s="651">
        <f t="shared" si="1"/>
        <v>0</v>
      </c>
    </row>
    <row r="54" spans="1:5" ht="27.75" hidden="1" customHeight="1" x14ac:dyDescent="0.2">
      <c r="A54" s="640"/>
      <c r="B54" s="641"/>
      <c r="C54" s="641"/>
      <c r="D54" s="642"/>
      <c r="E54" s="651">
        <f t="shared" si="1"/>
        <v>0</v>
      </c>
    </row>
    <row r="55" spans="1:5" ht="27.75" hidden="1" customHeight="1" x14ac:dyDescent="0.2">
      <c r="A55" s="640"/>
      <c r="B55" s="641"/>
      <c r="C55" s="641"/>
      <c r="D55" s="642"/>
      <c r="E55" s="651">
        <f t="shared" si="1"/>
        <v>0</v>
      </c>
    </row>
    <row r="56" spans="1:5" ht="27.75" hidden="1" customHeight="1" x14ac:dyDescent="0.2">
      <c r="A56" s="640"/>
      <c r="B56" s="641"/>
      <c r="C56" s="641"/>
      <c r="D56" s="642"/>
      <c r="E56" s="651">
        <f t="shared" si="1"/>
        <v>0</v>
      </c>
    </row>
    <row r="57" spans="1:5" ht="27.75" hidden="1" customHeight="1" x14ac:dyDescent="0.2">
      <c r="A57" s="640"/>
      <c r="B57" s="641"/>
      <c r="C57" s="641"/>
      <c r="D57" s="642"/>
      <c r="E57" s="651">
        <f t="shared" si="1"/>
        <v>0</v>
      </c>
    </row>
    <row r="58" spans="1:5" ht="27.75" hidden="1" customHeight="1" x14ac:dyDescent="0.2">
      <c r="A58" s="640"/>
      <c r="B58" s="641"/>
      <c r="C58" s="641"/>
      <c r="D58" s="642"/>
      <c r="E58" s="651">
        <f t="shared" si="1"/>
        <v>0</v>
      </c>
    </row>
    <row r="59" spans="1:5" ht="27.75" hidden="1" customHeight="1" x14ac:dyDescent="0.2">
      <c r="A59" s="640"/>
      <c r="B59" s="641"/>
      <c r="C59" s="641"/>
      <c r="D59" s="642"/>
      <c r="E59" s="651">
        <f t="shared" si="1"/>
        <v>0</v>
      </c>
    </row>
    <row r="60" spans="1:5" ht="27.75" hidden="1" customHeight="1" x14ac:dyDescent="0.2">
      <c r="A60" s="640"/>
      <c r="B60" s="641"/>
      <c r="C60" s="641"/>
      <c r="D60" s="642"/>
      <c r="E60" s="651">
        <f t="shared" si="1"/>
        <v>0</v>
      </c>
    </row>
    <row r="61" spans="1:5" ht="27.75" hidden="1" customHeight="1" x14ac:dyDescent="0.2">
      <c r="A61" s="640"/>
      <c r="B61" s="641"/>
      <c r="C61" s="641"/>
      <c r="D61" s="642"/>
      <c r="E61" s="651">
        <f t="shared" si="1"/>
        <v>0</v>
      </c>
    </row>
    <row r="62" spans="1:5" ht="27.75" hidden="1" customHeight="1" x14ac:dyDescent="0.2">
      <c r="A62" s="640"/>
      <c r="B62" s="641"/>
      <c r="C62" s="641"/>
      <c r="D62" s="642"/>
      <c r="E62" s="651">
        <f t="shared" si="1"/>
        <v>0</v>
      </c>
    </row>
    <row r="63" spans="1:5" ht="27.75" hidden="1" customHeight="1" x14ac:dyDescent="0.2">
      <c r="A63" s="640"/>
      <c r="B63" s="641"/>
      <c r="C63" s="641"/>
      <c r="D63" s="642"/>
      <c r="E63" s="651">
        <f t="shared" si="1"/>
        <v>0</v>
      </c>
    </row>
    <row r="64" spans="1:5" ht="27.75" hidden="1" customHeight="1" x14ac:dyDescent="0.2">
      <c r="A64" s="640"/>
      <c r="B64" s="641"/>
      <c r="C64" s="641"/>
      <c r="D64" s="642"/>
      <c r="E64" s="651">
        <f t="shared" si="1"/>
        <v>0</v>
      </c>
    </row>
    <row r="65" spans="1:5" ht="27.75" hidden="1" customHeight="1" x14ac:dyDescent="0.2">
      <c r="A65" s="640"/>
      <c r="B65" s="641"/>
      <c r="C65" s="641"/>
      <c r="D65" s="642"/>
      <c r="E65" s="651">
        <f t="shared" si="1"/>
        <v>0</v>
      </c>
    </row>
    <row r="66" spans="1:5" ht="27.75" hidden="1" customHeight="1" x14ac:dyDescent="0.2">
      <c r="A66" s="640"/>
      <c r="B66" s="641"/>
      <c r="C66" s="641"/>
      <c r="D66" s="642"/>
      <c r="E66" s="651">
        <f t="shared" si="1"/>
        <v>0</v>
      </c>
    </row>
    <row r="67" spans="1:5" ht="27.75" hidden="1" customHeight="1" x14ac:dyDescent="0.2">
      <c r="A67" s="640"/>
      <c r="B67" s="641"/>
      <c r="C67" s="641"/>
      <c r="D67" s="642"/>
      <c r="E67" s="651">
        <f t="shared" si="1"/>
        <v>0</v>
      </c>
    </row>
    <row r="68" spans="1:5" ht="27.75" hidden="1" customHeight="1" x14ac:dyDescent="0.2">
      <c r="A68" s="640"/>
      <c r="B68" s="641"/>
      <c r="C68" s="641"/>
      <c r="D68" s="642"/>
      <c r="E68" s="651">
        <f t="shared" si="1"/>
        <v>0</v>
      </c>
    </row>
    <row r="69" spans="1:5" ht="27.75" hidden="1" customHeight="1" x14ac:dyDescent="0.2">
      <c r="A69" s="640"/>
      <c r="B69" s="641"/>
      <c r="C69" s="641"/>
      <c r="D69" s="642"/>
      <c r="E69" s="651">
        <f t="shared" si="1"/>
        <v>0</v>
      </c>
    </row>
    <row r="70" spans="1:5" ht="27.75" hidden="1" customHeight="1" x14ac:dyDescent="0.2">
      <c r="A70" s="640"/>
      <c r="B70" s="641"/>
      <c r="C70" s="641"/>
      <c r="D70" s="642"/>
      <c r="E70" s="651">
        <f t="shared" si="1"/>
        <v>0</v>
      </c>
    </row>
    <row r="71" spans="1:5" ht="27.75" hidden="1" customHeight="1" x14ac:dyDescent="0.2">
      <c r="A71" s="640"/>
      <c r="B71" s="641"/>
      <c r="C71" s="641"/>
      <c r="D71" s="642"/>
      <c r="E71" s="651">
        <f t="shared" si="1"/>
        <v>0</v>
      </c>
    </row>
    <row r="72" spans="1:5" ht="27.75" hidden="1" customHeight="1" x14ac:dyDescent="0.2">
      <c r="A72" s="640"/>
      <c r="B72" s="641"/>
      <c r="C72" s="641"/>
      <c r="D72" s="642"/>
      <c r="E72" s="651">
        <f t="shared" si="1"/>
        <v>0</v>
      </c>
    </row>
    <row r="73" spans="1:5" ht="27.75" hidden="1" customHeight="1" x14ac:dyDescent="0.2">
      <c r="A73" s="640"/>
      <c r="B73" s="641"/>
      <c r="C73" s="641"/>
      <c r="D73" s="642"/>
      <c r="E73" s="651">
        <f t="shared" si="1"/>
        <v>0</v>
      </c>
    </row>
    <row r="74" spans="1:5" ht="27.75" hidden="1" customHeight="1" x14ac:dyDescent="0.2">
      <c r="A74" s="640"/>
      <c r="B74" s="641"/>
      <c r="C74" s="641"/>
      <c r="D74" s="642"/>
      <c r="E74" s="651">
        <f t="shared" si="1"/>
        <v>0</v>
      </c>
    </row>
    <row r="75" spans="1:5" ht="27.75" hidden="1" customHeight="1" x14ac:dyDescent="0.2">
      <c r="A75" s="640"/>
      <c r="B75" s="641"/>
      <c r="C75" s="641"/>
      <c r="D75" s="642"/>
      <c r="E75" s="651">
        <f t="shared" si="1"/>
        <v>0</v>
      </c>
    </row>
    <row r="76" spans="1:5" ht="27.75" hidden="1" customHeight="1" x14ac:dyDescent="0.2">
      <c r="A76" s="640"/>
      <c r="B76" s="641"/>
      <c r="C76" s="641"/>
      <c r="D76" s="642"/>
      <c r="E76" s="651">
        <f t="shared" si="1"/>
        <v>0</v>
      </c>
    </row>
    <row r="77" spans="1:5" ht="27.75" hidden="1" customHeight="1" x14ac:dyDescent="0.2">
      <c r="A77" s="640"/>
      <c r="B77" s="641"/>
      <c r="C77" s="641"/>
      <c r="D77" s="642"/>
      <c r="E77" s="651">
        <f t="shared" si="1"/>
        <v>0</v>
      </c>
    </row>
    <row r="78" spans="1:5" ht="27.75" hidden="1" customHeight="1" x14ac:dyDescent="0.2">
      <c r="A78" s="640"/>
      <c r="B78" s="641"/>
      <c r="C78" s="641"/>
      <c r="D78" s="642"/>
      <c r="E78" s="651">
        <f t="shared" ref="E78:E141" si="2">C78*D78</f>
        <v>0</v>
      </c>
    </row>
    <row r="79" spans="1:5" ht="27.75" hidden="1" customHeight="1" x14ac:dyDescent="0.2">
      <c r="A79" s="640"/>
      <c r="B79" s="641"/>
      <c r="C79" s="641"/>
      <c r="D79" s="642"/>
      <c r="E79" s="651">
        <f t="shared" si="2"/>
        <v>0</v>
      </c>
    </row>
    <row r="80" spans="1:5" ht="27.75" hidden="1" customHeight="1" x14ac:dyDescent="0.2">
      <c r="A80" s="640"/>
      <c r="B80" s="641"/>
      <c r="C80" s="641"/>
      <c r="D80" s="642"/>
      <c r="E80" s="651">
        <f t="shared" si="2"/>
        <v>0</v>
      </c>
    </row>
    <row r="81" spans="1:5" ht="27.75" hidden="1" customHeight="1" x14ac:dyDescent="0.2">
      <c r="A81" s="640"/>
      <c r="B81" s="641"/>
      <c r="C81" s="641"/>
      <c r="D81" s="642"/>
      <c r="E81" s="651">
        <f t="shared" si="2"/>
        <v>0</v>
      </c>
    </row>
    <row r="82" spans="1:5" ht="27.75" hidden="1" customHeight="1" x14ac:dyDescent="0.2">
      <c r="A82" s="640"/>
      <c r="B82" s="641"/>
      <c r="C82" s="641"/>
      <c r="D82" s="642"/>
      <c r="E82" s="651">
        <f t="shared" si="2"/>
        <v>0</v>
      </c>
    </row>
    <row r="83" spans="1:5" ht="27.75" hidden="1" customHeight="1" x14ac:dyDescent="0.2">
      <c r="A83" s="640"/>
      <c r="B83" s="641"/>
      <c r="C83" s="641"/>
      <c r="D83" s="642"/>
      <c r="E83" s="651">
        <f t="shared" si="2"/>
        <v>0</v>
      </c>
    </row>
    <row r="84" spans="1:5" ht="27.75" hidden="1" customHeight="1" x14ac:dyDescent="0.2">
      <c r="A84" s="640"/>
      <c r="B84" s="641"/>
      <c r="C84" s="641"/>
      <c r="D84" s="642"/>
      <c r="E84" s="651">
        <f t="shared" si="2"/>
        <v>0</v>
      </c>
    </row>
    <row r="85" spans="1:5" ht="27.75" hidden="1" customHeight="1" x14ac:dyDescent="0.2">
      <c r="A85" s="640"/>
      <c r="B85" s="641"/>
      <c r="C85" s="641"/>
      <c r="D85" s="642"/>
      <c r="E85" s="651">
        <f t="shared" si="2"/>
        <v>0</v>
      </c>
    </row>
    <row r="86" spans="1:5" ht="27.75" hidden="1" customHeight="1" x14ac:dyDescent="0.2">
      <c r="A86" s="640"/>
      <c r="B86" s="641"/>
      <c r="C86" s="641"/>
      <c r="D86" s="642"/>
      <c r="E86" s="651">
        <f t="shared" si="2"/>
        <v>0</v>
      </c>
    </row>
    <row r="87" spans="1:5" ht="27.75" hidden="1" customHeight="1" x14ac:dyDescent="0.2">
      <c r="A87" s="640"/>
      <c r="B87" s="641"/>
      <c r="C87" s="641"/>
      <c r="D87" s="642"/>
      <c r="E87" s="651">
        <f t="shared" si="2"/>
        <v>0</v>
      </c>
    </row>
    <row r="88" spans="1:5" ht="27.75" hidden="1" customHeight="1" x14ac:dyDescent="0.2">
      <c r="A88" s="640"/>
      <c r="B88" s="641"/>
      <c r="C88" s="641"/>
      <c r="D88" s="642"/>
      <c r="E88" s="651">
        <f t="shared" si="2"/>
        <v>0</v>
      </c>
    </row>
    <row r="89" spans="1:5" ht="27.75" hidden="1" customHeight="1" x14ac:dyDescent="0.2">
      <c r="A89" s="640"/>
      <c r="B89" s="641"/>
      <c r="C89" s="641"/>
      <c r="D89" s="642"/>
      <c r="E89" s="651">
        <f t="shared" si="2"/>
        <v>0</v>
      </c>
    </row>
    <row r="90" spans="1:5" ht="27.75" hidden="1" customHeight="1" x14ac:dyDescent="0.2">
      <c r="A90" s="640"/>
      <c r="B90" s="641"/>
      <c r="C90" s="641"/>
      <c r="D90" s="642"/>
      <c r="E90" s="651">
        <f t="shared" si="2"/>
        <v>0</v>
      </c>
    </row>
    <row r="91" spans="1:5" ht="27.75" hidden="1" customHeight="1" x14ac:dyDescent="0.2">
      <c r="A91" s="640"/>
      <c r="B91" s="641"/>
      <c r="C91" s="641"/>
      <c r="D91" s="642"/>
      <c r="E91" s="651">
        <f t="shared" si="2"/>
        <v>0</v>
      </c>
    </row>
    <row r="92" spans="1:5" ht="27.75" hidden="1" customHeight="1" x14ac:dyDescent="0.2">
      <c r="A92" s="640"/>
      <c r="B92" s="641"/>
      <c r="C92" s="641"/>
      <c r="D92" s="642"/>
      <c r="E92" s="651">
        <f t="shared" si="2"/>
        <v>0</v>
      </c>
    </row>
    <row r="93" spans="1:5" ht="27.75" hidden="1" customHeight="1" x14ac:dyDescent="0.2">
      <c r="A93" s="640"/>
      <c r="B93" s="641"/>
      <c r="C93" s="641"/>
      <c r="D93" s="642"/>
      <c r="E93" s="651">
        <f t="shared" si="2"/>
        <v>0</v>
      </c>
    </row>
    <row r="94" spans="1:5" ht="27.75" hidden="1" customHeight="1" x14ac:dyDescent="0.2">
      <c r="A94" s="640"/>
      <c r="B94" s="641"/>
      <c r="C94" s="641"/>
      <c r="D94" s="642"/>
      <c r="E94" s="651">
        <f t="shared" si="2"/>
        <v>0</v>
      </c>
    </row>
    <row r="95" spans="1:5" ht="27.75" hidden="1" customHeight="1" x14ac:dyDescent="0.2">
      <c r="A95" s="640"/>
      <c r="B95" s="641"/>
      <c r="C95" s="641"/>
      <c r="D95" s="642"/>
      <c r="E95" s="651">
        <f t="shared" si="2"/>
        <v>0</v>
      </c>
    </row>
    <row r="96" spans="1:5" ht="27.75" hidden="1" customHeight="1" x14ac:dyDescent="0.2">
      <c r="A96" s="640"/>
      <c r="B96" s="641"/>
      <c r="C96" s="641"/>
      <c r="D96" s="642"/>
      <c r="E96" s="651">
        <f t="shared" si="2"/>
        <v>0</v>
      </c>
    </row>
    <row r="97" spans="1:5" ht="27.75" hidden="1" customHeight="1" x14ac:dyDescent="0.2">
      <c r="A97" s="640"/>
      <c r="B97" s="641"/>
      <c r="C97" s="641"/>
      <c r="D97" s="642"/>
      <c r="E97" s="651">
        <f t="shared" si="2"/>
        <v>0</v>
      </c>
    </row>
    <row r="98" spans="1:5" ht="27.75" hidden="1" customHeight="1" x14ac:dyDescent="0.2">
      <c r="A98" s="640"/>
      <c r="B98" s="641"/>
      <c r="C98" s="641"/>
      <c r="D98" s="642"/>
      <c r="E98" s="651">
        <f t="shared" si="2"/>
        <v>0</v>
      </c>
    </row>
    <row r="99" spans="1:5" ht="27.75" hidden="1" customHeight="1" x14ac:dyDescent="0.2">
      <c r="A99" s="640"/>
      <c r="B99" s="641"/>
      <c r="C99" s="641"/>
      <c r="D99" s="642"/>
      <c r="E99" s="651">
        <f t="shared" si="2"/>
        <v>0</v>
      </c>
    </row>
    <row r="100" spans="1:5" ht="27.75" hidden="1" customHeight="1" x14ac:dyDescent="0.2">
      <c r="A100" s="640"/>
      <c r="B100" s="641"/>
      <c r="C100" s="641"/>
      <c r="D100" s="642"/>
      <c r="E100" s="651">
        <f t="shared" si="2"/>
        <v>0</v>
      </c>
    </row>
    <row r="101" spans="1:5" ht="27.75" hidden="1" customHeight="1" x14ac:dyDescent="0.2">
      <c r="A101" s="640"/>
      <c r="B101" s="641"/>
      <c r="C101" s="641"/>
      <c r="D101" s="642"/>
      <c r="E101" s="651">
        <f t="shared" si="2"/>
        <v>0</v>
      </c>
    </row>
    <row r="102" spans="1:5" ht="27.75" hidden="1" customHeight="1" x14ac:dyDescent="0.2">
      <c r="A102" s="640"/>
      <c r="B102" s="641"/>
      <c r="C102" s="641"/>
      <c r="D102" s="642"/>
      <c r="E102" s="651">
        <f t="shared" si="2"/>
        <v>0</v>
      </c>
    </row>
    <row r="103" spans="1:5" ht="27.75" hidden="1" customHeight="1" x14ac:dyDescent="0.2">
      <c r="A103" s="640"/>
      <c r="B103" s="641"/>
      <c r="C103" s="641"/>
      <c r="D103" s="642"/>
      <c r="E103" s="651">
        <f t="shared" si="2"/>
        <v>0</v>
      </c>
    </row>
    <row r="104" spans="1:5" ht="27.75" hidden="1" customHeight="1" x14ac:dyDescent="0.2">
      <c r="A104" s="640"/>
      <c r="B104" s="641"/>
      <c r="C104" s="641"/>
      <c r="D104" s="642"/>
      <c r="E104" s="651">
        <f t="shared" si="2"/>
        <v>0</v>
      </c>
    </row>
    <row r="105" spans="1:5" ht="27.75" hidden="1" customHeight="1" x14ac:dyDescent="0.2">
      <c r="A105" s="640"/>
      <c r="B105" s="641"/>
      <c r="C105" s="641"/>
      <c r="D105" s="642"/>
      <c r="E105" s="651">
        <f t="shared" si="2"/>
        <v>0</v>
      </c>
    </row>
    <row r="106" spans="1:5" ht="27.75" hidden="1" customHeight="1" x14ac:dyDescent="0.2">
      <c r="A106" s="640"/>
      <c r="B106" s="641"/>
      <c r="C106" s="641"/>
      <c r="D106" s="642"/>
      <c r="E106" s="651">
        <f t="shared" si="2"/>
        <v>0</v>
      </c>
    </row>
    <row r="107" spans="1:5" ht="27.75" hidden="1" customHeight="1" x14ac:dyDescent="0.2">
      <c r="A107" s="640"/>
      <c r="B107" s="641"/>
      <c r="C107" s="641"/>
      <c r="D107" s="642"/>
      <c r="E107" s="651">
        <f t="shared" si="2"/>
        <v>0</v>
      </c>
    </row>
    <row r="108" spans="1:5" ht="27.75" hidden="1" customHeight="1" x14ac:dyDescent="0.2">
      <c r="A108" s="640"/>
      <c r="B108" s="641"/>
      <c r="C108" s="641"/>
      <c r="D108" s="642"/>
      <c r="E108" s="651">
        <f t="shared" si="2"/>
        <v>0</v>
      </c>
    </row>
    <row r="109" spans="1:5" ht="27.75" hidden="1" customHeight="1" x14ac:dyDescent="0.2">
      <c r="A109" s="640"/>
      <c r="B109" s="641"/>
      <c r="C109" s="641"/>
      <c r="D109" s="642"/>
      <c r="E109" s="651">
        <f t="shared" si="2"/>
        <v>0</v>
      </c>
    </row>
    <row r="110" spans="1:5" ht="27.75" hidden="1" customHeight="1" x14ac:dyDescent="0.2">
      <c r="A110" s="640"/>
      <c r="B110" s="641"/>
      <c r="C110" s="641"/>
      <c r="D110" s="642"/>
      <c r="E110" s="651">
        <f t="shared" si="2"/>
        <v>0</v>
      </c>
    </row>
    <row r="111" spans="1:5" ht="27.75" hidden="1" customHeight="1" x14ac:dyDescent="0.2">
      <c r="A111" s="640"/>
      <c r="B111" s="641"/>
      <c r="C111" s="641"/>
      <c r="D111" s="642"/>
      <c r="E111" s="651">
        <f t="shared" si="2"/>
        <v>0</v>
      </c>
    </row>
    <row r="112" spans="1:5" ht="27.75" hidden="1" customHeight="1" x14ac:dyDescent="0.2">
      <c r="A112" s="640"/>
      <c r="B112" s="641"/>
      <c r="C112" s="641"/>
      <c r="D112" s="642"/>
      <c r="E112" s="651">
        <f t="shared" si="2"/>
        <v>0</v>
      </c>
    </row>
    <row r="113" spans="1:5" ht="27.75" hidden="1" customHeight="1" x14ac:dyDescent="0.2">
      <c r="A113" s="640"/>
      <c r="B113" s="641"/>
      <c r="C113" s="641"/>
      <c r="D113" s="642"/>
      <c r="E113" s="651">
        <f t="shared" si="2"/>
        <v>0</v>
      </c>
    </row>
    <row r="114" spans="1:5" ht="27.75" hidden="1" customHeight="1" x14ac:dyDescent="0.2">
      <c r="A114" s="640"/>
      <c r="B114" s="641"/>
      <c r="C114" s="641"/>
      <c r="D114" s="642"/>
      <c r="E114" s="651">
        <f t="shared" si="2"/>
        <v>0</v>
      </c>
    </row>
    <row r="115" spans="1:5" ht="27.75" hidden="1" customHeight="1" x14ac:dyDescent="0.2">
      <c r="A115" s="640"/>
      <c r="B115" s="641"/>
      <c r="C115" s="641"/>
      <c r="D115" s="642"/>
      <c r="E115" s="651">
        <f t="shared" si="2"/>
        <v>0</v>
      </c>
    </row>
    <row r="116" spans="1:5" ht="27.75" hidden="1" customHeight="1" x14ac:dyDescent="0.2">
      <c r="A116" s="640"/>
      <c r="B116" s="641"/>
      <c r="C116" s="641"/>
      <c r="D116" s="642"/>
      <c r="E116" s="651">
        <f t="shared" si="2"/>
        <v>0</v>
      </c>
    </row>
    <row r="117" spans="1:5" ht="27.75" hidden="1" customHeight="1" x14ac:dyDescent="0.2">
      <c r="A117" s="640"/>
      <c r="B117" s="641"/>
      <c r="C117" s="641"/>
      <c r="D117" s="642"/>
      <c r="E117" s="651">
        <f t="shared" si="2"/>
        <v>0</v>
      </c>
    </row>
    <row r="118" spans="1:5" ht="27.75" hidden="1" customHeight="1" x14ac:dyDescent="0.2">
      <c r="A118" s="640"/>
      <c r="B118" s="641"/>
      <c r="C118" s="641"/>
      <c r="D118" s="642"/>
      <c r="E118" s="651">
        <f t="shared" si="2"/>
        <v>0</v>
      </c>
    </row>
    <row r="119" spans="1:5" ht="27.75" hidden="1" customHeight="1" x14ac:dyDescent="0.2">
      <c r="A119" s="640"/>
      <c r="B119" s="641"/>
      <c r="C119" s="641"/>
      <c r="D119" s="642"/>
      <c r="E119" s="651">
        <f t="shared" si="2"/>
        <v>0</v>
      </c>
    </row>
    <row r="120" spans="1:5" ht="27.75" hidden="1" customHeight="1" x14ac:dyDescent="0.2">
      <c r="A120" s="640"/>
      <c r="B120" s="641"/>
      <c r="C120" s="641"/>
      <c r="D120" s="642"/>
      <c r="E120" s="651">
        <f t="shared" si="2"/>
        <v>0</v>
      </c>
    </row>
    <row r="121" spans="1:5" ht="27.75" hidden="1" customHeight="1" x14ac:dyDescent="0.2">
      <c r="A121" s="640"/>
      <c r="B121" s="641"/>
      <c r="C121" s="641"/>
      <c r="D121" s="642"/>
      <c r="E121" s="651">
        <f t="shared" si="2"/>
        <v>0</v>
      </c>
    </row>
    <row r="122" spans="1:5" ht="27.75" hidden="1" customHeight="1" x14ac:dyDescent="0.2">
      <c r="A122" s="640"/>
      <c r="B122" s="641"/>
      <c r="C122" s="641"/>
      <c r="D122" s="642"/>
      <c r="E122" s="651">
        <f t="shared" si="2"/>
        <v>0</v>
      </c>
    </row>
    <row r="123" spans="1:5" ht="27.75" hidden="1" customHeight="1" x14ac:dyDescent="0.2">
      <c r="A123" s="640"/>
      <c r="B123" s="641"/>
      <c r="C123" s="641"/>
      <c r="D123" s="642"/>
      <c r="E123" s="651">
        <f t="shared" si="2"/>
        <v>0</v>
      </c>
    </row>
    <row r="124" spans="1:5" ht="27.75" hidden="1" customHeight="1" x14ac:dyDescent="0.2">
      <c r="A124" s="640"/>
      <c r="B124" s="641"/>
      <c r="C124" s="641"/>
      <c r="D124" s="642"/>
      <c r="E124" s="651">
        <f t="shared" si="2"/>
        <v>0</v>
      </c>
    </row>
    <row r="125" spans="1:5" ht="27.75" hidden="1" customHeight="1" x14ac:dyDescent="0.2">
      <c r="A125" s="640"/>
      <c r="B125" s="641"/>
      <c r="C125" s="641"/>
      <c r="D125" s="642"/>
      <c r="E125" s="651">
        <f t="shared" si="2"/>
        <v>0</v>
      </c>
    </row>
    <row r="126" spans="1:5" ht="27.75" hidden="1" customHeight="1" x14ac:dyDescent="0.2">
      <c r="A126" s="640"/>
      <c r="B126" s="641"/>
      <c r="C126" s="641"/>
      <c r="D126" s="642"/>
      <c r="E126" s="651">
        <f t="shared" si="2"/>
        <v>0</v>
      </c>
    </row>
    <row r="127" spans="1:5" ht="27.75" hidden="1" customHeight="1" x14ac:dyDescent="0.2">
      <c r="A127" s="640"/>
      <c r="B127" s="641"/>
      <c r="C127" s="641"/>
      <c r="D127" s="642"/>
      <c r="E127" s="651">
        <f t="shared" si="2"/>
        <v>0</v>
      </c>
    </row>
    <row r="128" spans="1:5" ht="27.75" hidden="1" customHeight="1" x14ac:dyDescent="0.2">
      <c r="A128" s="640"/>
      <c r="B128" s="641"/>
      <c r="C128" s="641"/>
      <c r="D128" s="642"/>
      <c r="E128" s="651">
        <f t="shared" si="2"/>
        <v>0</v>
      </c>
    </row>
    <row r="129" spans="1:5" ht="27.75" hidden="1" customHeight="1" x14ac:dyDescent="0.2">
      <c r="A129" s="640"/>
      <c r="B129" s="641"/>
      <c r="C129" s="641"/>
      <c r="D129" s="642"/>
      <c r="E129" s="651">
        <f t="shared" si="2"/>
        <v>0</v>
      </c>
    </row>
    <row r="130" spans="1:5" ht="27.75" hidden="1" customHeight="1" x14ac:dyDescent="0.2">
      <c r="A130" s="640"/>
      <c r="B130" s="641"/>
      <c r="C130" s="641"/>
      <c r="D130" s="642"/>
      <c r="E130" s="651">
        <f t="shared" si="2"/>
        <v>0</v>
      </c>
    </row>
    <row r="131" spans="1:5" ht="27.75" hidden="1" customHeight="1" x14ac:dyDescent="0.2">
      <c r="A131" s="640"/>
      <c r="B131" s="641"/>
      <c r="C131" s="641"/>
      <c r="D131" s="642"/>
      <c r="E131" s="651">
        <f t="shared" si="2"/>
        <v>0</v>
      </c>
    </row>
    <row r="132" spans="1:5" ht="27.75" hidden="1" customHeight="1" x14ac:dyDescent="0.2">
      <c r="A132" s="640"/>
      <c r="B132" s="641"/>
      <c r="C132" s="641"/>
      <c r="D132" s="642"/>
      <c r="E132" s="651">
        <f t="shared" si="2"/>
        <v>0</v>
      </c>
    </row>
    <row r="133" spans="1:5" ht="27.75" hidden="1" customHeight="1" x14ac:dyDescent="0.2">
      <c r="A133" s="640"/>
      <c r="B133" s="641"/>
      <c r="C133" s="641"/>
      <c r="D133" s="642"/>
      <c r="E133" s="651">
        <f t="shared" si="2"/>
        <v>0</v>
      </c>
    </row>
    <row r="134" spans="1:5" ht="27.75" hidden="1" customHeight="1" x14ac:dyDescent="0.2">
      <c r="A134" s="640"/>
      <c r="B134" s="641"/>
      <c r="C134" s="641"/>
      <c r="D134" s="642"/>
      <c r="E134" s="651">
        <f t="shared" si="2"/>
        <v>0</v>
      </c>
    </row>
    <row r="135" spans="1:5" ht="27.75" hidden="1" customHeight="1" x14ac:dyDescent="0.2">
      <c r="A135" s="640"/>
      <c r="B135" s="641"/>
      <c r="C135" s="641"/>
      <c r="D135" s="642"/>
      <c r="E135" s="651">
        <f t="shared" si="2"/>
        <v>0</v>
      </c>
    </row>
    <row r="136" spans="1:5" ht="27.75" hidden="1" customHeight="1" x14ac:dyDescent="0.2">
      <c r="A136" s="640"/>
      <c r="B136" s="641"/>
      <c r="C136" s="641"/>
      <c r="D136" s="642"/>
      <c r="E136" s="651">
        <f t="shared" si="2"/>
        <v>0</v>
      </c>
    </row>
    <row r="137" spans="1:5" ht="27.75" hidden="1" customHeight="1" x14ac:dyDescent="0.2">
      <c r="A137" s="640"/>
      <c r="B137" s="641"/>
      <c r="C137" s="641"/>
      <c r="D137" s="642"/>
      <c r="E137" s="651">
        <f t="shared" si="2"/>
        <v>0</v>
      </c>
    </row>
    <row r="138" spans="1:5" ht="27.75" hidden="1" customHeight="1" x14ac:dyDescent="0.2">
      <c r="A138" s="640"/>
      <c r="B138" s="641"/>
      <c r="C138" s="641"/>
      <c r="D138" s="642"/>
      <c r="E138" s="651">
        <f t="shared" si="2"/>
        <v>0</v>
      </c>
    </row>
    <row r="139" spans="1:5" ht="27.75" hidden="1" customHeight="1" x14ac:dyDescent="0.2">
      <c r="A139" s="640"/>
      <c r="B139" s="641"/>
      <c r="C139" s="641"/>
      <c r="D139" s="642"/>
      <c r="E139" s="651">
        <f t="shared" si="2"/>
        <v>0</v>
      </c>
    </row>
    <row r="140" spans="1:5" ht="27.75" hidden="1" customHeight="1" x14ac:dyDescent="0.2">
      <c r="A140" s="640"/>
      <c r="B140" s="641"/>
      <c r="C140" s="641"/>
      <c r="D140" s="642"/>
      <c r="E140" s="651">
        <f t="shared" si="2"/>
        <v>0</v>
      </c>
    </row>
    <row r="141" spans="1:5" ht="27.75" hidden="1" customHeight="1" x14ac:dyDescent="0.2">
      <c r="A141" s="640"/>
      <c r="B141" s="641"/>
      <c r="C141" s="641"/>
      <c r="D141" s="642"/>
      <c r="E141" s="651">
        <f t="shared" si="2"/>
        <v>0</v>
      </c>
    </row>
    <row r="142" spans="1:5" ht="27.75" hidden="1" customHeight="1" x14ac:dyDescent="0.2">
      <c r="A142" s="640"/>
      <c r="B142" s="641"/>
      <c r="C142" s="641"/>
      <c r="D142" s="642"/>
      <c r="E142" s="651">
        <f t="shared" ref="E142:E183" si="3">C142*D142</f>
        <v>0</v>
      </c>
    </row>
    <row r="143" spans="1:5" ht="27.75" hidden="1" customHeight="1" x14ac:dyDescent="0.2">
      <c r="A143" s="640"/>
      <c r="B143" s="641"/>
      <c r="C143" s="641"/>
      <c r="D143" s="642"/>
      <c r="E143" s="651">
        <f t="shared" si="3"/>
        <v>0</v>
      </c>
    </row>
    <row r="144" spans="1:5" ht="27.75" hidden="1" customHeight="1" x14ac:dyDescent="0.2">
      <c r="A144" s="640"/>
      <c r="B144" s="641"/>
      <c r="C144" s="641"/>
      <c r="D144" s="642"/>
      <c r="E144" s="651">
        <f t="shared" si="3"/>
        <v>0</v>
      </c>
    </row>
    <row r="145" spans="1:5" ht="27.75" hidden="1" customHeight="1" x14ac:dyDescent="0.2">
      <c r="A145" s="640"/>
      <c r="B145" s="641"/>
      <c r="C145" s="641"/>
      <c r="D145" s="642"/>
      <c r="E145" s="651">
        <f t="shared" si="3"/>
        <v>0</v>
      </c>
    </row>
    <row r="146" spans="1:5" ht="27.75" hidden="1" customHeight="1" x14ac:dyDescent="0.2">
      <c r="A146" s="640"/>
      <c r="B146" s="641"/>
      <c r="C146" s="641"/>
      <c r="D146" s="642"/>
      <c r="E146" s="651">
        <f t="shared" si="3"/>
        <v>0</v>
      </c>
    </row>
    <row r="147" spans="1:5" ht="27.75" hidden="1" customHeight="1" x14ac:dyDescent="0.2">
      <c r="A147" s="640"/>
      <c r="B147" s="641"/>
      <c r="C147" s="641"/>
      <c r="D147" s="642"/>
      <c r="E147" s="651">
        <f t="shared" si="3"/>
        <v>0</v>
      </c>
    </row>
    <row r="148" spans="1:5" ht="27.75" hidden="1" customHeight="1" x14ac:dyDescent="0.2">
      <c r="A148" s="640"/>
      <c r="B148" s="641"/>
      <c r="C148" s="641"/>
      <c r="D148" s="642"/>
      <c r="E148" s="651">
        <f t="shared" si="3"/>
        <v>0</v>
      </c>
    </row>
    <row r="149" spans="1:5" ht="27.75" hidden="1" customHeight="1" x14ac:dyDescent="0.2">
      <c r="A149" s="640"/>
      <c r="B149" s="641"/>
      <c r="C149" s="641"/>
      <c r="D149" s="642"/>
      <c r="E149" s="651">
        <f t="shared" si="3"/>
        <v>0</v>
      </c>
    </row>
    <row r="150" spans="1:5" ht="27.75" hidden="1" customHeight="1" x14ac:dyDescent="0.2">
      <c r="A150" s="640"/>
      <c r="B150" s="641"/>
      <c r="C150" s="641"/>
      <c r="D150" s="642"/>
      <c r="E150" s="651">
        <f t="shared" si="3"/>
        <v>0</v>
      </c>
    </row>
    <row r="151" spans="1:5" ht="27.75" hidden="1" customHeight="1" x14ac:dyDescent="0.2">
      <c r="A151" s="640"/>
      <c r="B151" s="641"/>
      <c r="C151" s="641"/>
      <c r="D151" s="642"/>
      <c r="E151" s="651">
        <f t="shared" si="3"/>
        <v>0</v>
      </c>
    </row>
    <row r="152" spans="1:5" ht="27.75" hidden="1" customHeight="1" x14ac:dyDescent="0.2">
      <c r="A152" s="640"/>
      <c r="B152" s="641"/>
      <c r="C152" s="641"/>
      <c r="D152" s="642"/>
      <c r="E152" s="651">
        <f t="shared" si="3"/>
        <v>0</v>
      </c>
    </row>
    <row r="153" spans="1:5" ht="27.75" hidden="1" customHeight="1" x14ac:dyDescent="0.2">
      <c r="A153" s="640"/>
      <c r="B153" s="641"/>
      <c r="C153" s="641"/>
      <c r="D153" s="642"/>
      <c r="E153" s="651">
        <f t="shared" si="3"/>
        <v>0</v>
      </c>
    </row>
    <row r="154" spans="1:5" ht="27.75" hidden="1" customHeight="1" x14ac:dyDescent="0.2">
      <c r="A154" s="640"/>
      <c r="B154" s="641"/>
      <c r="C154" s="641"/>
      <c r="D154" s="642"/>
      <c r="E154" s="651">
        <f t="shared" si="3"/>
        <v>0</v>
      </c>
    </row>
    <row r="155" spans="1:5" ht="27.75" hidden="1" customHeight="1" x14ac:dyDescent="0.2">
      <c r="A155" s="640"/>
      <c r="B155" s="641"/>
      <c r="C155" s="641"/>
      <c r="D155" s="642"/>
      <c r="E155" s="651">
        <f t="shared" si="3"/>
        <v>0</v>
      </c>
    </row>
    <row r="156" spans="1:5" ht="27.75" hidden="1" customHeight="1" x14ac:dyDescent="0.2">
      <c r="A156" s="640"/>
      <c r="B156" s="641"/>
      <c r="C156" s="641"/>
      <c r="D156" s="642"/>
      <c r="E156" s="651">
        <f t="shared" si="3"/>
        <v>0</v>
      </c>
    </row>
    <row r="157" spans="1:5" ht="27.75" hidden="1" customHeight="1" x14ac:dyDescent="0.2">
      <c r="A157" s="640"/>
      <c r="B157" s="641"/>
      <c r="C157" s="641"/>
      <c r="D157" s="642"/>
      <c r="E157" s="651">
        <f t="shared" si="3"/>
        <v>0</v>
      </c>
    </row>
    <row r="158" spans="1:5" ht="27.75" hidden="1" customHeight="1" x14ac:dyDescent="0.2">
      <c r="A158" s="640"/>
      <c r="B158" s="641"/>
      <c r="C158" s="641"/>
      <c r="D158" s="642"/>
      <c r="E158" s="651">
        <f t="shared" si="3"/>
        <v>0</v>
      </c>
    </row>
    <row r="159" spans="1:5" ht="27.75" hidden="1" customHeight="1" x14ac:dyDescent="0.2">
      <c r="A159" s="640"/>
      <c r="B159" s="641"/>
      <c r="C159" s="641"/>
      <c r="D159" s="642"/>
      <c r="E159" s="651">
        <f t="shared" si="3"/>
        <v>0</v>
      </c>
    </row>
    <row r="160" spans="1:5" ht="27.75" hidden="1" customHeight="1" x14ac:dyDescent="0.2">
      <c r="A160" s="640"/>
      <c r="B160" s="641"/>
      <c r="C160" s="641"/>
      <c r="D160" s="642"/>
      <c r="E160" s="651">
        <f t="shared" si="3"/>
        <v>0</v>
      </c>
    </row>
    <row r="161" spans="1:5" ht="27.75" hidden="1" customHeight="1" x14ac:dyDescent="0.2">
      <c r="A161" s="640"/>
      <c r="B161" s="641"/>
      <c r="C161" s="641"/>
      <c r="D161" s="642"/>
      <c r="E161" s="651">
        <f t="shared" si="3"/>
        <v>0</v>
      </c>
    </row>
    <row r="162" spans="1:5" ht="27.75" hidden="1" customHeight="1" x14ac:dyDescent="0.2">
      <c r="A162" s="640"/>
      <c r="B162" s="641"/>
      <c r="C162" s="641"/>
      <c r="D162" s="642"/>
      <c r="E162" s="651">
        <f t="shared" si="3"/>
        <v>0</v>
      </c>
    </row>
    <row r="163" spans="1:5" ht="27.75" hidden="1" customHeight="1" x14ac:dyDescent="0.2">
      <c r="A163" s="640"/>
      <c r="B163" s="641"/>
      <c r="C163" s="641"/>
      <c r="D163" s="642"/>
      <c r="E163" s="651">
        <f t="shared" si="3"/>
        <v>0</v>
      </c>
    </row>
    <row r="164" spans="1:5" ht="27.75" hidden="1" customHeight="1" x14ac:dyDescent="0.2">
      <c r="A164" s="640"/>
      <c r="B164" s="641"/>
      <c r="C164" s="641"/>
      <c r="D164" s="642"/>
      <c r="E164" s="651">
        <f t="shared" si="3"/>
        <v>0</v>
      </c>
    </row>
    <row r="165" spans="1:5" ht="27.75" hidden="1" customHeight="1" x14ac:dyDescent="0.2">
      <c r="A165" s="640"/>
      <c r="B165" s="641"/>
      <c r="C165" s="641"/>
      <c r="D165" s="642"/>
      <c r="E165" s="651">
        <f t="shared" si="3"/>
        <v>0</v>
      </c>
    </row>
    <row r="166" spans="1:5" ht="27.75" hidden="1" customHeight="1" x14ac:dyDescent="0.2">
      <c r="A166" s="640"/>
      <c r="B166" s="641"/>
      <c r="C166" s="641"/>
      <c r="D166" s="642"/>
      <c r="E166" s="651">
        <f t="shared" si="3"/>
        <v>0</v>
      </c>
    </row>
    <row r="167" spans="1:5" ht="27.75" hidden="1" customHeight="1" x14ac:dyDescent="0.2">
      <c r="A167" s="640"/>
      <c r="B167" s="641"/>
      <c r="C167" s="641"/>
      <c r="D167" s="642"/>
      <c r="E167" s="651">
        <f t="shared" si="3"/>
        <v>0</v>
      </c>
    </row>
    <row r="168" spans="1:5" ht="27.75" hidden="1" customHeight="1" x14ac:dyDescent="0.2">
      <c r="A168" s="640"/>
      <c r="B168" s="641"/>
      <c r="C168" s="641"/>
      <c r="D168" s="642"/>
      <c r="E168" s="651">
        <f t="shared" si="3"/>
        <v>0</v>
      </c>
    </row>
    <row r="169" spans="1:5" ht="27.75" hidden="1" customHeight="1" x14ac:dyDescent="0.2">
      <c r="A169" s="640"/>
      <c r="B169" s="641"/>
      <c r="C169" s="641"/>
      <c r="D169" s="642"/>
      <c r="E169" s="651">
        <f t="shared" si="3"/>
        <v>0</v>
      </c>
    </row>
    <row r="170" spans="1:5" ht="27.75" hidden="1" customHeight="1" x14ac:dyDescent="0.2">
      <c r="A170" s="640"/>
      <c r="B170" s="641"/>
      <c r="C170" s="641"/>
      <c r="D170" s="642"/>
      <c r="E170" s="651">
        <f t="shared" si="3"/>
        <v>0</v>
      </c>
    </row>
    <row r="171" spans="1:5" ht="27.75" hidden="1" customHeight="1" x14ac:dyDescent="0.2">
      <c r="A171" s="640"/>
      <c r="B171" s="641"/>
      <c r="C171" s="641"/>
      <c r="D171" s="642"/>
      <c r="E171" s="651">
        <f t="shared" si="3"/>
        <v>0</v>
      </c>
    </row>
    <row r="172" spans="1:5" ht="27.75" hidden="1" customHeight="1" x14ac:dyDescent="0.2">
      <c r="A172" s="640"/>
      <c r="B172" s="641"/>
      <c r="C172" s="641"/>
      <c r="D172" s="642"/>
      <c r="E172" s="651">
        <f t="shared" si="3"/>
        <v>0</v>
      </c>
    </row>
    <row r="173" spans="1:5" ht="27.75" hidden="1" customHeight="1" x14ac:dyDescent="0.2">
      <c r="A173" s="640"/>
      <c r="B173" s="641"/>
      <c r="C173" s="641"/>
      <c r="D173" s="642"/>
      <c r="E173" s="651">
        <f t="shared" si="3"/>
        <v>0</v>
      </c>
    </row>
    <row r="174" spans="1:5" ht="27.75" hidden="1" customHeight="1" x14ac:dyDescent="0.2">
      <c r="A174" s="640"/>
      <c r="B174" s="641"/>
      <c r="C174" s="641"/>
      <c r="D174" s="642"/>
      <c r="E174" s="651">
        <f t="shared" si="3"/>
        <v>0</v>
      </c>
    </row>
    <row r="175" spans="1:5" ht="27.75" hidden="1" customHeight="1" x14ac:dyDescent="0.2">
      <c r="A175" s="640"/>
      <c r="B175" s="641"/>
      <c r="C175" s="641"/>
      <c r="D175" s="642"/>
      <c r="E175" s="651">
        <f t="shared" si="3"/>
        <v>0</v>
      </c>
    </row>
    <row r="176" spans="1:5" ht="27.75" hidden="1" customHeight="1" x14ac:dyDescent="0.2">
      <c r="A176" s="640"/>
      <c r="B176" s="641"/>
      <c r="C176" s="641"/>
      <c r="D176" s="642"/>
      <c r="E176" s="651">
        <f t="shared" si="3"/>
        <v>0</v>
      </c>
    </row>
    <row r="177" spans="1:6" ht="27.75" hidden="1" customHeight="1" x14ac:dyDescent="0.2">
      <c r="A177" s="640"/>
      <c r="B177" s="641"/>
      <c r="C177" s="641"/>
      <c r="D177" s="642"/>
      <c r="E177" s="651">
        <f t="shared" si="3"/>
        <v>0</v>
      </c>
    </row>
    <row r="178" spans="1:6" ht="27.75" hidden="1" customHeight="1" x14ac:dyDescent="0.2">
      <c r="A178" s="640"/>
      <c r="B178" s="641"/>
      <c r="C178" s="641"/>
      <c r="D178" s="642"/>
      <c r="E178" s="651">
        <f t="shared" si="3"/>
        <v>0</v>
      </c>
    </row>
    <row r="179" spans="1:6" ht="27.75" hidden="1" customHeight="1" x14ac:dyDescent="0.2">
      <c r="A179" s="640"/>
      <c r="B179" s="641"/>
      <c r="C179" s="641"/>
      <c r="D179" s="642"/>
      <c r="E179" s="651">
        <f t="shared" si="3"/>
        <v>0</v>
      </c>
    </row>
    <row r="180" spans="1:6" ht="27.75" hidden="1" customHeight="1" x14ac:dyDescent="0.2">
      <c r="A180" s="640"/>
      <c r="B180" s="641"/>
      <c r="C180" s="641"/>
      <c r="D180" s="642"/>
      <c r="E180" s="651">
        <f t="shared" si="3"/>
        <v>0</v>
      </c>
    </row>
    <row r="181" spans="1:6" ht="27.75" hidden="1" customHeight="1" x14ac:dyDescent="0.2">
      <c r="A181" s="640"/>
      <c r="B181" s="641"/>
      <c r="C181" s="641"/>
      <c r="D181" s="642"/>
      <c r="E181" s="651">
        <f t="shared" si="3"/>
        <v>0</v>
      </c>
    </row>
    <row r="182" spans="1:6" ht="27.75" hidden="1" customHeight="1" x14ac:dyDescent="0.2">
      <c r="A182" s="640"/>
      <c r="B182" s="641"/>
      <c r="C182" s="641"/>
      <c r="D182" s="642"/>
      <c r="E182" s="651">
        <f t="shared" si="3"/>
        <v>0</v>
      </c>
    </row>
    <row r="183" spans="1:6" ht="27.75" hidden="1" customHeight="1" x14ac:dyDescent="0.2">
      <c r="A183" s="640"/>
      <c r="B183" s="641"/>
      <c r="C183" s="641"/>
      <c r="D183" s="642"/>
      <c r="E183" s="651">
        <f t="shared" si="3"/>
        <v>0</v>
      </c>
    </row>
    <row r="184" spans="1:6" ht="27.75" hidden="1" customHeight="1" x14ac:dyDescent="0.2">
      <c r="A184" s="640"/>
      <c r="B184" s="641"/>
      <c r="C184" s="641"/>
      <c r="D184" s="642"/>
      <c r="E184" s="651">
        <f t="shared" ref="E184" si="4">C184*D184</f>
        <v>0</v>
      </c>
    </row>
    <row r="185" spans="1:6" ht="27.75" hidden="1" customHeight="1" thickBot="1" x14ac:dyDescent="0.25">
      <c r="A185" s="643"/>
      <c r="B185" s="644"/>
      <c r="C185" s="644"/>
      <c r="D185" s="645"/>
      <c r="E185" s="646">
        <f t="shared" ref="E185" si="5">C185*D185</f>
        <v>0</v>
      </c>
    </row>
    <row r="186" spans="1:6" ht="18" customHeight="1" x14ac:dyDescent="0.2">
      <c r="A186" s="968" t="s">
        <v>433</v>
      </c>
      <c r="B186" s="969"/>
      <c r="C186" s="969"/>
      <c r="D186" s="969"/>
      <c r="E186" s="647">
        <f>SUM(E13:E185)</f>
        <v>1154969464.5746031</v>
      </c>
    </row>
    <row r="187" spans="1:6" ht="18" customHeight="1" x14ac:dyDescent="0.2">
      <c r="A187" s="964" t="s">
        <v>385</v>
      </c>
      <c r="B187" s="965"/>
      <c r="C187" s="966"/>
      <c r="D187" s="648">
        <v>0.19</v>
      </c>
      <c r="E187" s="649">
        <f>(+D13+D14+D17+D18+D19+D20+D21)*0.19</f>
        <v>135030535.42539689</v>
      </c>
      <c r="F187" s="378" t="s">
        <v>393</v>
      </c>
    </row>
    <row r="188" spans="1:6" ht="18" customHeight="1" thickBot="1" x14ac:dyDescent="0.25">
      <c r="A188" s="962" t="s">
        <v>434</v>
      </c>
      <c r="B188" s="963"/>
      <c r="C188" s="963"/>
      <c r="D188" s="963"/>
      <c r="E188" s="650">
        <f>SUM(E186:E187)</f>
        <v>1290000000</v>
      </c>
    </row>
    <row r="189" spans="1:6" ht="18" customHeight="1" x14ac:dyDescent="0.2">
      <c r="A189" s="967"/>
      <c r="B189" s="967"/>
      <c r="C189" s="967"/>
      <c r="D189" s="967"/>
      <c r="E189" s="967"/>
    </row>
    <row r="190" spans="1:6" ht="20.100000000000001" customHeight="1" x14ac:dyDescent="0.2">
      <c r="E190" s="824"/>
    </row>
  </sheetData>
  <sheetProtection formatCells="0" formatColumns="0" formatRows="0" insertColumns="0" insertRows="0" insertHyperlinks="0" deleteColumns="0" deleteRows="0" sort="0" autoFilter="0" pivotTables="0"/>
  <mergeCells count="14">
    <mergeCell ref="A188:D188"/>
    <mergeCell ref="A187:C187"/>
    <mergeCell ref="A189:E189"/>
    <mergeCell ref="A186:D186"/>
    <mergeCell ref="B8:E8"/>
    <mergeCell ref="B9:E9"/>
    <mergeCell ref="B10:E10"/>
    <mergeCell ref="A7:E7"/>
    <mergeCell ref="B1:E1"/>
    <mergeCell ref="B2:E2"/>
    <mergeCell ref="B3:C3"/>
    <mergeCell ref="D3:E3"/>
    <mergeCell ref="B5:E5"/>
    <mergeCell ref="B6:E6"/>
  </mergeCells>
  <hyperlinks>
    <hyperlink ref="F1" location="ins" display="Instructivo" xr:uid="{00000000-0004-0000-0600-000000000000}"/>
    <hyperlink ref="F187" location="IVA" display="Info IVA" xr:uid="{00000000-0004-0000-0600-000001000000}"/>
  </hyperlinks>
  <printOptions horizontalCentered="1"/>
  <pageMargins left="0" right="0" top="0" bottom="0" header="0" footer="0"/>
  <pageSetup scale="83" fitToHeight="0" orientation="landscape" verticalDpi="4294967295"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695E5-8FCF-44E3-B689-3F591D3DABB0}">
  <sheetPr>
    <tabColor rgb="FFFFFF00"/>
  </sheetPr>
  <dimension ref="A1:O39"/>
  <sheetViews>
    <sheetView topLeftCell="A23" zoomScale="90" zoomScaleNormal="90" workbookViewId="0">
      <selection activeCell="G15" sqref="G15:G28"/>
    </sheetView>
  </sheetViews>
  <sheetFormatPr baseColWidth="10" defaultColWidth="59.1640625" defaultRowHeight="15" x14ac:dyDescent="0.2"/>
  <cols>
    <col min="1" max="1" width="8.1640625" style="817" customWidth="1"/>
    <col min="2" max="2" width="19.33203125" style="818" customWidth="1"/>
    <col min="3" max="4" width="15.6640625" style="818" customWidth="1"/>
    <col min="5" max="5" width="47.33203125" style="818" customWidth="1"/>
    <col min="6" max="6" width="15.83203125" style="818" customWidth="1"/>
    <col min="7" max="8" width="32.83203125" style="818" customWidth="1"/>
    <col min="9" max="9" width="16.33203125" style="818" customWidth="1"/>
    <col min="10" max="10" width="30" style="818" customWidth="1"/>
    <col min="11" max="11" width="16" style="791" customWidth="1"/>
    <col min="12" max="246" width="59.1640625" style="791"/>
    <col min="247" max="247" width="19.33203125" style="791" customWidth="1"/>
    <col min="248" max="248" width="15.5" style="791" customWidth="1"/>
    <col min="249" max="249" width="12" style="791" customWidth="1"/>
    <col min="250" max="250" width="43" style="791" customWidth="1"/>
    <col min="251" max="253" width="0" style="791" hidden="1" customWidth="1"/>
    <col min="254" max="254" width="17.6640625" style="791" customWidth="1"/>
    <col min="255" max="255" width="15.5" style="791" customWidth="1"/>
    <col min="256" max="256" width="17.6640625" style="791" customWidth="1"/>
    <col min="257" max="502" width="59.1640625" style="791"/>
    <col min="503" max="503" width="19.33203125" style="791" customWidth="1"/>
    <col min="504" max="504" width="15.5" style="791" customWidth="1"/>
    <col min="505" max="505" width="12" style="791" customWidth="1"/>
    <col min="506" max="506" width="43" style="791" customWidth="1"/>
    <col min="507" max="509" width="0" style="791" hidden="1" customWidth="1"/>
    <col min="510" max="510" width="17.6640625" style="791" customWidth="1"/>
    <col min="511" max="511" width="15.5" style="791" customWidth="1"/>
    <col min="512" max="512" width="17.6640625" style="791" customWidth="1"/>
    <col min="513" max="758" width="59.1640625" style="791"/>
    <col min="759" max="759" width="19.33203125" style="791" customWidth="1"/>
    <col min="760" max="760" width="15.5" style="791" customWidth="1"/>
    <col min="761" max="761" width="12" style="791" customWidth="1"/>
    <col min="762" max="762" width="43" style="791" customWidth="1"/>
    <col min="763" max="765" width="0" style="791" hidden="1" customWidth="1"/>
    <col min="766" max="766" width="17.6640625" style="791" customWidth="1"/>
    <col min="767" max="767" width="15.5" style="791" customWidth="1"/>
    <col min="768" max="768" width="17.6640625" style="791" customWidth="1"/>
    <col min="769" max="1014" width="59.1640625" style="791"/>
    <col min="1015" max="1015" width="19.33203125" style="791" customWidth="1"/>
    <col min="1016" max="1016" width="15.5" style="791" customWidth="1"/>
    <col min="1017" max="1017" width="12" style="791" customWidth="1"/>
    <col min="1018" max="1018" width="43" style="791" customWidth="1"/>
    <col min="1019" max="1021" width="0" style="791" hidden="1" customWidth="1"/>
    <col min="1022" max="1022" width="17.6640625" style="791" customWidth="1"/>
    <col min="1023" max="1023" width="15.5" style="791" customWidth="1"/>
    <col min="1024" max="1024" width="17.6640625" style="791" customWidth="1"/>
    <col min="1025" max="1270" width="59.1640625" style="791"/>
    <col min="1271" max="1271" width="19.33203125" style="791" customWidth="1"/>
    <col min="1272" max="1272" width="15.5" style="791" customWidth="1"/>
    <col min="1273" max="1273" width="12" style="791" customWidth="1"/>
    <col min="1274" max="1274" width="43" style="791" customWidth="1"/>
    <col min="1275" max="1277" width="0" style="791" hidden="1" customWidth="1"/>
    <col min="1278" max="1278" width="17.6640625" style="791" customWidth="1"/>
    <col min="1279" max="1279" width="15.5" style="791" customWidth="1"/>
    <col min="1280" max="1280" width="17.6640625" style="791" customWidth="1"/>
    <col min="1281" max="1526" width="59.1640625" style="791"/>
    <col min="1527" max="1527" width="19.33203125" style="791" customWidth="1"/>
    <col min="1528" max="1528" width="15.5" style="791" customWidth="1"/>
    <col min="1529" max="1529" width="12" style="791" customWidth="1"/>
    <col min="1530" max="1530" width="43" style="791" customWidth="1"/>
    <col min="1531" max="1533" width="0" style="791" hidden="1" customWidth="1"/>
    <col min="1534" max="1534" width="17.6640625" style="791" customWidth="1"/>
    <col min="1535" max="1535" width="15.5" style="791" customWidth="1"/>
    <col min="1536" max="1536" width="17.6640625" style="791" customWidth="1"/>
    <col min="1537" max="1782" width="59.1640625" style="791"/>
    <col min="1783" max="1783" width="19.33203125" style="791" customWidth="1"/>
    <col min="1784" max="1784" width="15.5" style="791" customWidth="1"/>
    <col min="1785" max="1785" width="12" style="791" customWidth="1"/>
    <col min="1786" max="1786" width="43" style="791" customWidth="1"/>
    <col min="1787" max="1789" width="0" style="791" hidden="1" customWidth="1"/>
    <col min="1790" max="1790" width="17.6640625" style="791" customWidth="1"/>
    <col min="1791" max="1791" width="15.5" style="791" customWidth="1"/>
    <col min="1792" max="1792" width="17.6640625" style="791" customWidth="1"/>
    <col min="1793" max="2038" width="59.1640625" style="791"/>
    <col min="2039" max="2039" width="19.33203125" style="791" customWidth="1"/>
    <col min="2040" max="2040" width="15.5" style="791" customWidth="1"/>
    <col min="2041" max="2041" width="12" style="791" customWidth="1"/>
    <col min="2042" max="2042" width="43" style="791" customWidth="1"/>
    <col min="2043" max="2045" width="0" style="791" hidden="1" customWidth="1"/>
    <col min="2046" max="2046" width="17.6640625" style="791" customWidth="1"/>
    <col min="2047" max="2047" width="15.5" style="791" customWidth="1"/>
    <col min="2048" max="2048" width="17.6640625" style="791" customWidth="1"/>
    <col min="2049" max="2294" width="59.1640625" style="791"/>
    <col min="2295" max="2295" width="19.33203125" style="791" customWidth="1"/>
    <col min="2296" max="2296" width="15.5" style="791" customWidth="1"/>
    <col min="2297" max="2297" width="12" style="791" customWidth="1"/>
    <col min="2298" max="2298" width="43" style="791" customWidth="1"/>
    <col min="2299" max="2301" width="0" style="791" hidden="1" customWidth="1"/>
    <col min="2302" max="2302" width="17.6640625" style="791" customWidth="1"/>
    <col min="2303" max="2303" width="15.5" style="791" customWidth="1"/>
    <col min="2304" max="2304" width="17.6640625" style="791" customWidth="1"/>
    <col min="2305" max="2550" width="59.1640625" style="791"/>
    <col min="2551" max="2551" width="19.33203125" style="791" customWidth="1"/>
    <col min="2552" max="2552" width="15.5" style="791" customWidth="1"/>
    <col min="2553" max="2553" width="12" style="791" customWidth="1"/>
    <col min="2554" max="2554" width="43" style="791" customWidth="1"/>
    <col min="2555" max="2557" width="0" style="791" hidden="1" customWidth="1"/>
    <col min="2558" max="2558" width="17.6640625" style="791" customWidth="1"/>
    <col min="2559" max="2559" width="15.5" style="791" customWidth="1"/>
    <col min="2560" max="2560" width="17.6640625" style="791" customWidth="1"/>
    <col min="2561" max="2806" width="59.1640625" style="791"/>
    <col min="2807" max="2807" width="19.33203125" style="791" customWidth="1"/>
    <col min="2808" max="2808" width="15.5" style="791" customWidth="1"/>
    <col min="2809" max="2809" width="12" style="791" customWidth="1"/>
    <col min="2810" max="2810" width="43" style="791" customWidth="1"/>
    <col min="2811" max="2813" width="0" style="791" hidden="1" customWidth="1"/>
    <col min="2814" max="2814" width="17.6640625" style="791" customWidth="1"/>
    <col min="2815" max="2815" width="15.5" style="791" customWidth="1"/>
    <col min="2816" max="2816" width="17.6640625" style="791" customWidth="1"/>
    <col min="2817" max="3062" width="59.1640625" style="791"/>
    <col min="3063" max="3063" width="19.33203125" style="791" customWidth="1"/>
    <col min="3064" max="3064" width="15.5" style="791" customWidth="1"/>
    <col min="3065" max="3065" width="12" style="791" customWidth="1"/>
    <col min="3066" max="3066" width="43" style="791" customWidth="1"/>
    <col min="3067" max="3069" width="0" style="791" hidden="1" customWidth="1"/>
    <col min="3070" max="3070" width="17.6640625" style="791" customWidth="1"/>
    <col min="3071" max="3071" width="15.5" style="791" customWidth="1"/>
    <col min="3072" max="3072" width="17.6640625" style="791" customWidth="1"/>
    <col min="3073" max="3318" width="59.1640625" style="791"/>
    <col min="3319" max="3319" width="19.33203125" style="791" customWidth="1"/>
    <col min="3320" max="3320" width="15.5" style="791" customWidth="1"/>
    <col min="3321" max="3321" width="12" style="791" customWidth="1"/>
    <col min="3322" max="3322" width="43" style="791" customWidth="1"/>
    <col min="3323" max="3325" width="0" style="791" hidden="1" customWidth="1"/>
    <col min="3326" max="3326" width="17.6640625" style="791" customWidth="1"/>
    <col min="3327" max="3327" width="15.5" style="791" customWidth="1"/>
    <col min="3328" max="3328" width="17.6640625" style="791" customWidth="1"/>
    <col min="3329" max="3574" width="59.1640625" style="791"/>
    <col min="3575" max="3575" width="19.33203125" style="791" customWidth="1"/>
    <col min="3576" max="3576" width="15.5" style="791" customWidth="1"/>
    <col min="3577" max="3577" width="12" style="791" customWidth="1"/>
    <col min="3578" max="3578" width="43" style="791" customWidth="1"/>
    <col min="3579" max="3581" width="0" style="791" hidden="1" customWidth="1"/>
    <col min="3582" max="3582" width="17.6640625" style="791" customWidth="1"/>
    <col min="3583" max="3583" width="15.5" style="791" customWidth="1"/>
    <col min="3584" max="3584" width="17.6640625" style="791" customWidth="1"/>
    <col min="3585" max="3830" width="59.1640625" style="791"/>
    <col min="3831" max="3831" width="19.33203125" style="791" customWidth="1"/>
    <col min="3832" max="3832" width="15.5" style="791" customWidth="1"/>
    <col min="3833" max="3833" width="12" style="791" customWidth="1"/>
    <col min="3834" max="3834" width="43" style="791" customWidth="1"/>
    <col min="3835" max="3837" width="0" style="791" hidden="1" customWidth="1"/>
    <col min="3838" max="3838" width="17.6640625" style="791" customWidth="1"/>
    <col min="3839" max="3839" width="15.5" style="791" customWidth="1"/>
    <col min="3840" max="3840" width="17.6640625" style="791" customWidth="1"/>
    <col min="3841" max="4086" width="59.1640625" style="791"/>
    <col min="4087" max="4087" width="19.33203125" style="791" customWidth="1"/>
    <col min="4088" max="4088" width="15.5" style="791" customWidth="1"/>
    <col min="4089" max="4089" width="12" style="791" customWidth="1"/>
    <col min="4090" max="4090" width="43" style="791" customWidth="1"/>
    <col min="4091" max="4093" width="0" style="791" hidden="1" customWidth="1"/>
    <col min="4094" max="4094" width="17.6640625" style="791" customWidth="1"/>
    <col min="4095" max="4095" width="15.5" style="791" customWidth="1"/>
    <col min="4096" max="4096" width="17.6640625" style="791" customWidth="1"/>
    <col min="4097" max="4342" width="59.1640625" style="791"/>
    <col min="4343" max="4343" width="19.33203125" style="791" customWidth="1"/>
    <col min="4344" max="4344" width="15.5" style="791" customWidth="1"/>
    <col min="4345" max="4345" width="12" style="791" customWidth="1"/>
    <col min="4346" max="4346" width="43" style="791" customWidth="1"/>
    <col min="4347" max="4349" width="0" style="791" hidden="1" customWidth="1"/>
    <col min="4350" max="4350" width="17.6640625" style="791" customWidth="1"/>
    <col min="4351" max="4351" width="15.5" style="791" customWidth="1"/>
    <col min="4352" max="4352" width="17.6640625" style="791" customWidth="1"/>
    <col min="4353" max="4598" width="59.1640625" style="791"/>
    <col min="4599" max="4599" width="19.33203125" style="791" customWidth="1"/>
    <col min="4600" max="4600" width="15.5" style="791" customWidth="1"/>
    <col min="4601" max="4601" width="12" style="791" customWidth="1"/>
    <col min="4602" max="4602" width="43" style="791" customWidth="1"/>
    <col min="4603" max="4605" width="0" style="791" hidden="1" customWidth="1"/>
    <col min="4606" max="4606" width="17.6640625" style="791" customWidth="1"/>
    <col min="4607" max="4607" width="15.5" style="791" customWidth="1"/>
    <col min="4608" max="4608" width="17.6640625" style="791" customWidth="1"/>
    <col min="4609" max="4854" width="59.1640625" style="791"/>
    <col min="4855" max="4855" width="19.33203125" style="791" customWidth="1"/>
    <col min="4856" max="4856" width="15.5" style="791" customWidth="1"/>
    <col min="4857" max="4857" width="12" style="791" customWidth="1"/>
    <col min="4858" max="4858" width="43" style="791" customWidth="1"/>
    <col min="4859" max="4861" width="0" style="791" hidden="1" customWidth="1"/>
    <col min="4862" max="4862" width="17.6640625" style="791" customWidth="1"/>
    <col min="4863" max="4863" width="15.5" style="791" customWidth="1"/>
    <col min="4864" max="4864" width="17.6640625" style="791" customWidth="1"/>
    <col min="4865" max="5110" width="59.1640625" style="791"/>
    <col min="5111" max="5111" width="19.33203125" style="791" customWidth="1"/>
    <col min="5112" max="5112" width="15.5" style="791" customWidth="1"/>
    <col min="5113" max="5113" width="12" style="791" customWidth="1"/>
    <col min="5114" max="5114" width="43" style="791" customWidth="1"/>
    <col min="5115" max="5117" width="0" style="791" hidden="1" customWidth="1"/>
    <col min="5118" max="5118" width="17.6640625" style="791" customWidth="1"/>
    <col min="5119" max="5119" width="15.5" style="791" customWidth="1"/>
    <col min="5120" max="5120" width="17.6640625" style="791" customWidth="1"/>
    <col min="5121" max="5366" width="59.1640625" style="791"/>
    <col min="5367" max="5367" width="19.33203125" style="791" customWidth="1"/>
    <col min="5368" max="5368" width="15.5" style="791" customWidth="1"/>
    <col min="5369" max="5369" width="12" style="791" customWidth="1"/>
    <col min="5370" max="5370" width="43" style="791" customWidth="1"/>
    <col min="5371" max="5373" width="0" style="791" hidden="1" customWidth="1"/>
    <col min="5374" max="5374" width="17.6640625" style="791" customWidth="1"/>
    <col min="5375" max="5375" width="15.5" style="791" customWidth="1"/>
    <col min="5376" max="5376" width="17.6640625" style="791" customWidth="1"/>
    <col min="5377" max="5622" width="59.1640625" style="791"/>
    <col min="5623" max="5623" width="19.33203125" style="791" customWidth="1"/>
    <col min="5624" max="5624" width="15.5" style="791" customWidth="1"/>
    <col min="5625" max="5625" width="12" style="791" customWidth="1"/>
    <col min="5626" max="5626" width="43" style="791" customWidth="1"/>
    <col min="5627" max="5629" width="0" style="791" hidden="1" customWidth="1"/>
    <col min="5630" max="5630" width="17.6640625" style="791" customWidth="1"/>
    <col min="5631" max="5631" width="15.5" style="791" customWidth="1"/>
    <col min="5632" max="5632" width="17.6640625" style="791" customWidth="1"/>
    <col min="5633" max="5878" width="59.1640625" style="791"/>
    <col min="5879" max="5879" width="19.33203125" style="791" customWidth="1"/>
    <col min="5880" max="5880" width="15.5" style="791" customWidth="1"/>
    <col min="5881" max="5881" width="12" style="791" customWidth="1"/>
    <col min="5882" max="5882" width="43" style="791" customWidth="1"/>
    <col min="5883" max="5885" width="0" style="791" hidden="1" customWidth="1"/>
    <col min="5886" max="5886" width="17.6640625" style="791" customWidth="1"/>
    <col min="5887" max="5887" width="15.5" style="791" customWidth="1"/>
    <col min="5888" max="5888" width="17.6640625" style="791" customWidth="1"/>
    <col min="5889" max="6134" width="59.1640625" style="791"/>
    <col min="6135" max="6135" width="19.33203125" style="791" customWidth="1"/>
    <col min="6136" max="6136" width="15.5" style="791" customWidth="1"/>
    <col min="6137" max="6137" width="12" style="791" customWidth="1"/>
    <col min="6138" max="6138" width="43" style="791" customWidth="1"/>
    <col min="6139" max="6141" width="0" style="791" hidden="1" customWidth="1"/>
    <col min="6142" max="6142" width="17.6640625" style="791" customWidth="1"/>
    <col min="6143" max="6143" width="15.5" style="791" customWidth="1"/>
    <col min="6144" max="6144" width="17.6640625" style="791" customWidth="1"/>
    <col min="6145" max="6390" width="59.1640625" style="791"/>
    <col min="6391" max="6391" width="19.33203125" style="791" customWidth="1"/>
    <col min="6392" max="6392" width="15.5" style="791" customWidth="1"/>
    <col min="6393" max="6393" width="12" style="791" customWidth="1"/>
    <col min="6394" max="6394" width="43" style="791" customWidth="1"/>
    <col min="6395" max="6397" width="0" style="791" hidden="1" customWidth="1"/>
    <col min="6398" max="6398" width="17.6640625" style="791" customWidth="1"/>
    <col min="6399" max="6399" width="15.5" style="791" customWidth="1"/>
    <col min="6400" max="6400" width="17.6640625" style="791" customWidth="1"/>
    <col min="6401" max="6646" width="59.1640625" style="791"/>
    <col min="6647" max="6647" width="19.33203125" style="791" customWidth="1"/>
    <col min="6648" max="6648" width="15.5" style="791" customWidth="1"/>
    <col min="6649" max="6649" width="12" style="791" customWidth="1"/>
    <col min="6650" max="6650" width="43" style="791" customWidth="1"/>
    <col min="6651" max="6653" width="0" style="791" hidden="1" customWidth="1"/>
    <col min="6654" max="6654" width="17.6640625" style="791" customWidth="1"/>
    <col min="6655" max="6655" width="15.5" style="791" customWidth="1"/>
    <col min="6656" max="6656" width="17.6640625" style="791" customWidth="1"/>
    <col min="6657" max="6902" width="59.1640625" style="791"/>
    <col min="6903" max="6903" width="19.33203125" style="791" customWidth="1"/>
    <col min="6904" max="6904" width="15.5" style="791" customWidth="1"/>
    <col min="6905" max="6905" width="12" style="791" customWidth="1"/>
    <col min="6906" max="6906" width="43" style="791" customWidth="1"/>
    <col min="6907" max="6909" width="0" style="791" hidden="1" customWidth="1"/>
    <col min="6910" max="6910" width="17.6640625" style="791" customWidth="1"/>
    <col min="6911" max="6911" width="15.5" style="791" customWidth="1"/>
    <col min="6912" max="6912" width="17.6640625" style="791" customWidth="1"/>
    <col min="6913" max="7158" width="59.1640625" style="791"/>
    <col min="7159" max="7159" width="19.33203125" style="791" customWidth="1"/>
    <col min="7160" max="7160" width="15.5" style="791" customWidth="1"/>
    <col min="7161" max="7161" width="12" style="791" customWidth="1"/>
    <col min="7162" max="7162" width="43" style="791" customWidth="1"/>
    <col min="7163" max="7165" width="0" style="791" hidden="1" customWidth="1"/>
    <col min="7166" max="7166" width="17.6640625" style="791" customWidth="1"/>
    <col min="7167" max="7167" width="15.5" style="791" customWidth="1"/>
    <col min="7168" max="7168" width="17.6640625" style="791" customWidth="1"/>
    <col min="7169" max="7414" width="59.1640625" style="791"/>
    <col min="7415" max="7415" width="19.33203125" style="791" customWidth="1"/>
    <col min="7416" max="7416" width="15.5" style="791" customWidth="1"/>
    <col min="7417" max="7417" width="12" style="791" customWidth="1"/>
    <col min="7418" max="7418" width="43" style="791" customWidth="1"/>
    <col min="7419" max="7421" width="0" style="791" hidden="1" customWidth="1"/>
    <col min="7422" max="7422" width="17.6640625" style="791" customWidth="1"/>
    <col min="7423" max="7423" width="15.5" style="791" customWidth="1"/>
    <col min="7424" max="7424" width="17.6640625" style="791" customWidth="1"/>
    <col min="7425" max="7670" width="59.1640625" style="791"/>
    <col min="7671" max="7671" width="19.33203125" style="791" customWidth="1"/>
    <col min="7672" max="7672" width="15.5" style="791" customWidth="1"/>
    <col min="7673" max="7673" width="12" style="791" customWidth="1"/>
    <col min="7674" max="7674" width="43" style="791" customWidth="1"/>
    <col min="7675" max="7677" width="0" style="791" hidden="1" customWidth="1"/>
    <col min="7678" max="7678" width="17.6640625" style="791" customWidth="1"/>
    <col min="7679" max="7679" width="15.5" style="791" customWidth="1"/>
    <col min="7680" max="7680" width="17.6640625" style="791" customWidth="1"/>
    <col min="7681" max="7926" width="59.1640625" style="791"/>
    <col min="7927" max="7927" width="19.33203125" style="791" customWidth="1"/>
    <col min="7928" max="7928" width="15.5" style="791" customWidth="1"/>
    <col min="7929" max="7929" width="12" style="791" customWidth="1"/>
    <col min="7930" max="7930" width="43" style="791" customWidth="1"/>
    <col min="7931" max="7933" width="0" style="791" hidden="1" customWidth="1"/>
    <col min="7934" max="7934" width="17.6640625" style="791" customWidth="1"/>
    <col min="7935" max="7935" width="15.5" style="791" customWidth="1"/>
    <col min="7936" max="7936" width="17.6640625" style="791" customWidth="1"/>
    <col min="7937" max="8182" width="59.1640625" style="791"/>
    <col min="8183" max="8183" width="19.33203125" style="791" customWidth="1"/>
    <col min="8184" max="8184" width="15.5" style="791" customWidth="1"/>
    <col min="8185" max="8185" width="12" style="791" customWidth="1"/>
    <col min="8186" max="8186" width="43" style="791" customWidth="1"/>
    <col min="8187" max="8189" width="0" style="791" hidden="1" customWidth="1"/>
    <col min="8190" max="8190" width="17.6640625" style="791" customWidth="1"/>
    <col min="8191" max="8191" width="15.5" style="791" customWidth="1"/>
    <col min="8192" max="8192" width="17.6640625" style="791" customWidth="1"/>
    <col min="8193" max="8438" width="59.1640625" style="791"/>
    <col min="8439" max="8439" width="19.33203125" style="791" customWidth="1"/>
    <col min="8440" max="8440" width="15.5" style="791" customWidth="1"/>
    <col min="8441" max="8441" width="12" style="791" customWidth="1"/>
    <col min="8442" max="8442" width="43" style="791" customWidth="1"/>
    <col min="8443" max="8445" width="0" style="791" hidden="1" customWidth="1"/>
    <col min="8446" max="8446" width="17.6640625" style="791" customWidth="1"/>
    <col min="8447" max="8447" width="15.5" style="791" customWidth="1"/>
    <col min="8448" max="8448" width="17.6640625" style="791" customWidth="1"/>
    <col min="8449" max="8694" width="59.1640625" style="791"/>
    <col min="8695" max="8695" width="19.33203125" style="791" customWidth="1"/>
    <col min="8696" max="8696" width="15.5" style="791" customWidth="1"/>
    <col min="8697" max="8697" width="12" style="791" customWidth="1"/>
    <col min="8698" max="8698" width="43" style="791" customWidth="1"/>
    <col min="8699" max="8701" width="0" style="791" hidden="1" customWidth="1"/>
    <col min="8702" max="8702" width="17.6640625" style="791" customWidth="1"/>
    <col min="8703" max="8703" width="15.5" style="791" customWidth="1"/>
    <col min="8704" max="8704" width="17.6640625" style="791" customWidth="1"/>
    <col min="8705" max="8950" width="59.1640625" style="791"/>
    <col min="8951" max="8951" width="19.33203125" style="791" customWidth="1"/>
    <col min="8952" max="8952" width="15.5" style="791" customWidth="1"/>
    <col min="8953" max="8953" width="12" style="791" customWidth="1"/>
    <col min="8954" max="8954" width="43" style="791" customWidth="1"/>
    <col min="8955" max="8957" width="0" style="791" hidden="1" customWidth="1"/>
    <col min="8958" max="8958" width="17.6640625" style="791" customWidth="1"/>
    <col min="8959" max="8959" width="15.5" style="791" customWidth="1"/>
    <col min="8960" max="8960" width="17.6640625" style="791" customWidth="1"/>
    <col min="8961" max="9206" width="59.1640625" style="791"/>
    <col min="9207" max="9207" width="19.33203125" style="791" customWidth="1"/>
    <col min="9208" max="9208" width="15.5" style="791" customWidth="1"/>
    <col min="9209" max="9209" width="12" style="791" customWidth="1"/>
    <col min="9210" max="9210" width="43" style="791" customWidth="1"/>
    <col min="9211" max="9213" width="0" style="791" hidden="1" customWidth="1"/>
    <col min="9214" max="9214" width="17.6640625" style="791" customWidth="1"/>
    <col min="9215" max="9215" width="15.5" style="791" customWidth="1"/>
    <col min="9216" max="9216" width="17.6640625" style="791" customWidth="1"/>
    <col min="9217" max="9462" width="59.1640625" style="791"/>
    <col min="9463" max="9463" width="19.33203125" style="791" customWidth="1"/>
    <col min="9464" max="9464" width="15.5" style="791" customWidth="1"/>
    <col min="9465" max="9465" width="12" style="791" customWidth="1"/>
    <col min="9466" max="9466" width="43" style="791" customWidth="1"/>
    <col min="9467" max="9469" width="0" style="791" hidden="1" customWidth="1"/>
    <col min="9470" max="9470" width="17.6640625" style="791" customWidth="1"/>
    <col min="9471" max="9471" width="15.5" style="791" customWidth="1"/>
    <col min="9472" max="9472" width="17.6640625" style="791" customWidth="1"/>
    <col min="9473" max="9718" width="59.1640625" style="791"/>
    <col min="9719" max="9719" width="19.33203125" style="791" customWidth="1"/>
    <col min="9720" max="9720" width="15.5" style="791" customWidth="1"/>
    <col min="9721" max="9721" width="12" style="791" customWidth="1"/>
    <col min="9722" max="9722" width="43" style="791" customWidth="1"/>
    <col min="9723" max="9725" width="0" style="791" hidden="1" customWidth="1"/>
    <col min="9726" max="9726" width="17.6640625" style="791" customWidth="1"/>
    <col min="9727" max="9727" width="15.5" style="791" customWidth="1"/>
    <col min="9728" max="9728" width="17.6640625" style="791" customWidth="1"/>
    <col min="9729" max="9974" width="59.1640625" style="791"/>
    <col min="9975" max="9975" width="19.33203125" style="791" customWidth="1"/>
    <col min="9976" max="9976" width="15.5" style="791" customWidth="1"/>
    <col min="9977" max="9977" width="12" style="791" customWidth="1"/>
    <col min="9978" max="9978" width="43" style="791" customWidth="1"/>
    <col min="9979" max="9981" width="0" style="791" hidden="1" customWidth="1"/>
    <col min="9982" max="9982" width="17.6640625" style="791" customWidth="1"/>
    <col min="9983" max="9983" width="15.5" style="791" customWidth="1"/>
    <col min="9984" max="9984" width="17.6640625" style="791" customWidth="1"/>
    <col min="9985" max="10230" width="59.1640625" style="791"/>
    <col min="10231" max="10231" width="19.33203125" style="791" customWidth="1"/>
    <col min="10232" max="10232" width="15.5" style="791" customWidth="1"/>
    <col min="10233" max="10233" width="12" style="791" customWidth="1"/>
    <col min="10234" max="10234" width="43" style="791" customWidth="1"/>
    <col min="10235" max="10237" width="0" style="791" hidden="1" customWidth="1"/>
    <col min="10238" max="10238" width="17.6640625" style="791" customWidth="1"/>
    <col min="10239" max="10239" width="15.5" style="791" customWidth="1"/>
    <col min="10240" max="10240" width="17.6640625" style="791" customWidth="1"/>
    <col min="10241" max="10486" width="59.1640625" style="791"/>
    <col min="10487" max="10487" width="19.33203125" style="791" customWidth="1"/>
    <col min="10488" max="10488" width="15.5" style="791" customWidth="1"/>
    <col min="10489" max="10489" width="12" style="791" customWidth="1"/>
    <col min="10490" max="10490" width="43" style="791" customWidth="1"/>
    <col min="10491" max="10493" width="0" style="791" hidden="1" customWidth="1"/>
    <col min="10494" max="10494" width="17.6640625" style="791" customWidth="1"/>
    <col min="10495" max="10495" width="15.5" style="791" customWidth="1"/>
    <col min="10496" max="10496" width="17.6640625" style="791" customWidth="1"/>
    <col min="10497" max="10742" width="59.1640625" style="791"/>
    <col min="10743" max="10743" width="19.33203125" style="791" customWidth="1"/>
    <col min="10744" max="10744" width="15.5" style="791" customWidth="1"/>
    <col min="10745" max="10745" width="12" style="791" customWidth="1"/>
    <col min="10746" max="10746" width="43" style="791" customWidth="1"/>
    <col min="10747" max="10749" width="0" style="791" hidden="1" customWidth="1"/>
    <col min="10750" max="10750" width="17.6640625" style="791" customWidth="1"/>
    <col min="10751" max="10751" width="15.5" style="791" customWidth="1"/>
    <col min="10752" max="10752" width="17.6640625" style="791" customWidth="1"/>
    <col min="10753" max="10998" width="59.1640625" style="791"/>
    <col min="10999" max="10999" width="19.33203125" style="791" customWidth="1"/>
    <col min="11000" max="11000" width="15.5" style="791" customWidth="1"/>
    <col min="11001" max="11001" width="12" style="791" customWidth="1"/>
    <col min="11002" max="11002" width="43" style="791" customWidth="1"/>
    <col min="11003" max="11005" width="0" style="791" hidden="1" customWidth="1"/>
    <col min="11006" max="11006" width="17.6640625" style="791" customWidth="1"/>
    <col min="11007" max="11007" width="15.5" style="791" customWidth="1"/>
    <col min="11008" max="11008" width="17.6640625" style="791" customWidth="1"/>
    <col min="11009" max="11254" width="59.1640625" style="791"/>
    <col min="11255" max="11255" width="19.33203125" style="791" customWidth="1"/>
    <col min="11256" max="11256" width="15.5" style="791" customWidth="1"/>
    <col min="11257" max="11257" width="12" style="791" customWidth="1"/>
    <col min="11258" max="11258" width="43" style="791" customWidth="1"/>
    <col min="11259" max="11261" width="0" style="791" hidden="1" customWidth="1"/>
    <col min="11262" max="11262" width="17.6640625" style="791" customWidth="1"/>
    <col min="11263" max="11263" width="15.5" style="791" customWidth="1"/>
    <col min="11264" max="11264" width="17.6640625" style="791" customWidth="1"/>
    <col min="11265" max="11510" width="59.1640625" style="791"/>
    <col min="11511" max="11511" width="19.33203125" style="791" customWidth="1"/>
    <col min="11512" max="11512" width="15.5" style="791" customWidth="1"/>
    <col min="11513" max="11513" width="12" style="791" customWidth="1"/>
    <col min="11514" max="11514" width="43" style="791" customWidth="1"/>
    <col min="11515" max="11517" width="0" style="791" hidden="1" customWidth="1"/>
    <col min="11518" max="11518" width="17.6640625" style="791" customWidth="1"/>
    <col min="11519" max="11519" width="15.5" style="791" customWidth="1"/>
    <col min="11520" max="11520" width="17.6640625" style="791" customWidth="1"/>
    <col min="11521" max="11766" width="59.1640625" style="791"/>
    <col min="11767" max="11767" width="19.33203125" style="791" customWidth="1"/>
    <col min="11768" max="11768" width="15.5" style="791" customWidth="1"/>
    <col min="11769" max="11769" width="12" style="791" customWidth="1"/>
    <col min="11770" max="11770" width="43" style="791" customWidth="1"/>
    <col min="11771" max="11773" width="0" style="791" hidden="1" customWidth="1"/>
    <col min="11774" max="11774" width="17.6640625" style="791" customWidth="1"/>
    <col min="11775" max="11775" width="15.5" style="791" customWidth="1"/>
    <col min="11776" max="11776" width="17.6640625" style="791" customWidth="1"/>
    <col min="11777" max="12022" width="59.1640625" style="791"/>
    <col min="12023" max="12023" width="19.33203125" style="791" customWidth="1"/>
    <col min="12024" max="12024" width="15.5" style="791" customWidth="1"/>
    <col min="12025" max="12025" width="12" style="791" customWidth="1"/>
    <col min="12026" max="12026" width="43" style="791" customWidth="1"/>
    <col min="12027" max="12029" width="0" style="791" hidden="1" customWidth="1"/>
    <col min="12030" max="12030" width="17.6640625" style="791" customWidth="1"/>
    <col min="12031" max="12031" width="15.5" style="791" customWidth="1"/>
    <col min="12032" max="12032" width="17.6640625" style="791" customWidth="1"/>
    <col min="12033" max="12278" width="59.1640625" style="791"/>
    <col min="12279" max="12279" width="19.33203125" style="791" customWidth="1"/>
    <col min="12280" max="12280" width="15.5" style="791" customWidth="1"/>
    <col min="12281" max="12281" width="12" style="791" customWidth="1"/>
    <col min="12282" max="12282" width="43" style="791" customWidth="1"/>
    <col min="12283" max="12285" width="0" style="791" hidden="1" customWidth="1"/>
    <col min="12286" max="12286" width="17.6640625" style="791" customWidth="1"/>
    <col min="12287" max="12287" width="15.5" style="791" customWidth="1"/>
    <col min="12288" max="12288" width="17.6640625" style="791" customWidth="1"/>
    <col min="12289" max="12534" width="59.1640625" style="791"/>
    <col min="12535" max="12535" width="19.33203125" style="791" customWidth="1"/>
    <col min="12536" max="12536" width="15.5" style="791" customWidth="1"/>
    <col min="12537" max="12537" width="12" style="791" customWidth="1"/>
    <col min="12538" max="12538" width="43" style="791" customWidth="1"/>
    <col min="12539" max="12541" width="0" style="791" hidden="1" customWidth="1"/>
    <col min="12542" max="12542" width="17.6640625" style="791" customWidth="1"/>
    <col min="12543" max="12543" width="15.5" style="791" customWidth="1"/>
    <col min="12544" max="12544" width="17.6640625" style="791" customWidth="1"/>
    <col min="12545" max="12790" width="59.1640625" style="791"/>
    <col min="12791" max="12791" width="19.33203125" style="791" customWidth="1"/>
    <col min="12792" max="12792" width="15.5" style="791" customWidth="1"/>
    <col min="12793" max="12793" width="12" style="791" customWidth="1"/>
    <col min="12794" max="12794" width="43" style="791" customWidth="1"/>
    <col min="12795" max="12797" width="0" style="791" hidden="1" customWidth="1"/>
    <col min="12798" max="12798" width="17.6640625" style="791" customWidth="1"/>
    <col min="12799" max="12799" width="15.5" style="791" customWidth="1"/>
    <col min="12800" max="12800" width="17.6640625" style="791" customWidth="1"/>
    <col min="12801" max="13046" width="59.1640625" style="791"/>
    <col min="13047" max="13047" width="19.33203125" style="791" customWidth="1"/>
    <col min="13048" max="13048" width="15.5" style="791" customWidth="1"/>
    <col min="13049" max="13049" width="12" style="791" customWidth="1"/>
    <col min="13050" max="13050" width="43" style="791" customWidth="1"/>
    <col min="13051" max="13053" width="0" style="791" hidden="1" customWidth="1"/>
    <col min="13054" max="13054" width="17.6640625" style="791" customWidth="1"/>
    <col min="13055" max="13055" width="15.5" style="791" customWidth="1"/>
    <col min="13056" max="13056" width="17.6640625" style="791" customWidth="1"/>
    <col min="13057" max="13302" width="59.1640625" style="791"/>
    <col min="13303" max="13303" width="19.33203125" style="791" customWidth="1"/>
    <col min="13304" max="13304" width="15.5" style="791" customWidth="1"/>
    <col min="13305" max="13305" width="12" style="791" customWidth="1"/>
    <col min="13306" max="13306" width="43" style="791" customWidth="1"/>
    <col min="13307" max="13309" width="0" style="791" hidden="1" customWidth="1"/>
    <col min="13310" max="13310" width="17.6640625" style="791" customWidth="1"/>
    <col min="13311" max="13311" width="15.5" style="791" customWidth="1"/>
    <col min="13312" max="13312" width="17.6640625" style="791" customWidth="1"/>
    <col min="13313" max="13558" width="59.1640625" style="791"/>
    <col min="13559" max="13559" width="19.33203125" style="791" customWidth="1"/>
    <col min="13560" max="13560" width="15.5" style="791" customWidth="1"/>
    <col min="13561" max="13561" width="12" style="791" customWidth="1"/>
    <col min="13562" max="13562" width="43" style="791" customWidth="1"/>
    <col min="13563" max="13565" width="0" style="791" hidden="1" customWidth="1"/>
    <col min="13566" max="13566" width="17.6640625" style="791" customWidth="1"/>
    <col min="13567" max="13567" width="15.5" style="791" customWidth="1"/>
    <col min="13568" max="13568" width="17.6640625" style="791" customWidth="1"/>
    <col min="13569" max="13814" width="59.1640625" style="791"/>
    <col min="13815" max="13815" width="19.33203125" style="791" customWidth="1"/>
    <col min="13816" max="13816" width="15.5" style="791" customWidth="1"/>
    <col min="13817" max="13817" width="12" style="791" customWidth="1"/>
    <col min="13818" max="13818" width="43" style="791" customWidth="1"/>
    <col min="13819" max="13821" width="0" style="791" hidden="1" customWidth="1"/>
    <col min="13822" max="13822" width="17.6640625" style="791" customWidth="1"/>
    <col min="13823" max="13823" width="15.5" style="791" customWidth="1"/>
    <col min="13824" max="13824" width="17.6640625" style="791" customWidth="1"/>
    <col min="13825" max="14070" width="59.1640625" style="791"/>
    <col min="14071" max="14071" width="19.33203125" style="791" customWidth="1"/>
    <col min="14072" max="14072" width="15.5" style="791" customWidth="1"/>
    <col min="14073" max="14073" width="12" style="791" customWidth="1"/>
    <col min="14074" max="14074" width="43" style="791" customWidth="1"/>
    <col min="14075" max="14077" width="0" style="791" hidden="1" customWidth="1"/>
    <col min="14078" max="14078" width="17.6640625" style="791" customWidth="1"/>
    <col min="14079" max="14079" width="15.5" style="791" customWidth="1"/>
    <col min="14080" max="14080" width="17.6640625" style="791" customWidth="1"/>
    <col min="14081" max="14326" width="59.1640625" style="791"/>
    <col min="14327" max="14327" width="19.33203125" style="791" customWidth="1"/>
    <col min="14328" max="14328" width="15.5" style="791" customWidth="1"/>
    <col min="14329" max="14329" width="12" style="791" customWidth="1"/>
    <col min="14330" max="14330" width="43" style="791" customWidth="1"/>
    <col min="14331" max="14333" width="0" style="791" hidden="1" customWidth="1"/>
    <col min="14334" max="14334" width="17.6640625" style="791" customWidth="1"/>
    <col min="14335" max="14335" width="15.5" style="791" customWidth="1"/>
    <col min="14336" max="14336" width="17.6640625" style="791" customWidth="1"/>
    <col min="14337" max="14582" width="59.1640625" style="791"/>
    <col min="14583" max="14583" width="19.33203125" style="791" customWidth="1"/>
    <col min="14584" max="14584" width="15.5" style="791" customWidth="1"/>
    <col min="14585" max="14585" width="12" style="791" customWidth="1"/>
    <col min="14586" max="14586" width="43" style="791" customWidth="1"/>
    <col min="14587" max="14589" width="0" style="791" hidden="1" customWidth="1"/>
    <col min="14590" max="14590" width="17.6640625" style="791" customWidth="1"/>
    <col min="14591" max="14591" width="15.5" style="791" customWidth="1"/>
    <col min="14592" max="14592" width="17.6640625" style="791" customWidth="1"/>
    <col min="14593" max="14838" width="59.1640625" style="791"/>
    <col min="14839" max="14839" width="19.33203125" style="791" customWidth="1"/>
    <col min="14840" max="14840" width="15.5" style="791" customWidth="1"/>
    <col min="14841" max="14841" width="12" style="791" customWidth="1"/>
    <col min="14842" max="14842" width="43" style="791" customWidth="1"/>
    <col min="14843" max="14845" width="0" style="791" hidden="1" customWidth="1"/>
    <col min="14846" max="14846" width="17.6640625" style="791" customWidth="1"/>
    <col min="14847" max="14847" width="15.5" style="791" customWidth="1"/>
    <col min="14848" max="14848" width="17.6640625" style="791" customWidth="1"/>
    <col min="14849" max="15094" width="59.1640625" style="791"/>
    <col min="15095" max="15095" width="19.33203125" style="791" customWidth="1"/>
    <col min="15096" max="15096" width="15.5" style="791" customWidth="1"/>
    <col min="15097" max="15097" width="12" style="791" customWidth="1"/>
    <col min="15098" max="15098" width="43" style="791" customWidth="1"/>
    <col min="15099" max="15101" width="0" style="791" hidden="1" customWidth="1"/>
    <col min="15102" max="15102" width="17.6640625" style="791" customWidth="1"/>
    <col min="15103" max="15103" width="15.5" style="791" customWidth="1"/>
    <col min="15104" max="15104" width="17.6640625" style="791" customWidth="1"/>
    <col min="15105" max="15350" width="59.1640625" style="791"/>
    <col min="15351" max="15351" width="19.33203125" style="791" customWidth="1"/>
    <col min="15352" max="15352" width="15.5" style="791" customWidth="1"/>
    <col min="15353" max="15353" width="12" style="791" customWidth="1"/>
    <col min="15354" max="15354" width="43" style="791" customWidth="1"/>
    <col min="15355" max="15357" width="0" style="791" hidden="1" customWidth="1"/>
    <col min="15358" max="15358" width="17.6640625" style="791" customWidth="1"/>
    <col min="15359" max="15359" width="15.5" style="791" customWidth="1"/>
    <col min="15360" max="15360" width="17.6640625" style="791" customWidth="1"/>
    <col min="15361" max="15606" width="59.1640625" style="791"/>
    <col min="15607" max="15607" width="19.33203125" style="791" customWidth="1"/>
    <col min="15608" max="15608" width="15.5" style="791" customWidth="1"/>
    <col min="15609" max="15609" width="12" style="791" customWidth="1"/>
    <col min="15610" max="15610" width="43" style="791" customWidth="1"/>
    <col min="15611" max="15613" width="0" style="791" hidden="1" customWidth="1"/>
    <col min="15614" max="15614" width="17.6640625" style="791" customWidth="1"/>
    <col min="15615" max="15615" width="15.5" style="791" customWidth="1"/>
    <col min="15616" max="15616" width="17.6640625" style="791" customWidth="1"/>
    <col min="15617" max="15862" width="59.1640625" style="791"/>
    <col min="15863" max="15863" width="19.33203125" style="791" customWidth="1"/>
    <col min="15864" max="15864" width="15.5" style="791" customWidth="1"/>
    <col min="15865" max="15865" width="12" style="791" customWidth="1"/>
    <col min="15866" max="15866" width="43" style="791" customWidth="1"/>
    <col min="15867" max="15869" width="0" style="791" hidden="1" customWidth="1"/>
    <col min="15870" max="15870" width="17.6640625" style="791" customWidth="1"/>
    <col min="15871" max="15871" width="15.5" style="791" customWidth="1"/>
    <col min="15872" max="15872" width="17.6640625" style="791" customWidth="1"/>
    <col min="15873" max="16118" width="59.1640625" style="791"/>
    <col min="16119" max="16119" width="19.33203125" style="791" customWidth="1"/>
    <col min="16120" max="16120" width="15.5" style="791" customWidth="1"/>
    <col min="16121" max="16121" width="12" style="791" customWidth="1"/>
    <col min="16122" max="16122" width="43" style="791" customWidth="1"/>
    <col min="16123" max="16125" width="0" style="791" hidden="1" customWidth="1"/>
    <col min="16126" max="16126" width="17.6640625" style="791" customWidth="1"/>
    <col min="16127" max="16127" width="15.5" style="791" customWidth="1"/>
    <col min="16128" max="16128" width="17.6640625" style="791" customWidth="1"/>
    <col min="16129" max="16384" width="59.1640625" style="791"/>
  </cols>
  <sheetData>
    <row r="1" spans="1:15" s="825" customFormat="1" ht="15.75" customHeight="1" x14ac:dyDescent="0.2">
      <c r="A1" s="1242" t="s">
        <v>435</v>
      </c>
      <c r="B1" s="1242"/>
      <c r="C1" s="1242"/>
      <c r="D1" s="1242"/>
      <c r="E1" s="1242"/>
      <c r="F1" s="1242"/>
      <c r="G1" s="1242"/>
      <c r="H1" s="1242"/>
      <c r="I1" s="1242"/>
    </row>
    <row r="2" spans="1:15" s="825" customFormat="1" x14ac:dyDescent="0.2">
      <c r="A2" s="1243" t="s">
        <v>436</v>
      </c>
      <c r="B2" s="1243"/>
      <c r="C2" s="1243"/>
      <c r="D2" s="1243"/>
      <c r="E2" s="1243"/>
      <c r="F2" s="1243"/>
      <c r="G2" s="1243"/>
      <c r="H2" s="1243"/>
      <c r="I2" s="1243"/>
    </row>
    <row r="3" spans="1:15" s="825" customFormat="1" ht="15.75" customHeight="1" x14ac:dyDescent="0.2">
      <c r="A3" s="1243" t="s">
        <v>437</v>
      </c>
      <c r="B3" s="1243"/>
      <c r="C3" s="1243"/>
      <c r="D3" s="1243"/>
      <c r="E3" s="1243"/>
      <c r="F3" s="1243"/>
      <c r="G3" s="1243"/>
      <c r="H3" s="1243"/>
      <c r="I3" s="1243"/>
    </row>
    <row r="4" spans="1:15" s="825" customFormat="1" ht="15.75" thickBot="1" x14ac:dyDescent="0.25">
      <c r="A4" s="1244" t="s">
        <v>438</v>
      </c>
      <c r="B4" s="1244"/>
      <c r="C4" s="1244"/>
      <c r="D4" s="1244"/>
      <c r="E4" s="1244"/>
      <c r="F4" s="1244"/>
      <c r="G4" s="1244"/>
      <c r="H4" s="1244"/>
      <c r="I4" s="1244"/>
    </row>
    <row r="5" spans="1:15" s="825" customFormat="1" ht="15" customHeight="1" thickBot="1" x14ac:dyDescent="0.25">
      <c r="A5" s="1257" t="s">
        <v>439</v>
      </c>
      <c r="B5" s="1258"/>
      <c r="C5" s="1258"/>
      <c r="D5" s="1258"/>
      <c r="E5" s="1258"/>
      <c r="F5" s="1258"/>
      <c r="G5" s="1258"/>
      <c r="H5" s="1259"/>
    </row>
    <row r="6" spans="1:15" s="825" customFormat="1" ht="270" customHeight="1" x14ac:dyDescent="0.2">
      <c r="A6" s="1260" t="s">
        <v>440</v>
      </c>
      <c r="B6" s="1261"/>
      <c r="C6" s="1261"/>
      <c r="D6" s="1261"/>
      <c r="E6" s="1261"/>
      <c r="F6" s="1261"/>
      <c r="G6" s="1261"/>
      <c r="H6" s="1262"/>
      <c r="I6" s="826"/>
      <c r="J6" s="827"/>
      <c r="K6" s="827"/>
      <c r="L6" s="827"/>
      <c r="M6" s="827"/>
      <c r="N6" s="827"/>
      <c r="O6" s="828"/>
    </row>
    <row r="7" spans="1:15" s="825" customFormat="1" ht="59.25" customHeight="1" x14ac:dyDescent="0.2">
      <c r="A7" s="1263" t="s">
        <v>441</v>
      </c>
      <c r="B7" s="1264"/>
      <c r="C7" s="1264"/>
      <c r="D7" s="1264"/>
      <c r="E7" s="1264"/>
      <c r="F7" s="1264"/>
      <c r="G7" s="1264"/>
      <c r="H7" s="1265"/>
    </row>
    <row r="8" spans="1:15" s="825" customFormat="1" ht="46.5" customHeight="1" x14ac:dyDescent="0.2">
      <c r="A8" s="1263" t="s">
        <v>442</v>
      </c>
      <c r="B8" s="1264"/>
      <c r="C8" s="1264"/>
      <c r="D8" s="1264"/>
      <c r="E8" s="1264"/>
      <c r="F8" s="1264"/>
      <c r="G8" s="1264"/>
      <c r="H8" s="1265"/>
    </row>
    <row r="9" spans="1:15" s="825" customFormat="1" ht="26.25" customHeight="1" x14ac:dyDescent="0.2">
      <c r="A9" s="1263" t="s">
        <v>443</v>
      </c>
      <c r="B9" s="1264"/>
      <c r="C9" s="1264"/>
      <c r="D9" s="1264"/>
      <c r="E9" s="1264"/>
      <c r="F9" s="1264"/>
      <c r="G9" s="1264"/>
      <c r="H9" s="1265"/>
    </row>
    <row r="10" spans="1:15" s="825" customFormat="1" ht="18.75" customHeight="1" x14ac:dyDescent="0.2">
      <c r="A10" s="1263" t="s">
        <v>444</v>
      </c>
      <c r="B10" s="1264"/>
      <c r="C10" s="1264"/>
      <c r="D10" s="1264"/>
      <c r="E10" s="1264"/>
      <c r="F10" s="1264"/>
      <c r="G10" s="1264"/>
      <c r="H10" s="1265"/>
    </row>
    <row r="11" spans="1:15" s="825" customFormat="1" ht="57.75" customHeight="1" x14ac:dyDescent="0.2">
      <c r="A11" s="1263" t="s">
        <v>445</v>
      </c>
      <c r="B11" s="1264"/>
      <c r="C11" s="1264"/>
      <c r="D11" s="1264"/>
      <c r="E11" s="1264"/>
      <c r="F11" s="1264"/>
      <c r="G11" s="1264"/>
      <c r="H11" s="1265"/>
    </row>
    <row r="12" spans="1:15" s="825" customFormat="1" ht="57" customHeight="1" thickBot="1" x14ac:dyDescent="0.25">
      <c r="A12" s="1254" t="s">
        <v>446</v>
      </c>
      <c r="B12" s="1255"/>
      <c r="C12" s="1255"/>
      <c r="D12" s="1255"/>
      <c r="E12" s="1255"/>
      <c r="F12" s="1255"/>
      <c r="G12" s="1255"/>
      <c r="H12" s="1256"/>
    </row>
    <row r="13" spans="1:15" s="825" customFormat="1" ht="37.5" customHeight="1" thickBot="1" x14ac:dyDescent="0.25">
      <c r="A13" s="1254" t="s">
        <v>447</v>
      </c>
      <c r="B13" s="1255"/>
      <c r="C13" s="1255"/>
      <c r="D13" s="1255"/>
      <c r="E13" s="1255"/>
      <c r="F13" s="1255"/>
      <c r="G13" s="1255"/>
      <c r="H13" s="1256"/>
    </row>
    <row r="14" spans="1:15" ht="81.75" customHeight="1" thickBot="1" x14ac:dyDescent="0.25">
      <c r="A14" s="792" t="s">
        <v>448</v>
      </c>
      <c r="B14" s="793" t="s">
        <v>449</v>
      </c>
      <c r="C14" s="793" t="s">
        <v>450</v>
      </c>
      <c r="D14" s="793"/>
      <c r="E14" s="794" t="s">
        <v>451</v>
      </c>
      <c r="F14" s="795" t="s">
        <v>452</v>
      </c>
      <c r="G14" s="830" t="s">
        <v>453</v>
      </c>
      <c r="H14" s="831" t="s">
        <v>454</v>
      </c>
      <c r="I14" s="829" t="s">
        <v>455</v>
      </c>
      <c r="J14" s="832" t="s">
        <v>456</v>
      </c>
    </row>
    <row r="15" spans="1:15" ht="43.5" thickBot="1" x14ac:dyDescent="0.25">
      <c r="A15" s="796">
        <v>1</v>
      </c>
      <c r="B15" s="797" t="s">
        <v>457</v>
      </c>
      <c r="C15" s="798" t="s">
        <v>458</v>
      </c>
      <c r="D15" s="799">
        <v>1</v>
      </c>
      <c r="E15" s="800" t="s">
        <v>459</v>
      </c>
      <c r="F15" s="801" t="s">
        <v>460</v>
      </c>
      <c r="G15" s="802">
        <v>3290929</v>
      </c>
      <c r="H15" s="802"/>
      <c r="I15" s="803">
        <v>1</v>
      </c>
      <c r="J15" s="804">
        <v>0</v>
      </c>
    </row>
    <row r="16" spans="1:15" ht="62.25" customHeight="1" thickBot="1" x14ac:dyDescent="0.25">
      <c r="A16" s="796">
        <v>2</v>
      </c>
      <c r="B16" s="797" t="s">
        <v>461</v>
      </c>
      <c r="C16" s="798" t="s">
        <v>462</v>
      </c>
      <c r="D16" s="805">
        <v>1</v>
      </c>
      <c r="E16" s="806" t="s">
        <v>463</v>
      </c>
      <c r="F16" s="807" t="s">
        <v>464</v>
      </c>
      <c r="G16" s="802">
        <v>11228800</v>
      </c>
      <c r="H16" s="802"/>
      <c r="I16" s="803">
        <v>1</v>
      </c>
      <c r="J16" s="804">
        <v>0</v>
      </c>
    </row>
    <row r="17" spans="1:10" ht="57.75" thickBot="1" x14ac:dyDescent="0.25">
      <c r="A17" s="796">
        <v>3</v>
      </c>
      <c r="B17" s="797" t="s">
        <v>465</v>
      </c>
      <c r="C17" s="798" t="s">
        <v>466</v>
      </c>
      <c r="D17" s="805">
        <v>1</v>
      </c>
      <c r="E17" s="806" t="s">
        <v>467</v>
      </c>
      <c r="F17" s="807" t="s">
        <v>460</v>
      </c>
      <c r="G17" s="802">
        <v>11024640</v>
      </c>
      <c r="H17" s="802"/>
      <c r="I17" s="803">
        <v>1</v>
      </c>
      <c r="J17" s="804">
        <v>0</v>
      </c>
    </row>
    <row r="18" spans="1:10" ht="57.75" thickBot="1" x14ac:dyDescent="0.25">
      <c r="A18" s="796">
        <v>4</v>
      </c>
      <c r="B18" s="797" t="s">
        <v>468</v>
      </c>
      <c r="C18" s="798" t="s">
        <v>469</v>
      </c>
      <c r="D18" s="808">
        <v>1</v>
      </c>
      <c r="E18" s="806" t="s">
        <v>470</v>
      </c>
      <c r="F18" s="807" t="s">
        <v>460</v>
      </c>
      <c r="G18" s="802">
        <v>3290929</v>
      </c>
      <c r="H18" s="802"/>
      <c r="I18" s="809">
        <v>1</v>
      </c>
      <c r="J18" s="804">
        <v>0</v>
      </c>
    </row>
    <row r="19" spans="1:10" ht="57.75" thickBot="1" x14ac:dyDescent="0.25">
      <c r="A19" s="796">
        <v>5</v>
      </c>
      <c r="B19" s="797" t="s">
        <v>471</v>
      </c>
      <c r="C19" s="800" t="s">
        <v>472</v>
      </c>
      <c r="D19" s="808">
        <v>1</v>
      </c>
      <c r="E19" s="806" t="s">
        <v>473</v>
      </c>
      <c r="F19" s="807" t="s">
        <v>460</v>
      </c>
      <c r="G19" s="802">
        <v>11024640</v>
      </c>
      <c r="H19" s="802"/>
      <c r="I19" s="809">
        <v>1</v>
      </c>
      <c r="J19" s="804">
        <v>0</v>
      </c>
    </row>
    <row r="20" spans="1:10" ht="57.75" thickBot="1" x14ac:dyDescent="0.25">
      <c r="A20" s="796">
        <v>6</v>
      </c>
      <c r="B20" s="797" t="s">
        <v>474</v>
      </c>
      <c r="C20" s="800" t="s">
        <v>475</v>
      </c>
      <c r="D20" s="805">
        <v>1</v>
      </c>
      <c r="E20" s="806" t="s">
        <v>476</v>
      </c>
      <c r="F20" s="807" t="s">
        <v>460</v>
      </c>
      <c r="G20" s="802">
        <v>3290929</v>
      </c>
      <c r="H20" s="802"/>
      <c r="I20" s="803">
        <v>1</v>
      </c>
      <c r="J20" s="804">
        <v>0</v>
      </c>
    </row>
    <row r="21" spans="1:10" ht="72" thickBot="1" x14ac:dyDescent="0.25">
      <c r="A21" s="796">
        <v>7</v>
      </c>
      <c r="B21" s="797" t="s">
        <v>477</v>
      </c>
      <c r="C21" s="798" t="s">
        <v>478</v>
      </c>
      <c r="D21" s="805">
        <v>1</v>
      </c>
      <c r="E21" s="806" t="s">
        <v>479</v>
      </c>
      <c r="F21" s="807" t="s">
        <v>464</v>
      </c>
      <c r="G21" s="802">
        <v>11228800</v>
      </c>
      <c r="H21" s="802"/>
      <c r="I21" s="803">
        <v>1</v>
      </c>
      <c r="J21" s="804">
        <v>0</v>
      </c>
    </row>
    <row r="22" spans="1:10" ht="72" thickBot="1" x14ac:dyDescent="0.25">
      <c r="A22" s="796">
        <v>8</v>
      </c>
      <c r="B22" s="797" t="s">
        <v>480</v>
      </c>
      <c r="C22" s="798" t="s">
        <v>481</v>
      </c>
      <c r="D22" s="805">
        <v>1</v>
      </c>
      <c r="E22" s="806" t="s">
        <v>479</v>
      </c>
      <c r="F22" s="807" t="s">
        <v>464</v>
      </c>
      <c r="G22" s="802">
        <v>11228800</v>
      </c>
      <c r="H22" s="802"/>
      <c r="I22" s="803">
        <v>1</v>
      </c>
      <c r="J22" s="804">
        <v>0</v>
      </c>
    </row>
    <row r="23" spans="1:10" ht="72" thickBot="1" x14ac:dyDescent="0.25">
      <c r="A23" s="796">
        <v>9</v>
      </c>
      <c r="B23" s="797" t="s">
        <v>482</v>
      </c>
      <c r="C23" s="798" t="s">
        <v>483</v>
      </c>
      <c r="D23" s="805">
        <v>1</v>
      </c>
      <c r="E23" s="806" t="s">
        <v>479</v>
      </c>
      <c r="F23" s="807" t="s">
        <v>464</v>
      </c>
      <c r="G23" s="802">
        <v>11228800</v>
      </c>
      <c r="H23" s="802"/>
      <c r="I23" s="803">
        <v>1</v>
      </c>
      <c r="J23" s="804">
        <v>0</v>
      </c>
    </row>
    <row r="24" spans="1:10" ht="57.75" thickBot="1" x14ac:dyDescent="0.25">
      <c r="A24" s="796">
        <v>10</v>
      </c>
      <c r="B24" s="1245" t="s">
        <v>484</v>
      </c>
      <c r="C24" s="1248" t="s">
        <v>485</v>
      </c>
      <c r="D24" s="805">
        <v>1</v>
      </c>
      <c r="E24" s="806" t="s">
        <v>486</v>
      </c>
      <c r="F24" s="807" t="s">
        <v>487</v>
      </c>
      <c r="G24" s="823">
        <v>3351872</v>
      </c>
      <c r="H24" s="823"/>
      <c r="I24" s="803">
        <v>1</v>
      </c>
      <c r="J24" s="804">
        <v>0</v>
      </c>
    </row>
    <row r="25" spans="1:10" ht="57.75" thickBot="1" x14ac:dyDescent="0.25">
      <c r="A25" s="810">
        <v>11</v>
      </c>
      <c r="B25" s="1246"/>
      <c r="C25" s="1249"/>
      <c r="D25" s="805">
        <v>1</v>
      </c>
      <c r="E25" s="806" t="s">
        <v>488</v>
      </c>
      <c r="F25" s="807" t="s">
        <v>487</v>
      </c>
      <c r="G25" s="811">
        <v>3798788</v>
      </c>
      <c r="H25" s="811"/>
      <c r="I25" s="812">
        <v>1</v>
      </c>
      <c r="J25" s="804">
        <v>0</v>
      </c>
    </row>
    <row r="26" spans="1:10" ht="57.75" thickBot="1" x14ac:dyDescent="0.25">
      <c r="A26" s="813">
        <v>12</v>
      </c>
      <c r="B26" s="1246"/>
      <c r="C26" s="1249"/>
      <c r="D26" s="805">
        <v>1</v>
      </c>
      <c r="E26" s="806" t="s">
        <v>489</v>
      </c>
      <c r="F26" s="807" t="s">
        <v>487</v>
      </c>
      <c r="G26" s="811">
        <v>11228800</v>
      </c>
      <c r="H26" s="811"/>
      <c r="I26" s="812">
        <v>1</v>
      </c>
      <c r="J26" s="804">
        <v>0</v>
      </c>
    </row>
    <row r="27" spans="1:10" ht="43.5" thickBot="1" x14ac:dyDescent="0.25">
      <c r="A27" s="813">
        <v>13</v>
      </c>
      <c r="B27" s="1246"/>
      <c r="C27" s="1249"/>
      <c r="D27" s="805">
        <v>1</v>
      </c>
      <c r="E27" s="806" t="s">
        <v>490</v>
      </c>
      <c r="F27" s="807" t="s">
        <v>487</v>
      </c>
      <c r="G27" s="811">
        <v>3351872</v>
      </c>
      <c r="H27" s="811"/>
      <c r="I27" s="812">
        <v>1</v>
      </c>
      <c r="J27" s="804">
        <v>0</v>
      </c>
    </row>
    <row r="28" spans="1:10" ht="57.75" thickBot="1" x14ac:dyDescent="0.25">
      <c r="A28" s="813">
        <v>14</v>
      </c>
      <c r="B28" s="1247"/>
      <c r="C28" s="1250"/>
      <c r="D28" s="805">
        <v>1</v>
      </c>
      <c r="E28" s="806" t="s">
        <v>491</v>
      </c>
      <c r="F28" s="807" t="s">
        <v>492</v>
      </c>
      <c r="G28" s="811">
        <v>2742440</v>
      </c>
      <c r="H28" s="811"/>
      <c r="I28" s="812">
        <v>1</v>
      </c>
      <c r="J28" s="804">
        <v>0</v>
      </c>
    </row>
    <row r="29" spans="1:10" ht="18" customHeight="1" x14ac:dyDescent="0.2">
      <c r="A29" s="1273" t="s">
        <v>493</v>
      </c>
      <c r="B29" s="1274"/>
      <c r="C29" s="1274"/>
      <c r="D29" s="1274"/>
      <c r="E29" s="1274"/>
      <c r="F29" s="1275"/>
      <c r="G29" s="1274"/>
      <c r="H29" s="1274"/>
      <c r="I29" s="1276"/>
      <c r="J29" s="814">
        <f>SUM(J15:J25)</f>
        <v>0</v>
      </c>
    </row>
    <row r="30" spans="1:10" ht="18" customHeight="1" x14ac:dyDescent="0.2">
      <c r="A30" s="1239" t="s">
        <v>494</v>
      </c>
      <c r="B30" s="1240"/>
      <c r="C30" s="1240"/>
      <c r="D30" s="1240"/>
      <c r="E30" s="1240"/>
      <c r="F30" s="1240"/>
      <c r="G30" s="1240"/>
      <c r="H30" s="1240"/>
      <c r="I30" s="1241"/>
      <c r="J30" s="815">
        <v>2</v>
      </c>
    </row>
    <row r="31" spans="1:10" ht="18" customHeight="1" x14ac:dyDescent="0.2">
      <c r="A31" s="1239" t="s">
        <v>495</v>
      </c>
      <c r="B31" s="1240"/>
      <c r="C31" s="1240"/>
      <c r="D31" s="1240"/>
      <c r="E31" s="1240"/>
      <c r="F31" s="1240"/>
      <c r="G31" s="1240"/>
      <c r="H31" s="1240"/>
      <c r="I31" s="1241"/>
      <c r="J31" s="815">
        <f>J29*J30</f>
        <v>0</v>
      </c>
    </row>
    <row r="32" spans="1:10" ht="18" customHeight="1" x14ac:dyDescent="0.2">
      <c r="A32" s="1239" t="s">
        <v>390</v>
      </c>
      <c r="B32" s="1240"/>
      <c r="C32" s="1240"/>
      <c r="D32" s="1240"/>
      <c r="E32" s="1240"/>
      <c r="F32" s="1240"/>
      <c r="G32" s="1240"/>
      <c r="H32" s="1240"/>
      <c r="I32" s="1241"/>
      <c r="J32" s="815">
        <f>(J31*10%)*19%</f>
        <v>0</v>
      </c>
    </row>
    <row r="33" spans="1:11" ht="18" customHeight="1" thickBot="1" x14ac:dyDescent="0.25">
      <c r="A33" s="1266" t="s">
        <v>496</v>
      </c>
      <c r="B33" s="1267"/>
      <c r="C33" s="1267"/>
      <c r="D33" s="1267"/>
      <c r="E33" s="1267"/>
      <c r="F33" s="1267"/>
      <c r="G33" s="1267"/>
      <c r="H33" s="1267"/>
      <c r="I33" s="1268"/>
      <c r="J33" s="816">
        <f>J31+J32</f>
        <v>0</v>
      </c>
    </row>
    <row r="34" spans="1:11" x14ac:dyDescent="0.2">
      <c r="G34" s="819"/>
      <c r="H34" s="819"/>
    </row>
    <row r="35" spans="1:11" ht="34.5" customHeight="1" x14ac:dyDescent="0.2">
      <c r="A35" s="1269" t="s">
        <v>497</v>
      </c>
      <c r="B35" s="1270"/>
      <c r="C35" s="1270"/>
      <c r="D35" s="1270"/>
      <c r="E35" s="1270"/>
      <c r="F35" s="1270"/>
      <c r="G35" s="1270"/>
      <c r="H35" s="1270"/>
      <c r="I35" s="1270"/>
      <c r="J35" s="1271"/>
      <c r="K35" s="821"/>
    </row>
    <row r="36" spans="1:11" ht="34.5" customHeight="1" x14ac:dyDescent="0.2">
      <c r="A36" s="1269" t="s">
        <v>498</v>
      </c>
      <c r="B36" s="1270"/>
      <c r="C36" s="1270"/>
      <c r="D36" s="1270"/>
      <c r="E36" s="1270"/>
      <c r="F36" s="1270"/>
      <c r="G36" s="1270"/>
      <c r="H36" s="1270"/>
      <c r="I36" s="1270"/>
      <c r="J36" s="1271"/>
      <c r="K36" s="820"/>
    </row>
    <row r="38" spans="1:11" ht="55.5" customHeight="1" thickBot="1" x14ac:dyDescent="0.25">
      <c r="A38" s="1272" t="s">
        <v>499</v>
      </c>
      <c r="B38" s="1272"/>
      <c r="C38" s="1272"/>
      <c r="D38" s="1272"/>
      <c r="E38" s="1272"/>
      <c r="F38" s="1272"/>
      <c r="G38" s="1272"/>
      <c r="H38" s="1272"/>
      <c r="I38" s="1272"/>
      <c r="J38" s="1272"/>
      <c r="K38" s="822"/>
    </row>
    <row r="39" spans="1:11" ht="63.75" customHeight="1" thickBot="1" x14ac:dyDescent="0.25">
      <c r="A39" s="1251" t="s">
        <v>500</v>
      </c>
      <c r="B39" s="1252"/>
      <c r="C39" s="1252"/>
      <c r="D39" s="1252"/>
      <c r="E39" s="1252"/>
      <c r="F39" s="1252"/>
      <c r="G39" s="1253"/>
    </row>
  </sheetData>
  <mergeCells count="24">
    <mergeCell ref="A39:G39"/>
    <mergeCell ref="A13:H13"/>
    <mergeCell ref="A5:H5"/>
    <mergeCell ref="A6:H6"/>
    <mergeCell ref="A7:H7"/>
    <mergeCell ref="A8:H8"/>
    <mergeCell ref="A9:H9"/>
    <mergeCell ref="A10:H10"/>
    <mergeCell ref="A11:H11"/>
    <mergeCell ref="A12:H12"/>
    <mergeCell ref="A32:I32"/>
    <mergeCell ref="A33:I33"/>
    <mergeCell ref="A35:J35"/>
    <mergeCell ref="A36:J36"/>
    <mergeCell ref="A38:J38"/>
    <mergeCell ref="A29:I29"/>
    <mergeCell ref="A30:I30"/>
    <mergeCell ref="A31:I31"/>
    <mergeCell ref="A1:I1"/>
    <mergeCell ref="A2:I2"/>
    <mergeCell ref="A3:I3"/>
    <mergeCell ref="A4:I4"/>
    <mergeCell ref="B24:B28"/>
    <mergeCell ref="C24:C28"/>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31047-D12A-471E-B00C-314FE36BD49B}">
  <sheetPr>
    <tabColor rgb="FFFFFF00"/>
  </sheetPr>
  <dimension ref="A1:O39"/>
  <sheetViews>
    <sheetView topLeftCell="A12" zoomScale="90" zoomScaleNormal="90" workbookViewId="0">
      <selection activeCell="L14" sqref="L14"/>
    </sheetView>
  </sheetViews>
  <sheetFormatPr baseColWidth="10" defaultColWidth="59.1640625" defaultRowHeight="15" x14ac:dyDescent="0.2"/>
  <cols>
    <col min="1" max="1" width="8.1640625" style="817" customWidth="1"/>
    <col min="2" max="2" width="19.33203125" style="818" customWidth="1"/>
    <col min="3" max="4" width="15.6640625" style="818" customWidth="1"/>
    <col min="5" max="5" width="47.33203125" style="818" customWidth="1"/>
    <col min="6" max="6" width="15.83203125" style="818" customWidth="1"/>
    <col min="7" max="8" width="32.83203125" style="818" customWidth="1"/>
    <col min="9" max="9" width="16.33203125" style="818" customWidth="1"/>
    <col min="10" max="10" width="30" style="818" customWidth="1"/>
    <col min="11" max="11" width="16" style="791" customWidth="1"/>
    <col min="12" max="246" width="59.1640625" style="791"/>
    <col min="247" max="247" width="19.33203125" style="791" customWidth="1"/>
    <col min="248" max="248" width="15.5" style="791" customWidth="1"/>
    <col min="249" max="249" width="12" style="791" customWidth="1"/>
    <col min="250" max="250" width="43" style="791" customWidth="1"/>
    <col min="251" max="253" width="0" style="791" hidden="1" customWidth="1"/>
    <col min="254" max="254" width="17.6640625" style="791" customWidth="1"/>
    <col min="255" max="255" width="15.5" style="791" customWidth="1"/>
    <col min="256" max="256" width="17.6640625" style="791" customWidth="1"/>
    <col min="257" max="502" width="59.1640625" style="791"/>
    <col min="503" max="503" width="19.33203125" style="791" customWidth="1"/>
    <col min="504" max="504" width="15.5" style="791" customWidth="1"/>
    <col min="505" max="505" width="12" style="791" customWidth="1"/>
    <col min="506" max="506" width="43" style="791" customWidth="1"/>
    <col min="507" max="509" width="0" style="791" hidden="1" customWidth="1"/>
    <col min="510" max="510" width="17.6640625" style="791" customWidth="1"/>
    <col min="511" max="511" width="15.5" style="791" customWidth="1"/>
    <col min="512" max="512" width="17.6640625" style="791" customWidth="1"/>
    <col min="513" max="758" width="59.1640625" style="791"/>
    <col min="759" max="759" width="19.33203125" style="791" customWidth="1"/>
    <col min="760" max="760" width="15.5" style="791" customWidth="1"/>
    <col min="761" max="761" width="12" style="791" customWidth="1"/>
    <col min="762" max="762" width="43" style="791" customWidth="1"/>
    <col min="763" max="765" width="0" style="791" hidden="1" customWidth="1"/>
    <col min="766" max="766" width="17.6640625" style="791" customWidth="1"/>
    <col min="767" max="767" width="15.5" style="791" customWidth="1"/>
    <col min="768" max="768" width="17.6640625" style="791" customWidth="1"/>
    <col min="769" max="1014" width="59.1640625" style="791"/>
    <col min="1015" max="1015" width="19.33203125" style="791" customWidth="1"/>
    <col min="1016" max="1016" width="15.5" style="791" customWidth="1"/>
    <col min="1017" max="1017" width="12" style="791" customWidth="1"/>
    <col min="1018" max="1018" width="43" style="791" customWidth="1"/>
    <col min="1019" max="1021" width="0" style="791" hidden="1" customWidth="1"/>
    <col min="1022" max="1022" width="17.6640625" style="791" customWidth="1"/>
    <col min="1023" max="1023" width="15.5" style="791" customWidth="1"/>
    <col min="1024" max="1024" width="17.6640625" style="791" customWidth="1"/>
    <col min="1025" max="1270" width="59.1640625" style="791"/>
    <col min="1271" max="1271" width="19.33203125" style="791" customWidth="1"/>
    <col min="1272" max="1272" width="15.5" style="791" customWidth="1"/>
    <col min="1273" max="1273" width="12" style="791" customWidth="1"/>
    <col min="1274" max="1274" width="43" style="791" customWidth="1"/>
    <col min="1275" max="1277" width="0" style="791" hidden="1" customWidth="1"/>
    <col min="1278" max="1278" width="17.6640625" style="791" customWidth="1"/>
    <col min="1279" max="1279" width="15.5" style="791" customWidth="1"/>
    <col min="1280" max="1280" width="17.6640625" style="791" customWidth="1"/>
    <col min="1281" max="1526" width="59.1640625" style="791"/>
    <col min="1527" max="1527" width="19.33203125" style="791" customWidth="1"/>
    <col min="1528" max="1528" width="15.5" style="791" customWidth="1"/>
    <col min="1529" max="1529" width="12" style="791" customWidth="1"/>
    <col min="1530" max="1530" width="43" style="791" customWidth="1"/>
    <col min="1531" max="1533" width="0" style="791" hidden="1" customWidth="1"/>
    <col min="1534" max="1534" width="17.6640625" style="791" customWidth="1"/>
    <col min="1535" max="1535" width="15.5" style="791" customWidth="1"/>
    <col min="1536" max="1536" width="17.6640625" style="791" customWidth="1"/>
    <col min="1537" max="1782" width="59.1640625" style="791"/>
    <col min="1783" max="1783" width="19.33203125" style="791" customWidth="1"/>
    <col min="1784" max="1784" width="15.5" style="791" customWidth="1"/>
    <col min="1785" max="1785" width="12" style="791" customWidth="1"/>
    <col min="1786" max="1786" width="43" style="791" customWidth="1"/>
    <col min="1787" max="1789" width="0" style="791" hidden="1" customWidth="1"/>
    <col min="1790" max="1790" width="17.6640625" style="791" customWidth="1"/>
    <col min="1791" max="1791" width="15.5" style="791" customWidth="1"/>
    <col min="1792" max="1792" width="17.6640625" style="791" customWidth="1"/>
    <col min="1793" max="2038" width="59.1640625" style="791"/>
    <col min="2039" max="2039" width="19.33203125" style="791" customWidth="1"/>
    <col min="2040" max="2040" width="15.5" style="791" customWidth="1"/>
    <col min="2041" max="2041" width="12" style="791" customWidth="1"/>
    <col min="2042" max="2042" width="43" style="791" customWidth="1"/>
    <col min="2043" max="2045" width="0" style="791" hidden="1" customWidth="1"/>
    <col min="2046" max="2046" width="17.6640625" style="791" customWidth="1"/>
    <col min="2047" max="2047" width="15.5" style="791" customWidth="1"/>
    <col min="2048" max="2048" width="17.6640625" style="791" customWidth="1"/>
    <col min="2049" max="2294" width="59.1640625" style="791"/>
    <col min="2295" max="2295" width="19.33203125" style="791" customWidth="1"/>
    <col min="2296" max="2296" width="15.5" style="791" customWidth="1"/>
    <col min="2297" max="2297" width="12" style="791" customWidth="1"/>
    <col min="2298" max="2298" width="43" style="791" customWidth="1"/>
    <col min="2299" max="2301" width="0" style="791" hidden="1" customWidth="1"/>
    <col min="2302" max="2302" width="17.6640625" style="791" customWidth="1"/>
    <col min="2303" max="2303" width="15.5" style="791" customWidth="1"/>
    <col min="2304" max="2304" width="17.6640625" style="791" customWidth="1"/>
    <col min="2305" max="2550" width="59.1640625" style="791"/>
    <col min="2551" max="2551" width="19.33203125" style="791" customWidth="1"/>
    <col min="2552" max="2552" width="15.5" style="791" customWidth="1"/>
    <col min="2553" max="2553" width="12" style="791" customWidth="1"/>
    <col min="2554" max="2554" width="43" style="791" customWidth="1"/>
    <col min="2555" max="2557" width="0" style="791" hidden="1" customWidth="1"/>
    <col min="2558" max="2558" width="17.6640625" style="791" customWidth="1"/>
    <col min="2559" max="2559" width="15.5" style="791" customWidth="1"/>
    <col min="2560" max="2560" width="17.6640625" style="791" customWidth="1"/>
    <col min="2561" max="2806" width="59.1640625" style="791"/>
    <col min="2807" max="2807" width="19.33203125" style="791" customWidth="1"/>
    <col min="2808" max="2808" width="15.5" style="791" customWidth="1"/>
    <col min="2809" max="2809" width="12" style="791" customWidth="1"/>
    <col min="2810" max="2810" width="43" style="791" customWidth="1"/>
    <col min="2811" max="2813" width="0" style="791" hidden="1" customWidth="1"/>
    <col min="2814" max="2814" width="17.6640625" style="791" customWidth="1"/>
    <col min="2815" max="2815" width="15.5" style="791" customWidth="1"/>
    <col min="2816" max="2816" width="17.6640625" style="791" customWidth="1"/>
    <col min="2817" max="3062" width="59.1640625" style="791"/>
    <col min="3063" max="3063" width="19.33203125" style="791" customWidth="1"/>
    <col min="3064" max="3064" width="15.5" style="791" customWidth="1"/>
    <col min="3065" max="3065" width="12" style="791" customWidth="1"/>
    <col min="3066" max="3066" width="43" style="791" customWidth="1"/>
    <col min="3067" max="3069" width="0" style="791" hidden="1" customWidth="1"/>
    <col min="3070" max="3070" width="17.6640625" style="791" customWidth="1"/>
    <col min="3071" max="3071" width="15.5" style="791" customWidth="1"/>
    <col min="3072" max="3072" width="17.6640625" style="791" customWidth="1"/>
    <col min="3073" max="3318" width="59.1640625" style="791"/>
    <col min="3319" max="3319" width="19.33203125" style="791" customWidth="1"/>
    <col min="3320" max="3320" width="15.5" style="791" customWidth="1"/>
    <col min="3321" max="3321" width="12" style="791" customWidth="1"/>
    <col min="3322" max="3322" width="43" style="791" customWidth="1"/>
    <col min="3323" max="3325" width="0" style="791" hidden="1" customWidth="1"/>
    <col min="3326" max="3326" width="17.6640625" style="791" customWidth="1"/>
    <col min="3327" max="3327" width="15.5" style="791" customWidth="1"/>
    <col min="3328" max="3328" width="17.6640625" style="791" customWidth="1"/>
    <col min="3329" max="3574" width="59.1640625" style="791"/>
    <col min="3575" max="3575" width="19.33203125" style="791" customWidth="1"/>
    <col min="3576" max="3576" width="15.5" style="791" customWidth="1"/>
    <col min="3577" max="3577" width="12" style="791" customWidth="1"/>
    <col min="3578" max="3578" width="43" style="791" customWidth="1"/>
    <col min="3579" max="3581" width="0" style="791" hidden="1" customWidth="1"/>
    <col min="3582" max="3582" width="17.6640625" style="791" customWidth="1"/>
    <col min="3583" max="3583" width="15.5" style="791" customWidth="1"/>
    <col min="3584" max="3584" width="17.6640625" style="791" customWidth="1"/>
    <col min="3585" max="3830" width="59.1640625" style="791"/>
    <col min="3831" max="3831" width="19.33203125" style="791" customWidth="1"/>
    <col min="3832" max="3832" width="15.5" style="791" customWidth="1"/>
    <col min="3833" max="3833" width="12" style="791" customWidth="1"/>
    <col min="3834" max="3834" width="43" style="791" customWidth="1"/>
    <col min="3835" max="3837" width="0" style="791" hidden="1" customWidth="1"/>
    <col min="3838" max="3838" width="17.6640625" style="791" customWidth="1"/>
    <col min="3839" max="3839" width="15.5" style="791" customWidth="1"/>
    <col min="3840" max="3840" width="17.6640625" style="791" customWidth="1"/>
    <col min="3841" max="4086" width="59.1640625" style="791"/>
    <col min="4087" max="4087" width="19.33203125" style="791" customWidth="1"/>
    <col min="4088" max="4088" width="15.5" style="791" customWidth="1"/>
    <col min="4089" max="4089" width="12" style="791" customWidth="1"/>
    <col min="4090" max="4090" width="43" style="791" customWidth="1"/>
    <col min="4091" max="4093" width="0" style="791" hidden="1" customWidth="1"/>
    <col min="4094" max="4094" width="17.6640625" style="791" customWidth="1"/>
    <col min="4095" max="4095" width="15.5" style="791" customWidth="1"/>
    <col min="4096" max="4096" width="17.6640625" style="791" customWidth="1"/>
    <col min="4097" max="4342" width="59.1640625" style="791"/>
    <col min="4343" max="4343" width="19.33203125" style="791" customWidth="1"/>
    <col min="4344" max="4344" width="15.5" style="791" customWidth="1"/>
    <col min="4345" max="4345" width="12" style="791" customWidth="1"/>
    <col min="4346" max="4346" width="43" style="791" customWidth="1"/>
    <col min="4347" max="4349" width="0" style="791" hidden="1" customWidth="1"/>
    <col min="4350" max="4350" width="17.6640625" style="791" customWidth="1"/>
    <col min="4351" max="4351" width="15.5" style="791" customWidth="1"/>
    <col min="4352" max="4352" width="17.6640625" style="791" customWidth="1"/>
    <col min="4353" max="4598" width="59.1640625" style="791"/>
    <col min="4599" max="4599" width="19.33203125" style="791" customWidth="1"/>
    <col min="4600" max="4600" width="15.5" style="791" customWidth="1"/>
    <col min="4601" max="4601" width="12" style="791" customWidth="1"/>
    <col min="4602" max="4602" width="43" style="791" customWidth="1"/>
    <col min="4603" max="4605" width="0" style="791" hidden="1" customWidth="1"/>
    <col min="4606" max="4606" width="17.6640625" style="791" customWidth="1"/>
    <col min="4607" max="4607" width="15.5" style="791" customWidth="1"/>
    <col min="4608" max="4608" width="17.6640625" style="791" customWidth="1"/>
    <col min="4609" max="4854" width="59.1640625" style="791"/>
    <col min="4855" max="4855" width="19.33203125" style="791" customWidth="1"/>
    <col min="4856" max="4856" width="15.5" style="791" customWidth="1"/>
    <col min="4857" max="4857" width="12" style="791" customWidth="1"/>
    <col min="4858" max="4858" width="43" style="791" customWidth="1"/>
    <col min="4859" max="4861" width="0" style="791" hidden="1" customWidth="1"/>
    <col min="4862" max="4862" width="17.6640625" style="791" customWidth="1"/>
    <col min="4863" max="4863" width="15.5" style="791" customWidth="1"/>
    <col min="4864" max="4864" width="17.6640625" style="791" customWidth="1"/>
    <col min="4865" max="5110" width="59.1640625" style="791"/>
    <col min="5111" max="5111" width="19.33203125" style="791" customWidth="1"/>
    <col min="5112" max="5112" width="15.5" style="791" customWidth="1"/>
    <col min="5113" max="5113" width="12" style="791" customWidth="1"/>
    <col min="5114" max="5114" width="43" style="791" customWidth="1"/>
    <col min="5115" max="5117" width="0" style="791" hidden="1" customWidth="1"/>
    <col min="5118" max="5118" width="17.6640625" style="791" customWidth="1"/>
    <col min="5119" max="5119" width="15.5" style="791" customWidth="1"/>
    <col min="5120" max="5120" width="17.6640625" style="791" customWidth="1"/>
    <col min="5121" max="5366" width="59.1640625" style="791"/>
    <col min="5367" max="5367" width="19.33203125" style="791" customWidth="1"/>
    <col min="5368" max="5368" width="15.5" style="791" customWidth="1"/>
    <col min="5369" max="5369" width="12" style="791" customWidth="1"/>
    <col min="5370" max="5370" width="43" style="791" customWidth="1"/>
    <col min="5371" max="5373" width="0" style="791" hidden="1" customWidth="1"/>
    <col min="5374" max="5374" width="17.6640625" style="791" customWidth="1"/>
    <col min="5375" max="5375" width="15.5" style="791" customWidth="1"/>
    <col min="5376" max="5376" width="17.6640625" style="791" customWidth="1"/>
    <col min="5377" max="5622" width="59.1640625" style="791"/>
    <col min="5623" max="5623" width="19.33203125" style="791" customWidth="1"/>
    <col min="5624" max="5624" width="15.5" style="791" customWidth="1"/>
    <col min="5625" max="5625" width="12" style="791" customWidth="1"/>
    <col min="5626" max="5626" width="43" style="791" customWidth="1"/>
    <col min="5627" max="5629" width="0" style="791" hidden="1" customWidth="1"/>
    <col min="5630" max="5630" width="17.6640625" style="791" customWidth="1"/>
    <col min="5631" max="5631" width="15.5" style="791" customWidth="1"/>
    <col min="5632" max="5632" width="17.6640625" style="791" customWidth="1"/>
    <col min="5633" max="5878" width="59.1640625" style="791"/>
    <col min="5879" max="5879" width="19.33203125" style="791" customWidth="1"/>
    <col min="5880" max="5880" width="15.5" style="791" customWidth="1"/>
    <col min="5881" max="5881" width="12" style="791" customWidth="1"/>
    <col min="5882" max="5882" width="43" style="791" customWidth="1"/>
    <col min="5883" max="5885" width="0" style="791" hidden="1" customWidth="1"/>
    <col min="5886" max="5886" width="17.6640625" style="791" customWidth="1"/>
    <col min="5887" max="5887" width="15.5" style="791" customWidth="1"/>
    <col min="5888" max="5888" width="17.6640625" style="791" customWidth="1"/>
    <col min="5889" max="6134" width="59.1640625" style="791"/>
    <col min="6135" max="6135" width="19.33203125" style="791" customWidth="1"/>
    <col min="6136" max="6136" width="15.5" style="791" customWidth="1"/>
    <col min="6137" max="6137" width="12" style="791" customWidth="1"/>
    <col min="6138" max="6138" width="43" style="791" customWidth="1"/>
    <col min="6139" max="6141" width="0" style="791" hidden="1" customWidth="1"/>
    <col min="6142" max="6142" width="17.6640625" style="791" customWidth="1"/>
    <col min="6143" max="6143" width="15.5" style="791" customWidth="1"/>
    <col min="6144" max="6144" width="17.6640625" style="791" customWidth="1"/>
    <col min="6145" max="6390" width="59.1640625" style="791"/>
    <col min="6391" max="6391" width="19.33203125" style="791" customWidth="1"/>
    <col min="6392" max="6392" width="15.5" style="791" customWidth="1"/>
    <col min="6393" max="6393" width="12" style="791" customWidth="1"/>
    <col min="6394" max="6394" width="43" style="791" customWidth="1"/>
    <col min="6395" max="6397" width="0" style="791" hidden="1" customWidth="1"/>
    <col min="6398" max="6398" width="17.6640625" style="791" customWidth="1"/>
    <col min="6399" max="6399" width="15.5" style="791" customWidth="1"/>
    <col min="6400" max="6400" width="17.6640625" style="791" customWidth="1"/>
    <col min="6401" max="6646" width="59.1640625" style="791"/>
    <col min="6647" max="6647" width="19.33203125" style="791" customWidth="1"/>
    <col min="6648" max="6648" width="15.5" style="791" customWidth="1"/>
    <col min="6649" max="6649" width="12" style="791" customWidth="1"/>
    <col min="6650" max="6650" width="43" style="791" customWidth="1"/>
    <col min="6651" max="6653" width="0" style="791" hidden="1" customWidth="1"/>
    <col min="6654" max="6654" width="17.6640625" style="791" customWidth="1"/>
    <col min="6655" max="6655" width="15.5" style="791" customWidth="1"/>
    <col min="6656" max="6656" width="17.6640625" style="791" customWidth="1"/>
    <col min="6657" max="6902" width="59.1640625" style="791"/>
    <col min="6903" max="6903" width="19.33203125" style="791" customWidth="1"/>
    <col min="6904" max="6904" width="15.5" style="791" customWidth="1"/>
    <col min="6905" max="6905" width="12" style="791" customWidth="1"/>
    <col min="6906" max="6906" width="43" style="791" customWidth="1"/>
    <col min="6907" max="6909" width="0" style="791" hidden="1" customWidth="1"/>
    <col min="6910" max="6910" width="17.6640625" style="791" customWidth="1"/>
    <col min="6911" max="6911" width="15.5" style="791" customWidth="1"/>
    <col min="6912" max="6912" width="17.6640625" style="791" customWidth="1"/>
    <col min="6913" max="7158" width="59.1640625" style="791"/>
    <col min="7159" max="7159" width="19.33203125" style="791" customWidth="1"/>
    <col min="7160" max="7160" width="15.5" style="791" customWidth="1"/>
    <col min="7161" max="7161" width="12" style="791" customWidth="1"/>
    <col min="7162" max="7162" width="43" style="791" customWidth="1"/>
    <col min="7163" max="7165" width="0" style="791" hidden="1" customWidth="1"/>
    <col min="7166" max="7166" width="17.6640625" style="791" customWidth="1"/>
    <col min="7167" max="7167" width="15.5" style="791" customWidth="1"/>
    <col min="7168" max="7168" width="17.6640625" style="791" customWidth="1"/>
    <col min="7169" max="7414" width="59.1640625" style="791"/>
    <col min="7415" max="7415" width="19.33203125" style="791" customWidth="1"/>
    <col min="7416" max="7416" width="15.5" style="791" customWidth="1"/>
    <col min="7417" max="7417" width="12" style="791" customWidth="1"/>
    <col min="7418" max="7418" width="43" style="791" customWidth="1"/>
    <col min="7419" max="7421" width="0" style="791" hidden="1" customWidth="1"/>
    <col min="7422" max="7422" width="17.6640625" style="791" customWidth="1"/>
    <col min="7423" max="7423" width="15.5" style="791" customWidth="1"/>
    <col min="7424" max="7424" width="17.6640625" style="791" customWidth="1"/>
    <col min="7425" max="7670" width="59.1640625" style="791"/>
    <col min="7671" max="7671" width="19.33203125" style="791" customWidth="1"/>
    <col min="7672" max="7672" width="15.5" style="791" customWidth="1"/>
    <col min="7673" max="7673" width="12" style="791" customWidth="1"/>
    <col min="7674" max="7674" width="43" style="791" customWidth="1"/>
    <col min="7675" max="7677" width="0" style="791" hidden="1" customWidth="1"/>
    <col min="7678" max="7678" width="17.6640625" style="791" customWidth="1"/>
    <col min="7679" max="7679" width="15.5" style="791" customWidth="1"/>
    <col min="7680" max="7680" width="17.6640625" style="791" customWidth="1"/>
    <col min="7681" max="7926" width="59.1640625" style="791"/>
    <col min="7927" max="7927" width="19.33203125" style="791" customWidth="1"/>
    <col min="7928" max="7928" width="15.5" style="791" customWidth="1"/>
    <col min="7929" max="7929" width="12" style="791" customWidth="1"/>
    <col min="7930" max="7930" width="43" style="791" customWidth="1"/>
    <col min="7931" max="7933" width="0" style="791" hidden="1" customWidth="1"/>
    <col min="7934" max="7934" width="17.6640625" style="791" customWidth="1"/>
    <col min="7935" max="7935" width="15.5" style="791" customWidth="1"/>
    <col min="7936" max="7936" width="17.6640625" style="791" customWidth="1"/>
    <col min="7937" max="8182" width="59.1640625" style="791"/>
    <col min="8183" max="8183" width="19.33203125" style="791" customWidth="1"/>
    <col min="8184" max="8184" width="15.5" style="791" customWidth="1"/>
    <col min="8185" max="8185" width="12" style="791" customWidth="1"/>
    <col min="8186" max="8186" width="43" style="791" customWidth="1"/>
    <col min="8187" max="8189" width="0" style="791" hidden="1" customWidth="1"/>
    <col min="8190" max="8190" width="17.6640625" style="791" customWidth="1"/>
    <col min="8191" max="8191" width="15.5" style="791" customWidth="1"/>
    <col min="8192" max="8192" width="17.6640625" style="791" customWidth="1"/>
    <col min="8193" max="8438" width="59.1640625" style="791"/>
    <col min="8439" max="8439" width="19.33203125" style="791" customWidth="1"/>
    <col min="8440" max="8440" width="15.5" style="791" customWidth="1"/>
    <col min="8441" max="8441" width="12" style="791" customWidth="1"/>
    <col min="8442" max="8442" width="43" style="791" customWidth="1"/>
    <col min="8443" max="8445" width="0" style="791" hidden="1" customWidth="1"/>
    <col min="8446" max="8446" width="17.6640625" style="791" customWidth="1"/>
    <col min="8447" max="8447" width="15.5" style="791" customWidth="1"/>
    <col min="8448" max="8448" width="17.6640625" style="791" customWidth="1"/>
    <col min="8449" max="8694" width="59.1640625" style="791"/>
    <col min="8695" max="8695" width="19.33203125" style="791" customWidth="1"/>
    <col min="8696" max="8696" width="15.5" style="791" customWidth="1"/>
    <col min="8697" max="8697" width="12" style="791" customWidth="1"/>
    <col min="8698" max="8698" width="43" style="791" customWidth="1"/>
    <col min="8699" max="8701" width="0" style="791" hidden="1" customWidth="1"/>
    <col min="8702" max="8702" width="17.6640625" style="791" customWidth="1"/>
    <col min="8703" max="8703" width="15.5" style="791" customWidth="1"/>
    <col min="8704" max="8704" width="17.6640625" style="791" customWidth="1"/>
    <col min="8705" max="8950" width="59.1640625" style="791"/>
    <col min="8951" max="8951" width="19.33203125" style="791" customWidth="1"/>
    <col min="8952" max="8952" width="15.5" style="791" customWidth="1"/>
    <col min="8953" max="8953" width="12" style="791" customWidth="1"/>
    <col min="8954" max="8954" width="43" style="791" customWidth="1"/>
    <col min="8955" max="8957" width="0" style="791" hidden="1" customWidth="1"/>
    <col min="8958" max="8958" width="17.6640625" style="791" customWidth="1"/>
    <col min="8959" max="8959" width="15.5" style="791" customWidth="1"/>
    <col min="8960" max="8960" width="17.6640625" style="791" customWidth="1"/>
    <col min="8961" max="9206" width="59.1640625" style="791"/>
    <col min="9207" max="9207" width="19.33203125" style="791" customWidth="1"/>
    <col min="9208" max="9208" width="15.5" style="791" customWidth="1"/>
    <col min="9209" max="9209" width="12" style="791" customWidth="1"/>
    <col min="9210" max="9210" width="43" style="791" customWidth="1"/>
    <col min="9211" max="9213" width="0" style="791" hidden="1" customWidth="1"/>
    <col min="9214" max="9214" width="17.6640625" style="791" customWidth="1"/>
    <col min="9215" max="9215" width="15.5" style="791" customWidth="1"/>
    <col min="9216" max="9216" width="17.6640625" style="791" customWidth="1"/>
    <col min="9217" max="9462" width="59.1640625" style="791"/>
    <col min="9463" max="9463" width="19.33203125" style="791" customWidth="1"/>
    <col min="9464" max="9464" width="15.5" style="791" customWidth="1"/>
    <col min="9465" max="9465" width="12" style="791" customWidth="1"/>
    <col min="9466" max="9466" width="43" style="791" customWidth="1"/>
    <col min="9467" max="9469" width="0" style="791" hidden="1" customWidth="1"/>
    <col min="9470" max="9470" width="17.6640625" style="791" customWidth="1"/>
    <col min="9471" max="9471" width="15.5" style="791" customWidth="1"/>
    <col min="9472" max="9472" width="17.6640625" style="791" customWidth="1"/>
    <col min="9473" max="9718" width="59.1640625" style="791"/>
    <col min="9719" max="9719" width="19.33203125" style="791" customWidth="1"/>
    <col min="9720" max="9720" width="15.5" style="791" customWidth="1"/>
    <col min="9721" max="9721" width="12" style="791" customWidth="1"/>
    <col min="9722" max="9722" width="43" style="791" customWidth="1"/>
    <col min="9723" max="9725" width="0" style="791" hidden="1" customWidth="1"/>
    <col min="9726" max="9726" width="17.6640625" style="791" customWidth="1"/>
    <col min="9727" max="9727" width="15.5" style="791" customWidth="1"/>
    <col min="9728" max="9728" width="17.6640625" style="791" customWidth="1"/>
    <col min="9729" max="9974" width="59.1640625" style="791"/>
    <col min="9975" max="9975" width="19.33203125" style="791" customWidth="1"/>
    <col min="9976" max="9976" width="15.5" style="791" customWidth="1"/>
    <col min="9977" max="9977" width="12" style="791" customWidth="1"/>
    <col min="9978" max="9978" width="43" style="791" customWidth="1"/>
    <col min="9979" max="9981" width="0" style="791" hidden="1" customWidth="1"/>
    <col min="9982" max="9982" width="17.6640625" style="791" customWidth="1"/>
    <col min="9983" max="9983" width="15.5" style="791" customWidth="1"/>
    <col min="9984" max="9984" width="17.6640625" style="791" customWidth="1"/>
    <col min="9985" max="10230" width="59.1640625" style="791"/>
    <col min="10231" max="10231" width="19.33203125" style="791" customWidth="1"/>
    <col min="10232" max="10232" width="15.5" style="791" customWidth="1"/>
    <col min="10233" max="10233" width="12" style="791" customWidth="1"/>
    <col min="10234" max="10234" width="43" style="791" customWidth="1"/>
    <col min="10235" max="10237" width="0" style="791" hidden="1" customWidth="1"/>
    <col min="10238" max="10238" width="17.6640625" style="791" customWidth="1"/>
    <col min="10239" max="10239" width="15.5" style="791" customWidth="1"/>
    <col min="10240" max="10240" width="17.6640625" style="791" customWidth="1"/>
    <col min="10241" max="10486" width="59.1640625" style="791"/>
    <col min="10487" max="10487" width="19.33203125" style="791" customWidth="1"/>
    <col min="10488" max="10488" width="15.5" style="791" customWidth="1"/>
    <col min="10489" max="10489" width="12" style="791" customWidth="1"/>
    <col min="10490" max="10490" width="43" style="791" customWidth="1"/>
    <col min="10491" max="10493" width="0" style="791" hidden="1" customWidth="1"/>
    <col min="10494" max="10494" width="17.6640625" style="791" customWidth="1"/>
    <col min="10495" max="10495" width="15.5" style="791" customWidth="1"/>
    <col min="10496" max="10496" width="17.6640625" style="791" customWidth="1"/>
    <col min="10497" max="10742" width="59.1640625" style="791"/>
    <col min="10743" max="10743" width="19.33203125" style="791" customWidth="1"/>
    <col min="10744" max="10744" width="15.5" style="791" customWidth="1"/>
    <col min="10745" max="10745" width="12" style="791" customWidth="1"/>
    <col min="10746" max="10746" width="43" style="791" customWidth="1"/>
    <col min="10747" max="10749" width="0" style="791" hidden="1" customWidth="1"/>
    <col min="10750" max="10750" width="17.6640625" style="791" customWidth="1"/>
    <col min="10751" max="10751" width="15.5" style="791" customWidth="1"/>
    <col min="10752" max="10752" width="17.6640625" style="791" customWidth="1"/>
    <col min="10753" max="10998" width="59.1640625" style="791"/>
    <col min="10999" max="10999" width="19.33203125" style="791" customWidth="1"/>
    <col min="11000" max="11000" width="15.5" style="791" customWidth="1"/>
    <col min="11001" max="11001" width="12" style="791" customWidth="1"/>
    <col min="11002" max="11002" width="43" style="791" customWidth="1"/>
    <col min="11003" max="11005" width="0" style="791" hidden="1" customWidth="1"/>
    <col min="11006" max="11006" width="17.6640625" style="791" customWidth="1"/>
    <col min="11007" max="11007" width="15.5" style="791" customWidth="1"/>
    <col min="11008" max="11008" width="17.6640625" style="791" customWidth="1"/>
    <col min="11009" max="11254" width="59.1640625" style="791"/>
    <col min="11255" max="11255" width="19.33203125" style="791" customWidth="1"/>
    <col min="11256" max="11256" width="15.5" style="791" customWidth="1"/>
    <col min="11257" max="11257" width="12" style="791" customWidth="1"/>
    <col min="11258" max="11258" width="43" style="791" customWidth="1"/>
    <col min="11259" max="11261" width="0" style="791" hidden="1" customWidth="1"/>
    <col min="11262" max="11262" width="17.6640625" style="791" customWidth="1"/>
    <col min="11263" max="11263" width="15.5" style="791" customWidth="1"/>
    <col min="11264" max="11264" width="17.6640625" style="791" customWidth="1"/>
    <col min="11265" max="11510" width="59.1640625" style="791"/>
    <col min="11511" max="11511" width="19.33203125" style="791" customWidth="1"/>
    <col min="11512" max="11512" width="15.5" style="791" customWidth="1"/>
    <col min="11513" max="11513" width="12" style="791" customWidth="1"/>
    <col min="11514" max="11514" width="43" style="791" customWidth="1"/>
    <col min="11515" max="11517" width="0" style="791" hidden="1" customWidth="1"/>
    <col min="11518" max="11518" width="17.6640625" style="791" customWidth="1"/>
    <col min="11519" max="11519" width="15.5" style="791" customWidth="1"/>
    <col min="11520" max="11520" width="17.6640625" style="791" customWidth="1"/>
    <col min="11521" max="11766" width="59.1640625" style="791"/>
    <col min="11767" max="11767" width="19.33203125" style="791" customWidth="1"/>
    <col min="11768" max="11768" width="15.5" style="791" customWidth="1"/>
    <col min="11769" max="11769" width="12" style="791" customWidth="1"/>
    <col min="11770" max="11770" width="43" style="791" customWidth="1"/>
    <col min="11771" max="11773" width="0" style="791" hidden="1" customWidth="1"/>
    <col min="11774" max="11774" width="17.6640625" style="791" customWidth="1"/>
    <col min="11775" max="11775" width="15.5" style="791" customWidth="1"/>
    <col min="11776" max="11776" width="17.6640625" style="791" customWidth="1"/>
    <col min="11777" max="12022" width="59.1640625" style="791"/>
    <col min="12023" max="12023" width="19.33203125" style="791" customWidth="1"/>
    <col min="12024" max="12024" width="15.5" style="791" customWidth="1"/>
    <col min="12025" max="12025" width="12" style="791" customWidth="1"/>
    <col min="12026" max="12026" width="43" style="791" customWidth="1"/>
    <col min="12027" max="12029" width="0" style="791" hidden="1" customWidth="1"/>
    <col min="12030" max="12030" width="17.6640625" style="791" customWidth="1"/>
    <col min="12031" max="12031" width="15.5" style="791" customWidth="1"/>
    <col min="12032" max="12032" width="17.6640625" style="791" customWidth="1"/>
    <col min="12033" max="12278" width="59.1640625" style="791"/>
    <col min="12279" max="12279" width="19.33203125" style="791" customWidth="1"/>
    <col min="12280" max="12280" width="15.5" style="791" customWidth="1"/>
    <col min="12281" max="12281" width="12" style="791" customWidth="1"/>
    <col min="12282" max="12282" width="43" style="791" customWidth="1"/>
    <col min="12283" max="12285" width="0" style="791" hidden="1" customWidth="1"/>
    <col min="12286" max="12286" width="17.6640625" style="791" customWidth="1"/>
    <col min="12287" max="12287" width="15.5" style="791" customWidth="1"/>
    <col min="12288" max="12288" width="17.6640625" style="791" customWidth="1"/>
    <col min="12289" max="12534" width="59.1640625" style="791"/>
    <col min="12535" max="12535" width="19.33203125" style="791" customWidth="1"/>
    <col min="12536" max="12536" width="15.5" style="791" customWidth="1"/>
    <col min="12537" max="12537" width="12" style="791" customWidth="1"/>
    <col min="12538" max="12538" width="43" style="791" customWidth="1"/>
    <col min="12539" max="12541" width="0" style="791" hidden="1" customWidth="1"/>
    <col min="12542" max="12542" width="17.6640625" style="791" customWidth="1"/>
    <col min="12543" max="12543" width="15.5" style="791" customWidth="1"/>
    <col min="12544" max="12544" width="17.6640625" style="791" customWidth="1"/>
    <col min="12545" max="12790" width="59.1640625" style="791"/>
    <col min="12791" max="12791" width="19.33203125" style="791" customWidth="1"/>
    <col min="12792" max="12792" width="15.5" style="791" customWidth="1"/>
    <col min="12793" max="12793" width="12" style="791" customWidth="1"/>
    <col min="12794" max="12794" width="43" style="791" customWidth="1"/>
    <col min="12795" max="12797" width="0" style="791" hidden="1" customWidth="1"/>
    <col min="12798" max="12798" width="17.6640625" style="791" customWidth="1"/>
    <col min="12799" max="12799" width="15.5" style="791" customWidth="1"/>
    <col min="12800" max="12800" width="17.6640625" style="791" customWidth="1"/>
    <col min="12801" max="13046" width="59.1640625" style="791"/>
    <col min="13047" max="13047" width="19.33203125" style="791" customWidth="1"/>
    <col min="13048" max="13048" width="15.5" style="791" customWidth="1"/>
    <col min="13049" max="13049" width="12" style="791" customWidth="1"/>
    <col min="13050" max="13050" width="43" style="791" customWidth="1"/>
    <col min="13051" max="13053" width="0" style="791" hidden="1" customWidth="1"/>
    <col min="13054" max="13054" width="17.6640625" style="791" customWidth="1"/>
    <col min="13055" max="13055" width="15.5" style="791" customWidth="1"/>
    <col min="13056" max="13056" width="17.6640625" style="791" customWidth="1"/>
    <col min="13057" max="13302" width="59.1640625" style="791"/>
    <col min="13303" max="13303" width="19.33203125" style="791" customWidth="1"/>
    <col min="13304" max="13304" width="15.5" style="791" customWidth="1"/>
    <col min="13305" max="13305" width="12" style="791" customWidth="1"/>
    <col min="13306" max="13306" width="43" style="791" customWidth="1"/>
    <col min="13307" max="13309" width="0" style="791" hidden="1" customWidth="1"/>
    <col min="13310" max="13310" width="17.6640625" style="791" customWidth="1"/>
    <col min="13311" max="13311" width="15.5" style="791" customWidth="1"/>
    <col min="13312" max="13312" width="17.6640625" style="791" customWidth="1"/>
    <col min="13313" max="13558" width="59.1640625" style="791"/>
    <col min="13559" max="13559" width="19.33203125" style="791" customWidth="1"/>
    <col min="13560" max="13560" width="15.5" style="791" customWidth="1"/>
    <col min="13561" max="13561" width="12" style="791" customWidth="1"/>
    <col min="13562" max="13562" width="43" style="791" customWidth="1"/>
    <col min="13563" max="13565" width="0" style="791" hidden="1" customWidth="1"/>
    <col min="13566" max="13566" width="17.6640625" style="791" customWidth="1"/>
    <col min="13567" max="13567" width="15.5" style="791" customWidth="1"/>
    <col min="13568" max="13568" width="17.6640625" style="791" customWidth="1"/>
    <col min="13569" max="13814" width="59.1640625" style="791"/>
    <col min="13815" max="13815" width="19.33203125" style="791" customWidth="1"/>
    <col min="13816" max="13816" width="15.5" style="791" customWidth="1"/>
    <col min="13817" max="13817" width="12" style="791" customWidth="1"/>
    <col min="13818" max="13818" width="43" style="791" customWidth="1"/>
    <col min="13819" max="13821" width="0" style="791" hidden="1" customWidth="1"/>
    <col min="13822" max="13822" width="17.6640625" style="791" customWidth="1"/>
    <col min="13823" max="13823" width="15.5" style="791" customWidth="1"/>
    <col min="13824" max="13824" width="17.6640625" style="791" customWidth="1"/>
    <col min="13825" max="14070" width="59.1640625" style="791"/>
    <col min="14071" max="14071" width="19.33203125" style="791" customWidth="1"/>
    <col min="14072" max="14072" width="15.5" style="791" customWidth="1"/>
    <col min="14073" max="14073" width="12" style="791" customWidth="1"/>
    <col min="14074" max="14074" width="43" style="791" customWidth="1"/>
    <col min="14075" max="14077" width="0" style="791" hidden="1" customWidth="1"/>
    <col min="14078" max="14078" width="17.6640625" style="791" customWidth="1"/>
    <col min="14079" max="14079" width="15.5" style="791" customWidth="1"/>
    <col min="14080" max="14080" width="17.6640625" style="791" customWidth="1"/>
    <col min="14081" max="14326" width="59.1640625" style="791"/>
    <col min="14327" max="14327" width="19.33203125" style="791" customWidth="1"/>
    <col min="14328" max="14328" width="15.5" style="791" customWidth="1"/>
    <col min="14329" max="14329" width="12" style="791" customWidth="1"/>
    <col min="14330" max="14330" width="43" style="791" customWidth="1"/>
    <col min="14331" max="14333" width="0" style="791" hidden="1" customWidth="1"/>
    <col min="14334" max="14334" width="17.6640625" style="791" customWidth="1"/>
    <col min="14335" max="14335" width="15.5" style="791" customWidth="1"/>
    <col min="14336" max="14336" width="17.6640625" style="791" customWidth="1"/>
    <col min="14337" max="14582" width="59.1640625" style="791"/>
    <col min="14583" max="14583" width="19.33203125" style="791" customWidth="1"/>
    <col min="14584" max="14584" width="15.5" style="791" customWidth="1"/>
    <col min="14585" max="14585" width="12" style="791" customWidth="1"/>
    <col min="14586" max="14586" width="43" style="791" customWidth="1"/>
    <col min="14587" max="14589" width="0" style="791" hidden="1" customWidth="1"/>
    <col min="14590" max="14590" width="17.6640625" style="791" customWidth="1"/>
    <col min="14591" max="14591" width="15.5" style="791" customWidth="1"/>
    <col min="14592" max="14592" width="17.6640625" style="791" customWidth="1"/>
    <col min="14593" max="14838" width="59.1640625" style="791"/>
    <col min="14839" max="14839" width="19.33203125" style="791" customWidth="1"/>
    <col min="14840" max="14840" width="15.5" style="791" customWidth="1"/>
    <col min="14841" max="14841" width="12" style="791" customWidth="1"/>
    <col min="14842" max="14842" width="43" style="791" customWidth="1"/>
    <col min="14843" max="14845" width="0" style="791" hidden="1" customWidth="1"/>
    <col min="14846" max="14846" width="17.6640625" style="791" customWidth="1"/>
    <col min="14847" max="14847" width="15.5" style="791" customWidth="1"/>
    <col min="14848" max="14848" width="17.6640625" style="791" customWidth="1"/>
    <col min="14849" max="15094" width="59.1640625" style="791"/>
    <col min="15095" max="15095" width="19.33203125" style="791" customWidth="1"/>
    <col min="15096" max="15096" width="15.5" style="791" customWidth="1"/>
    <col min="15097" max="15097" width="12" style="791" customWidth="1"/>
    <col min="15098" max="15098" width="43" style="791" customWidth="1"/>
    <col min="15099" max="15101" width="0" style="791" hidden="1" customWidth="1"/>
    <col min="15102" max="15102" width="17.6640625" style="791" customWidth="1"/>
    <col min="15103" max="15103" width="15.5" style="791" customWidth="1"/>
    <col min="15104" max="15104" width="17.6640625" style="791" customWidth="1"/>
    <col min="15105" max="15350" width="59.1640625" style="791"/>
    <col min="15351" max="15351" width="19.33203125" style="791" customWidth="1"/>
    <col min="15352" max="15352" width="15.5" style="791" customWidth="1"/>
    <col min="15353" max="15353" width="12" style="791" customWidth="1"/>
    <col min="15354" max="15354" width="43" style="791" customWidth="1"/>
    <col min="15355" max="15357" width="0" style="791" hidden="1" customWidth="1"/>
    <col min="15358" max="15358" width="17.6640625" style="791" customWidth="1"/>
    <col min="15359" max="15359" width="15.5" style="791" customWidth="1"/>
    <col min="15360" max="15360" width="17.6640625" style="791" customWidth="1"/>
    <col min="15361" max="15606" width="59.1640625" style="791"/>
    <col min="15607" max="15607" width="19.33203125" style="791" customWidth="1"/>
    <col min="15608" max="15608" width="15.5" style="791" customWidth="1"/>
    <col min="15609" max="15609" width="12" style="791" customWidth="1"/>
    <col min="15610" max="15610" width="43" style="791" customWidth="1"/>
    <col min="15611" max="15613" width="0" style="791" hidden="1" customWidth="1"/>
    <col min="15614" max="15614" width="17.6640625" style="791" customWidth="1"/>
    <col min="15615" max="15615" width="15.5" style="791" customWidth="1"/>
    <col min="15616" max="15616" width="17.6640625" style="791" customWidth="1"/>
    <col min="15617" max="15862" width="59.1640625" style="791"/>
    <col min="15863" max="15863" width="19.33203125" style="791" customWidth="1"/>
    <col min="15864" max="15864" width="15.5" style="791" customWidth="1"/>
    <col min="15865" max="15865" width="12" style="791" customWidth="1"/>
    <col min="15866" max="15866" width="43" style="791" customWidth="1"/>
    <col min="15867" max="15869" width="0" style="791" hidden="1" customWidth="1"/>
    <col min="15870" max="15870" width="17.6640625" style="791" customWidth="1"/>
    <col min="15871" max="15871" width="15.5" style="791" customWidth="1"/>
    <col min="15872" max="15872" width="17.6640625" style="791" customWidth="1"/>
    <col min="15873" max="16118" width="59.1640625" style="791"/>
    <col min="16119" max="16119" width="19.33203125" style="791" customWidth="1"/>
    <col min="16120" max="16120" width="15.5" style="791" customWidth="1"/>
    <col min="16121" max="16121" width="12" style="791" customWidth="1"/>
    <col min="16122" max="16122" width="43" style="791" customWidth="1"/>
    <col min="16123" max="16125" width="0" style="791" hidden="1" customWidth="1"/>
    <col min="16126" max="16126" width="17.6640625" style="791" customWidth="1"/>
    <col min="16127" max="16127" width="15.5" style="791" customWidth="1"/>
    <col min="16128" max="16128" width="17.6640625" style="791" customWidth="1"/>
    <col min="16129" max="16384" width="59.1640625" style="791"/>
  </cols>
  <sheetData>
    <row r="1" spans="1:15" s="825" customFormat="1" ht="15.75" customHeight="1" x14ac:dyDescent="0.2">
      <c r="A1" s="1242" t="s">
        <v>435</v>
      </c>
      <c r="B1" s="1242"/>
      <c r="C1" s="1242"/>
      <c r="D1" s="1242"/>
      <c r="E1" s="1242"/>
      <c r="F1" s="1242"/>
      <c r="G1" s="1242"/>
      <c r="H1" s="1242"/>
      <c r="I1" s="1242"/>
    </row>
    <row r="2" spans="1:15" s="825" customFormat="1" x14ac:dyDescent="0.2">
      <c r="A2" s="1243" t="s">
        <v>436</v>
      </c>
      <c r="B2" s="1243"/>
      <c r="C2" s="1243"/>
      <c r="D2" s="1243"/>
      <c r="E2" s="1243"/>
      <c r="F2" s="1243"/>
      <c r="G2" s="1243"/>
      <c r="H2" s="1243"/>
      <c r="I2" s="1243"/>
    </row>
    <row r="3" spans="1:15" s="825" customFormat="1" ht="15.75" customHeight="1" x14ac:dyDescent="0.2">
      <c r="A3" s="1243" t="s">
        <v>501</v>
      </c>
      <c r="B3" s="1243"/>
      <c r="C3" s="1243"/>
      <c r="D3" s="1243"/>
      <c r="E3" s="1243"/>
      <c r="F3" s="1243"/>
      <c r="G3" s="1243"/>
      <c r="H3" s="1243"/>
      <c r="I3" s="1243"/>
    </row>
    <row r="4" spans="1:15" s="825" customFormat="1" ht="15.75" thickBot="1" x14ac:dyDescent="0.25">
      <c r="A4" s="1244" t="s">
        <v>502</v>
      </c>
      <c r="B4" s="1244"/>
      <c r="C4" s="1244"/>
      <c r="D4" s="1244"/>
      <c r="E4" s="1244"/>
      <c r="F4" s="1244"/>
      <c r="G4" s="1244"/>
      <c r="H4" s="1244"/>
      <c r="I4" s="1244"/>
    </row>
    <row r="5" spans="1:15" s="825" customFormat="1" ht="15" customHeight="1" thickBot="1" x14ac:dyDescent="0.25">
      <c r="A5" s="1257" t="s">
        <v>439</v>
      </c>
      <c r="B5" s="1258"/>
      <c r="C5" s="1258"/>
      <c r="D5" s="1258"/>
      <c r="E5" s="1258"/>
      <c r="F5" s="1258"/>
      <c r="G5" s="1258"/>
      <c r="H5" s="1259"/>
    </row>
    <row r="6" spans="1:15" s="825" customFormat="1" ht="270" customHeight="1" x14ac:dyDescent="0.2">
      <c r="A6" s="1260" t="s">
        <v>440</v>
      </c>
      <c r="B6" s="1261"/>
      <c r="C6" s="1261"/>
      <c r="D6" s="1261"/>
      <c r="E6" s="1261"/>
      <c r="F6" s="1261"/>
      <c r="G6" s="1261"/>
      <c r="H6" s="1262"/>
      <c r="I6" s="826"/>
      <c r="J6" s="827"/>
      <c r="K6" s="827"/>
      <c r="L6" s="827"/>
      <c r="M6" s="827"/>
      <c r="N6" s="827"/>
      <c r="O6" s="828"/>
    </row>
    <row r="7" spans="1:15" s="825" customFormat="1" ht="59.25" customHeight="1" x14ac:dyDescent="0.2">
      <c r="A7" s="1263" t="s">
        <v>441</v>
      </c>
      <c r="B7" s="1264"/>
      <c r="C7" s="1264"/>
      <c r="D7" s="1264"/>
      <c r="E7" s="1264"/>
      <c r="F7" s="1264"/>
      <c r="G7" s="1264"/>
      <c r="H7" s="1265"/>
    </row>
    <row r="8" spans="1:15" s="825" customFormat="1" ht="46.5" customHeight="1" x14ac:dyDescent="0.2">
      <c r="A8" s="1263" t="s">
        <v>442</v>
      </c>
      <c r="B8" s="1264"/>
      <c r="C8" s="1264"/>
      <c r="D8" s="1264"/>
      <c r="E8" s="1264"/>
      <c r="F8" s="1264"/>
      <c r="G8" s="1264"/>
      <c r="H8" s="1265"/>
    </row>
    <row r="9" spans="1:15" s="825" customFormat="1" ht="26.25" customHeight="1" x14ac:dyDescent="0.2">
      <c r="A9" s="1263" t="s">
        <v>443</v>
      </c>
      <c r="B9" s="1264"/>
      <c r="C9" s="1264"/>
      <c r="D9" s="1264"/>
      <c r="E9" s="1264"/>
      <c r="F9" s="1264"/>
      <c r="G9" s="1264"/>
      <c r="H9" s="1265"/>
    </row>
    <row r="10" spans="1:15" s="825" customFormat="1" ht="18.75" customHeight="1" x14ac:dyDescent="0.2">
      <c r="A10" s="1263" t="s">
        <v>444</v>
      </c>
      <c r="B10" s="1264"/>
      <c r="C10" s="1264"/>
      <c r="D10" s="1264"/>
      <c r="E10" s="1264"/>
      <c r="F10" s="1264"/>
      <c r="G10" s="1264"/>
      <c r="H10" s="1265"/>
    </row>
    <row r="11" spans="1:15" s="825" customFormat="1" ht="57.75" customHeight="1" x14ac:dyDescent="0.2">
      <c r="A11" s="1263" t="s">
        <v>445</v>
      </c>
      <c r="B11" s="1264"/>
      <c r="C11" s="1264"/>
      <c r="D11" s="1264"/>
      <c r="E11" s="1264"/>
      <c r="F11" s="1264"/>
      <c r="G11" s="1264"/>
      <c r="H11" s="1265"/>
    </row>
    <row r="12" spans="1:15" s="825" customFormat="1" ht="57" customHeight="1" thickBot="1" x14ac:dyDescent="0.25">
      <c r="A12" s="1254" t="s">
        <v>446</v>
      </c>
      <c r="B12" s="1255"/>
      <c r="C12" s="1255"/>
      <c r="D12" s="1255"/>
      <c r="E12" s="1255"/>
      <c r="F12" s="1255"/>
      <c r="G12" s="1255"/>
      <c r="H12" s="1256"/>
    </row>
    <row r="13" spans="1:15" s="825" customFormat="1" ht="37.5" customHeight="1" thickBot="1" x14ac:dyDescent="0.25">
      <c r="A13" s="1254" t="s">
        <v>503</v>
      </c>
      <c r="B13" s="1255"/>
      <c r="C13" s="1255"/>
      <c r="D13" s="1255"/>
      <c r="E13" s="1255"/>
      <c r="F13" s="1255"/>
      <c r="G13" s="1255"/>
      <c r="H13" s="1256"/>
    </row>
    <row r="14" spans="1:15" ht="81.75" customHeight="1" thickBot="1" x14ac:dyDescent="0.25">
      <c r="A14" s="792" t="s">
        <v>448</v>
      </c>
      <c r="B14" s="793" t="s">
        <v>449</v>
      </c>
      <c r="C14" s="793" t="s">
        <v>450</v>
      </c>
      <c r="D14" s="793"/>
      <c r="E14" s="794" t="s">
        <v>451</v>
      </c>
      <c r="F14" s="795" t="s">
        <v>452</v>
      </c>
      <c r="G14" s="830" t="s">
        <v>453</v>
      </c>
      <c r="H14" s="831" t="s">
        <v>454</v>
      </c>
      <c r="I14" s="829" t="s">
        <v>455</v>
      </c>
      <c r="J14" s="832" t="s">
        <v>456</v>
      </c>
    </row>
    <row r="15" spans="1:15" ht="43.5" thickBot="1" x14ac:dyDescent="0.25">
      <c r="A15" s="796">
        <v>1</v>
      </c>
      <c r="B15" s="797" t="s">
        <v>457</v>
      </c>
      <c r="C15" s="798" t="s">
        <v>458</v>
      </c>
      <c r="D15" s="799">
        <v>1</v>
      </c>
      <c r="E15" s="800" t="s">
        <v>459</v>
      </c>
      <c r="F15" s="801" t="s">
        <v>460</v>
      </c>
      <c r="G15" s="802">
        <v>3388161</v>
      </c>
      <c r="H15" s="802"/>
      <c r="I15" s="803">
        <v>1</v>
      </c>
      <c r="J15" s="804">
        <v>0</v>
      </c>
    </row>
    <row r="16" spans="1:15" ht="62.25" customHeight="1" thickBot="1" x14ac:dyDescent="0.25">
      <c r="A16" s="796">
        <v>2</v>
      </c>
      <c r="B16" s="797" t="s">
        <v>461</v>
      </c>
      <c r="C16" s="798" t="s">
        <v>462</v>
      </c>
      <c r="D16" s="805">
        <v>1</v>
      </c>
      <c r="E16" s="806" t="s">
        <v>463</v>
      </c>
      <c r="F16" s="807" t="s">
        <v>464</v>
      </c>
      <c r="G16" s="802">
        <v>11560560.000000002</v>
      </c>
      <c r="H16" s="802"/>
      <c r="I16" s="803">
        <v>1</v>
      </c>
      <c r="J16" s="804">
        <v>0</v>
      </c>
    </row>
    <row r="17" spans="1:10" ht="57.75" thickBot="1" x14ac:dyDescent="0.25">
      <c r="A17" s="796">
        <v>3</v>
      </c>
      <c r="B17" s="797" t="s">
        <v>465</v>
      </c>
      <c r="C17" s="798" t="s">
        <v>466</v>
      </c>
      <c r="D17" s="805">
        <v>1</v>
      </c>
      <c r="E17" s="806" t="s">
        <v>467</v>
      </c>
      <c r="F17" s="807" t="s">
        <v>460</v>
      </c>
      <c r="G17" s="802">
        <v>11350368</v>
      </c>
      <c r="H17" s="802"/>
      <c r="I17" s="803">
        <v>1</v>
      </c>
      <c r="J17" s="804">
        <v>0</v>
      </c>
    </row>
    <row r="18" spans="1:10" ht="57.75" thickBot="1" x14ac:dyDescent="0.25">
      <c r="A18" s="796">
        <v>4</v>
      </c>
      <c r="B18" s="797" t="s">
        <v>468</v>
      </c>
      <c r="C18" s="798" t="s">
        <v>469</v>
      </c>
      <c r="D18" s="808">
        <v>1</v>
      </c>
      <c r="E18" s="806" t="s">
        <v>470</v>
      </c>
      <c r="F18" s="807" t="s">
        <v>460</v>
      </c>
      <c r="G18" s="802">
        <v>3388161</v>
      </c>
      <c r="H18" s="802"/>
      <c r="I18" s="809">
        <v>1</v>
      </c>
      <c r="J18" s="804">
        <v>0</v>
      </c>
    </row>
    <row r="19" spans="1:10" ht="57.75" thickBot="1" x14ac:dyDescent="0.25">
      <c r="A19" s="796">
        <v>5</v>
      </c>
      <c r="B19" s="797" t="s">
        <v>471</v>
      </c>
      <c r="C19" s="800" t="s">
        <v>472</v>
      </c>
      <c r="D19" s="808">
        <v>1</v>
      </c>
      <c r="E19" s="806" t="s">
        <v>473</v>
      </c>
      <c r="F19" s="807" t="s">
        <v>460</v>
      </c>
      <c r="G19" s="802">
        <v>11350368</v>
      </c>
      <c r="H19" s="802"/>
      <c r="I19" s="809">
        <v>1</v>
      </c>
      <c r="J19" s="804">
        <v>0</v>
      </c>
    </row>
    <row r="20" spans="1:10" ht="57.75" thickBot="1" x14ac:dyDescent="0.25">
      <c r="A20" s="796">
        <v>6</v>
      </c>
      <c r="B20" s="797" t="s">
        <v>474</v>
      </c>
      <c r="C20" s="800" t="s">
        <v>475</v>
      </c>
      <c r="D20" s="805">
        <v>1</v>
      </c>
      <c r="E20" s="806" t="s">
        <v>476</v>
      </c>
      <c r="F20" s="807" t="s">
        <v>460</v>
      </c>
      <c r="G20" s="802">
        <v>3388161</v>
      </c>
      <c r="H20" s="802"/>
      <c r="I20" s="803">
        <v>1</v>
      </c>
      <c r="J20" s="804">
        <v>0</v>
      </c>
    </row>
    <row r="21" spans="1:10" ht="72" thickBot="1" x14ac:dyDescent="0.25">
      <c r="A21" s="796">
        <v>7</v>
      </c>
      <c r="B21" s="797" t="s">
        <v>477</v>
      </c>
      <c r="C21" s="798" t="s">
        <v>478</v>
      </c>
      <c r="D21" s="805">
        <v>1</v>
      </c>
      <c r="E21" s="806" t="s">
        <v>479</v>
      </c>
      <c r="F21" s="807" t="s">
        <v>464</v>
      </c>
      <c r="G21" s="802">
        <v>11560560.000000002</v>
      </c>
      <c r="H21" s="802"/>
      <c r="I21" s="803">
        <v>1</v>
      </c>
      <c r="J21" s="804">
        <v>0</v>
      </c>
    </row>
    <row r="22" spans="1:10" ht="72" thickBot="1" x14ac:dyDescent="0.25">
      <c r="A22" s="796">
        <v>8</v>
      </c>
      <c r="B22" s="797" t="s">
        <v>480</v>
      </c>
      <c r="C22" s="798" t="s">
        <v>481</v>
      </c>
      <c r="D22" s="805">
        <v>1</v>
      </c>
      <c r="E22" s="806" t="s">
        <v>479</v>
      </c>
      <c r="F22" s="807" t="s">
        <v>464</v>
      </c>
      <c r="G22" s="802">
        <v>11560560.000000002</v>
      </c>
      <c r="H22" s="802"/>
      <c r="I22" s="803">
        <v>1</v>
      </c>
      <c r="J22" s="804">
        <v>0</v>
      </c>
    </row>
    <row r="23" spans="1:10" ht="72" thickBot="1" x14ac:dyDescent="0.25">
      <c r="A23" s="796">
        <v>9</v>
      </c>
      <c r="B23" s="797" t="s">
        <v>482</v>
      </c>
      <c r="C23" s="798" t="s">
        <v>483</v>
      </c>
      <c r="D23" s="805">
        <v>1</v>
      </c>
      <c r="E23" s="806" t="s">
        <v>479</v>
      </c>
      <c r="F23" s="807" t="s">
        <v>464</v>
      </c>
      <c r="G23" s="802">
        <v>11560560.000000002</v>
      </c>
      <c r="H23" s="802"/>
      <c r="I23" s="803">
        <v>1</v>
      </c>
      <c r="J23" s="804">
        <v>0</v>
      </c>
    </row>
    <row r="24" spans="1:10" ht="57.75" thickBot="1" x14ac:dyDescent="0.25">
      <c r="A24" s="796">
        <v>10</v>
      </c>
      <c r="B24" s="1245" t="s">
        <v>484</v>
      </c>
      <c r="C24" s="1248" t="s">
        <v>485</v>
      </c>
      <c r="D24" s="805">
        <v>1</v>
      </c>
      <c r="E24" s="806" t="s">
        <v>486</v>
      </c>
      <c r="F24" s="807" t="s">
        <v>487</v>
      </c>
      <c r="G24" s="823">
        <v>3450904</v>
      </c>
      <c r="H24" s="823"/>
      <c r="I24" s="803">
        <v>1</v>
      </c>
      <c r="J24" s="804">
        <v>0</v>
      </c>
    </row>
    <row r="25" spans="1:10" ht="57.75" thickBot="1" x14ac:dyDescent="0.25">
      <c r="A25" s="810">
        <v>11</v>
      </c>
      <c r="B25" s="1246"/>
      <c r="C25" s="1249"/>
      <c r="D25" s="805">
        <v>1</v>
      </c>
      <c r="E25" s="806" t="s">
        <v>488</v>
      </c>
      <c r="F25" s="807" t="s">
        <v>487</v>
      </c>
      <c r="G25" s="811">
        <v>3911025</v>
      </c>
      <c r="H25" s="811"/>
      <c r="I25" s="812">
        <v>1</v>
      </c>
      <c r="J25" s="804">
        <v>0</v>
      </c>
    </row>
    <row r="26" spans="1:10" ht="57.75" thickBot="1" x14ac:dyDescent="0.25">
      <c r="A26" s="813">
        <v>12</v>
      </c>
      <c r="B26" s="1246"/>
      <c r="C26" s="1249"/>
      <c r="D26" s="805">
        <v>1</v>
      </c>
      <c r="E26" s="806" t="s">
        <v>489</v>
      </c>
      <c r="F26" s="807" t="s">
        <v>487</v>
      </c>
      <c r="G26" s="811">
        <v>11560560.000000002</v>
      </c>
      <c r="H26" s="811"/>
      <c r="I26" s="812">
        <v>1</v>
      </c>
      <c r="J26" s="804">
        <v>0</v>
      </c>
    </row>
    <row r="27" spans="1:10" ht="43.5" thickBot="1" x14ac:dyDescent="0.25">
      <c r="A27" s="813">
        <v>13</v>
      </c>
      <c r="B27" s="1246"/>
      <c r="C27" s="1249"/>
      <c r="D27" s="805">
        <v>1</v>
      </c>
      <c r="E27" s="806" t="s">
        <v>490</v>
      </c>
      <c r="F27" s="807" t="s">
        <v>487</v>
      </c>
      <c r="G27" s="811">
        <v>3450904</v>
      </c>
      <c r="H27" s="811"/>
      <c r="I27" s="812">
        <v>1</v>
      </c>
      <c r="J27" s="804">
        <v>0</v>
      </c>
    </row>
    <row r="28" spans="1:10" ht="57.75" thickBot="1" x14ac:dyDescent="0.25">
      <c r="A28" s="813">
        <v>14</v>
      </c>
      <c r="B28" s="1247"/>
      <c r="C28" s="1250"/>
      <c r="D28" s="805">
        <v>1</v>
      </c>
      <c r="E28" s="806" t="s">
        <v>491</v>
      </c>
      <c r="F28" s="807" t="s">
        <v>492</v>
      </c>
      <c r="G28" s="811">
        <v>2823467</v>
      </c>
      <c r="H28" s="811"/>
      <c r="I28" s="812">
        <v>1</v>
      </c>
      <c r="J28" s="804">
        <v>0</v>
      </c>
    </row>
    <row r="29" spans="1:10" ht="18" customHeight="1" x14ac:dyDescent="0.2">
      <c r="A29" s="1273" t="s">
        <v>493</v>
      </c>
      <c r="B29" s="1274"/>
      <c r="C29" s="1274"/>
      <c r="D29" s="1274"/>
      <c r="E29" s="1274"/>
      <c r="F29" s="1275"/>
      <c r="G29" s="1274"/>
      <c r="H29" s="1274"/>
      <c r="I29" s="1276"/>
      <c r="J29" s="814">
        <f>SUM(J15:J25)</f>
        <v>0</v>
      </c>
    </row>
    <row r="30" spans="1:10" ht="18" customHeight="1" x14ac:dyDescent="0.2">
      <c r="A30" s="1239" t="s">
        <v>494</v>
      </c>
      <c r="B30" s="1240"/>
      <c r="C30" s="1240"/>
      <c r="D30" s="1240"/>
      <c r="E30" s="1240"/>
      <c r="F30" s="1240"/>
      <c r="G30" s="1240"/>
      <c r="H30" s="1240"/>
      <c r="I30" s="1241"/>
      <c r="J30" s="815">
        <v>6</v>
      </c>
    </row>
    <row r="31" spans="1:10" ht="18" customHeight="1" x14ac:dyDescent="0.2">
      <c r="A31" s="1239" t="s">
        <v>495</v>
      </c>
      <c r="B31" s="1240"/>
      <c r="C31" s="1240"/>
      <c r="D31" s="1240"/>
      <c r="E31" s="1240"/>
      <c r="F31" s="1240"/>
      <c r="G31" s="1240"/>
      <c r="H31" s="1240"/>
      <c r="I31" s="1241"/>
      <c r="J31" s="815">
        <f>J29*J30</f>
        <v>0</v>
      </c>
    </row>
    <row r="32" spans="1:10" ht="18" customHeight="1" x14ac:dyDescent="0.2">
      <c r="A32" s="1239" t="s">
        <v>390</v>
      </c>
      <c r="B32" s="1240"/>
      <c r="C32" s="1240"/>
      <c r="D32" s="1240"/>
      <c r="E32" s="1240"/>
      <c r="F32" s="1240"/>
      <c r="G32" s="1240"/>
      <c r="H32" s="1240"/>
      <c r="I32" s="1241"/>
      <c r="J32" s="815">
        <f>(J31*10%)*19%</f>
        <v>0</v>
      </c>
    </row>
    <row r="33" spans="1:11" ht="18" customHeight="1" thickBot="1" x14ac:dyDescent="0.25">
      <c r="A33" s="1266" t="s">
        <v>496</v>
      </c>
      <c r="B33" s="1267"/>
      <c r="C33" s="1267"/>
      <c r="D33" s="1267"/>
      <c r="E33" s="1267"/>
      <c r="F33" s="1267"/>
      <c r="G33" s="1267"/>
      <c r="H33" s="1267"/>
      <c r="I33" s="1268"/>
      <c r="J33" s="816">
        <f>J31+J32</f>
        <v>0</v>
      </c>
    </row>
    <row r="34" spans="1:11" x14ac:dyDescent="0.2">
      <c r="G34" s="819"/>
      <c r="H34" s="819"/>
    </row>
    <row r="35" spans="1:11" ht="34.5" customHeight="1" x14ac:dyDescent="0.2">
      <c r="A35" s="1269" t="s">
        <v>497</v>
      </c>
      <c r="B35" s="1270"/>
      <c r="C35" s="1270"/>
      <c r="D35" s="1270"/>
      <c r="E35" s="1270"/>
      <c r="F35" s="1270"/>
      <c r="G35" s="1270"/>
      <c r="H35" s="1270"/>
      <c r="I35" s="1270"/>
      <c r="J35" s="1271"/>
      <c r="K35" s="821"/>
    </row>
    <row r="36" spans="1:11" ht="34.5" customHeight="1" x14ac:dyDescent="0.2">
      <c r="A36" s="1269" t="s">
        <v>498</v>
      </c>
      <c r="B36" s="1270"/>
      <c r="C36" s="1270"/>
      <c r="D36" s="1270"/>
      <c r="E36" s="1270"/>
      <c r="F36" s="1270"/>
      <c r="G36" s="1270"/>
      <c r="H36" s="1270"/>
      <c r="I36" s="1270"/>
      <c r="J36" s="1271"/>
      <c r="K36" s="820"/>
    </row>
    <row r="38" spans="1:11" ht="55.5" customHeight="1" thickBot="1" x14ac:dyDescent="0.25">
      <c r="A38" s="1272" t="s">
        <v>499</v>
      </c>
      <c r="B38" s="1272"/>
      <c r="C38" s="1272"/>
      <c r="D38" s="1272"/>
      <c r="E38" s="1272"/>
      <c r="F38" s="1272"/>
      <c r="G38" s="1272"/>
      <c r="H38" s="1272"/>
      <c r="I38" s="1272"/>
      <c r="J38" s="1272"/>
      <c r="K38" s="822"/>
    </row>
    <row r="39" spans="1:11" ht="63.75" customHeight="1" thickBot="1" x14ac:dyDescent="0.25">
      <c r="A39" s="1251" t="s">
        <v>500</v>
      </c>
      <c r="B39" s="1252"/>
      <c r="C39" s="1252"/>
      <c r="D39" s="1252"/>
      <c r="E39" s="1252"/>
      <c r="F39" s="1252"/>
      <c r="G39" s="1253"/>
    </row>
  </sheetData>
  <mergeCells count="24">
    <mergeCell ref="A39:G39"/>
    <mergeCell ref="A13:H13"/>
    <mergeCell ref="B24:B28"/>
    <mergeCell ref="C24:C28"/>
    <mergeCell ref="A29:I29"/>
    <mergeCell ref="A30:I30"/>
    <mergeCell ref="A31:I31"/>
    <mergeCell ref="A32:I32"/>
    <mergeCell ref="A33:I33"/>
    <mergeCell ref="A35:J35"/>
    <mergeCell ref="A36:J36"/>
    <mergeCell ref="A38:J38"/>
    <mergeCell ref="A12:H12"/>
    <mergeCell ref="A1:I1"/>
    <mergeCell ref="A2:I2"/>
    <mergeCell ref="A3:I3"/>
    <mergeCell ref="A4:I4"/>
    <mergeCell ref="A5:H5"/>
    <mergeCell ref="A6:H6"/>
    <mergeCell ref="A7:H7"/>
    <mergeCell ref="A8:H8"/>
    <mergeCell ref="A9:H9"/>
    <mergeCell ref="A10:H10"/>
    <mergeCell ref="A11:H1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26084-055D-48F8-800D-1FE10C83380A}">
  <dimension ref="A1"/>
  <sheetViews>
    <sheetView workbookViewId="0"/>
  </sheetViews>
  <sheetFormatPr baseColWidth="10" defaultColWidth="12" defaultRowHeight="12.75" x14ac:dyDescent="0.2"/>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34A50-DAB0-462D-B999-A233385E27ED}">
  <sheetPr>
    <tabColor theme="5" tint="-0.249977111117893"/>
    <pageSetUpPr fitToPage="1"/>
  </sheetPr>
  <dimension ref="A1:N30"/>
  <sheetViews>
    <sheetView topLeftCell="A14" zoomScale="90" zoomScaleNormal="90" workbookViewId="0">
      <selection activeCell="D14" sqref="D14:D23"/>
    </sheetView>
  </sheetViews>
  <sheetFormatPr baseColWidth="10" defaultColWidth="13.33203125" defaultRowHeight="14.25" x14ac:dyDescent="0.2"/>
  <cols>
    <col min="1" max="1" width="13.33203125" style="838"/>
    <col min="2" max="2" width="44.6640625" style="836" customWidth="1"/>
    <col min="3" max="3" width="23" style="836" customWidth="1"/>
    <col min="4" max="4" width="38.33203125" style="836" customWidth="1"/>
    <col min="5" max="5" width="30.5" style="836" customWidth="1"/>
    <col min="6" max="6" width="15.5" style="836" customWidth="1"/>
    <col min="7" max="7" width="22.6640625" style="836" customWidth="1"/>
    <col min="8" max="16384" width="13.33203125" style="836"/>
  </cols>
  <sheetData>
    <row r="1" spans="1:14" ht="15" customHeight="1" x14ac:dyDescent="0.2">
      <c r="A1" s="1242" t="s">
        <v>504</v>
      </c>
      <c r="B1" s="1242"/>
      <c r="C1" s="1242"/>
      <c r="D1" s="1242"/>
      <c r="E1" s="1242"/>
      <c r="F1" s="1242"/>
      <c r="G1" s="1242"/>
      <c r="H1" s="835"/>
    </row>
    <row r="2" spans="1:14" ht="15" x14ac:dyDescent="0.2">
      <c r="A2" s="1243" t="s">
        <v>436</v>
      </c>
      <c r="B2" s="1243"/>
      <c r="C2" s="1243"/>
      <c r="D2" s="1243"/>
      <c r="E2" s="1243"/>
      <c r="F2" s="1243"/>
      <c r="G2" s="1243"/>
      <c r="H2" s="835"/>
    </row>
    <row r="3" spans="1:14" ht="15" x14ac:dyDescent="0.2">
      <c r="A3" s="1243" t="s">
        <v>505</v>
      </c>
      <c r="B3" s="1243"/>
      <c r="C3" s="1243"/>
      <c r="D3" s="1243"/>
      <c r="E3" s="1243"/>
      <c r="F3" s="1243"/>
      <c r="G3" s="1243"/>
      <c r="H3" s="835"/>
    </row>
    <row r="4" spans="1:14" ht="15.75" thickBot="1" x14ac:dyDescent="0.25">
      <c r="A4" s="1283"/>
      <c r="B4" s="1283"/>
      <c r="C4" s="1283"/>
      <c r="D4" s="1283"/>
      <c r="E4" s="1283"/>
      <c r="F4" s="1283"/>
      <c r="G4" s="1283"/>
      <c r="H4" s="835"/>
    </row>
    <row r="5" spans="1:14" x14ac:dyDescent="0.2">
      <c r="A5" s="1284" t="s">
        <v>439</v>
      </c>
      <c r="B5" s="1285"/>
      <c r="C5" s="1285"/>
      <c r="D5" s="1285"/>
      <c r="E5" s="1285"/>
      <c r="F5" s="1285"/>
      <c r="G5" s="1286"/>
      <c r="H5" s="835"/>
    </row>
    <row r="6" spans="1:14" ht="267" customHeight="1" x14ac:dyDescent="0.2">
      <c r="A6" s="1263" t="s">
        <v>506</v>
      </c>
      <c r="B6" s="1264"/>
      <c r="C6" s="1264"/>
      <c r="D6" s="1264"/>
      <c r="E6" s="1264"/>
      <c r="F6" s="1264"/>
      <c r="G6" s="1265"/>
      <c r="H6" s="835"/>
    </row>
    <row r="7" spans="1:14" ht="43.5" customHeight="1" x14ac:dyDescent="0.2">
      <c r="A7" s="1263" t="s">
        <v>441</v>
      </c>
      <c r="B7" s="1264"/>
      <c r="C7" s="1264"/>
      <c r="D7" s="1264"/>
      <c r="E7" s="1264"/>
      <c r="F7" s="1264"/>
      <c r="G7" s="1265"/>
      <c r="H7" s="837"/>
      <c r="I7" s="837"/>
      <c r="J7" s="837"/>
      <c r="K7" s="837"/>
      <c r="L7" s="837"/>
      <c r="M7" s="837"/>
      <c r="N7" s="837"/>
    </row>
    <row r="8" spans="1:14" ht="42.75" customHeight="1" x14ac:dyDescent="0.2">
      <c r="A8" s="1263" t="s">
        <v>442</v>
      </c>
      <c r="B8" s="1264"/>
      <c r="C8" s="1264"/>
      <c r="D8" s="1264"/>
      <c r="E8" s="1264"/>
      <c r="F8" s="1264"/>
      <c r="G8" s="1265"/>
      <c r="H8" s="837"/>
      <c r="I8" s="837"/>
      <c r="J8" s="837"/>
      <c r="K8" s="837"/>
      <c r="L8" s="837"/>
      <c r="M8" s="837"/>
      <c r="N8" s="837"/>
    </row>
    <row r="9" spans="1:14" ht="19.5" customHeight="1" x14ac:dyDescent="0.2">
      <c r="A9" s="1263" t="s">
        <v>443</v>
      </c>
      <c r="B9" s="1264"/>
      <c r="C9" s="1264"/>
      <c r="D9" s="1264"/>
      <c r="E9" s="1264"/>
      <c r="F9" s="1264"/>
      <c r="G9" s="1265"/>
      <c r="H9" s="837"/>
      <c r="I9" s="837"/>
      <c r="J9" s="837"/>
      <c r="K9" s="837"/>
      <c r="L9" s="837"/>
      <c r="M9" s="837"/>
      <c r="N9" s="837"/>
    </row>
    <row r="10" spans="1:14" ht="19.5" customHeight="1" x14ac:dyDescent="0.2">
      <c r="A10" s="1263" t="s">
        <v>444</v>
      </c>
      <c r="B10" s="1264"/>
      <c r="C10" s="1264"/>
      <c r="D10" s="1264"/>
      <c r="E10" s="1264"/>
      <c r="F10" s="1264"/>
      <c r="G10" s="1265"/>
    </row>
    <row r="11" spans="1:14" ht="54" customHeight="1" thickBot="1" x14ac:dyDescent="0.25">
      <c r="A11" s="1254" t="s">
        <v>445</v>
      </c>
      <c r="B11" s="1255"/>
      <c r="C11" s="1255"/>
      <c r="D11" s="1255"/>
      <c r="E11" s="1255"/>
      <c r="F11" s="1255"/>
      <c r="G11" s="1256"/>
    </row>
    <row r="12" spans="1:14" ht="15" thickBot="1" x14ac:dyDescent="0.25"/>
    <row r="13" spans="1:14" ht="80.25" customHeight="1" x14ac:dyDescent="0.2">
      <c r="A13" s="839" t="s">
        <v>448</v>
      </c>
      <c r="B13" s="830" t="s">
        <v>449</v>
      </c>
      <c r="C13" s="830" t="s">
        <v>450</v>
      </c>
      <c r="D13" s="830" t="s">
        <v>453</v>
      </c>
      <c r="E13" s="831" t="s">
        <v>454</v>
      </c>
      <c r="F13" s="829" t="s">
        <v>455</v>
      </c>
      <c r="G13" s="832" t="s">
        <v>456</v>
      </c>
    </row>
    <row r="14" spans="1:14" ht="28.5" customHeight="1" x14ac:dyDescent="0.2">
      <c r="A14" s="840">
        <v>1</v>
      </c>
      <c r="B14" s="841" t="s">
        <v>468</v>
      </c>
      <c r="C14" s="841" t="s">
        <v>469</v>
      </c>
      <c r="D14" s="842">
        <v>46543.660800000005</v>
      </c>
      <c r="E14" s="843">
        <v>0</v>
      </c>
      <c r="F14" s="844">
        <v>1</v>
      </c>
      <c r="G14" s="845">
        <f>E14*F14</f>
        <v>0</v>
      </c>
    </row>
    <row r="15" spans="1:14" ht="32.25" customHeight="1" x14ac:dyDescent="0.2">
      <c r="A15" s="840">
        <v>2</v>
      </c>
      <c r="B15" s="841" t="s">
        <v>457</v>
      </c>
      <c r="C15" s="841" t="s">
        <v>458</v>
      </c>
      <c r="D15" s="842">
        <v>46543.660800000005</v>
      </c>
      <c r="E15" s="843">
        <v>0</v>
      </c>
      <c r="F15" s="844">
        <v>1</v>
      </c>
      <c r="G15" s="845">
        <f t="shared" ref="G15:G23" si="0">E15*F15</f>
        <v>0</v>
      </c>
    </row>
    <row r="16" spans="1:14" ht="39.75" customHeight="1" x14ac:dyDescent="0.2">
      <c r="A16" s="840">
        <v>3</v>
      </c>
      <c r="B16" s="841" t="s">
        <v>471</v>
      </c>
      <c r="C16" s="841" t="s">
        <v>472</v>
      </c>
      <c r="D16" s="842">
        <v>46543.660800000005</v>
      </c>
      <c r="E16" s="843">
        <v>0</v>
      </c>
      <c r="F16" s="844">
        <v>1</v>
      </c>
      <c r="G16" s="845">
        <f t="shared" si="0"/>
        <v>0</v>
      </c>
    </row>
    <row r="17" spans="1:7" ht="36" customHeight="1" x14ac:dyDescent="0.2">
      <c r="A17" s="840">
        <v>4</v>
      </c>
      <c r="B17" s="841" t="s">
        <v>477</v>
      </c>
      <c r="C17" s="841" t="s">
        <v>478</v>
      </c>
      <c r="D17" s="842">
        <v>46543.660800000005</v>
      </c>
      <c r="E17" s="843">
        <v>0</v>
      </c>
      <c r="F17" s="844">
        <v>1</v>
      </c>
      <c r="G17" s="845">
        <f t="shared" si="0"/>
        <v>0</v>
      </c>
    </row>
    <row r="18" spans="1:7" ht="35.25" customHeight="1" x14ac:dyDescent="0.2">
      <c r="A18" s="840">
        <v>5</v>
      </c>
      <c r="B18" s="841" t="s">
        <v>480</v>
      </c>
      <c r="C18" s="841" t="s">
        <v>481</v>
      </c>
      <c r="D18" s="842">
        <v>46543.660800000005</v>
      </c>
      <c r="E18" s="843">
        <v>0</v>
      </c>
      <c r="F18" s="844">
        <v>1</v>
      </c>
      <c r="G18" s="845">
        <f t="shared" si="0"/>
        <v>0</v>
      </c>
    </row>
    <row r="19" spans="1:7" ht="37.5" customHeight="1" x14ac:dyDescent="0.2">
      <c r="A19" s="840">
        <v>6</v>
      </c>
      <c r="B19" s="841" t="s">
        <v>507</v>
      </c>
      <c r="C19" s="841" t="s">
        <v>475</v>
      </c>
      <c r="D19" s="842">
        <v>46543.660800000005</v>
      </c>
      <c r="E19" s="843">
        <v>0</v>
      </c>
      <c r="F19" s="844">
        <v>1</v>
      </c>
      <c r="G19" s="845">
        <f t="shared" si="0"/>
        <v>0</v>
      </c>
    </row>
    <row r="20" spans="1:7" ht="32.25" customHeight="1" x14ac:dyDescent="0.2">
      <c r="A20" s="840">
        <v>7</v>
      </c>
      <c r="B20" s="841" t="s">
        <v>508</v>
      </c>
      <c r="C20" s="841" t="s">
        <v>509</v>
      </c>
      <c r="D20" s="842">
        <v>46543.660800000005</v>
      </c>
      <c r="E20" s="843">
        <v>0</v>
      </c>
      <c r="F20" s="844">
        <v>1</v>
      </c>
      <c r="G20" s="845">
        <f t="shared" si="0"/>
        <v>0</v>
      </c>
    </row>
    <row r="21" spans="1:7" ht="24" customHeight="1" x14ac:dyDescent="0.2">
      <c r="A21" s="840">
        <v>8</v>
      </c>
      <c r="B21" s="841" t="s">
        <v>465</v>
      </c>
      <c r="C21" s="841" t="s">
        <v>510</v>
      </c>
      <c r="D21" s="842">
        <v>46543.660800000005</v>
      </c>
      <c r="E21" s="843">
        <v>0</v>
      </c>
      <c r="F21" s="844">
        <v>1</v>
      </c>
      <c r="G21" s="845">
        <f t="shared" si="0"/>
        <v>0</v>
      </c>
    </row>
    <row r="22" spans="1:7" ht="21" customHeight="1" x14ac:dyDescent="0.2">
      <c r="A22" s="840">
        <v>9</v>
      </c>
      <c r="B22" s="841" t="s">
        <v>511</v>
      </c>
      <c r="C22" s="841" t="s">
        <v>512</v>
      </c>
      <c r="D22" s="842">
        <v>46543.660800000005</v>
      </c>
      <c r="E22" s="843">
        <v>0</v>
      </c>
      <c r="F22" s="844">
        <v>1</v>
      </c>
      <c r="G22" s="845">
        <f t="shared" si="0"/>
        <v>0</v>
      </c>
    </row>
    <row r="23" spans="1:7" ht="163.5" customHeight="1" thickBot="1" x14ac:dyDescent="0.25">
      <c r="A23" s="846">
        <v>10</v>
      </c>
      <c r="B23" s="847" t="s">
        <v>513</v>
      </c>
      <c r="C23" s="847" t="s">
        <v>514</v>
      </c>
      <c r="D23" s="848">
        <v>53228.3056</v>
      </c>
      <c r="E23" s="849">
        <v>0</v>
      </c>
      <c r="F23" s="850">
        <v>1</v>
      </c>
      <c r="G23" s="851">
        <f t="shared" si="0"/>
        <v>0</v>
      </c>
    </row>
    <row r="24" spans="1:7" ht="18" customHeight="1" x14ac:dyDescent="0.2">
      <c r="A24" s="1281" t="s">
        <v>493</v>
      </c>
      <c r="B24" s="1282"/>
      <c r="C24" s="1282"/>
      <c r="D24" s="1282"/>
      <c r="E24" s="1282"/>
      <c r="F24" s="1282"/>
      <c r="G24" s="852">
        <f>SUM(G14:G23)</f>
        <v>0</v>
      </c>
    </row>
    <row r="25" spans="1:7" ht="18" customHeight="1" x14ac:dyDescent="0.2">
      <c r="A25" s="1277" t="s">
        <v>494</v>
      </c>
      <c r="B25" s="1278"/>
      <c r="C25" s="1278"/>
      <c r="D25" s="1278"/>
      <c r="E25" s="1278"/>
      <c r="F25" s="1278"/>
      <c r="G25" s="853">
        <v>8</v>
      </c>
    </row>
    <row r="26" spans="1:7" ht="18" customHeight="1" x14ac:dyDescent="0.2">
      <c r="A26" s="1277" t="s">
        <v>515</v>
      </c>
      <c r="B26" s="1278"/>
      <c r="C26" s="1278"/>
      <c r="D26" s="1278"/>
      <c r="E26" s="1278"/>
      <c r="F26" s="1278"/>
      <c r="G26" s="854">
        <f>G24*G25</f>
        <v>0</v>
      </c>
    </row>
    <row r="27" spans="1:7" ht="18" customHeight="1" x14ac:dyDescent="0.2">
      <c r="A27" s="1277" t="s">
        <v>516</v>
      </c>
      <c r="B27" s="1278"/>
      <c r="C27" s="1278"/>
      <c r="D27" s="1278"/>
      <c r="E27" s="1278"/>
      <c r="F27" s="1278"/>
      <c r="G27" s="854">
        <f>ROUND((G26*10%)*19%,0)</f>
        <v>0</v>
      </c>
    </row>
    <row r="28" spans="1:7" ht="18" customHeight="1" thickBot="1" x14ac:dyDescent="0.25">
      <c r="A28" s="1279" t="s">
        <v>496</v>
      </c>
      <c r="B28" s="1280"/>
      <c r="C28" s="1280"/>
      <c r="D28" s="1280"/>
      <c r="E28" s="1280"/>
      <c r="F28" s="1280"/>
      <c r="G28" s="855">
        <f>+G26+G27</f>
        <v>0</v>
      </c>
    </row>
    <row r="29" spans="1:7" ht="15" thickBot="1" x14ac:dyDescent="0.25"/>
    <row r="30" spans="1:7" ht="93" customHeight="1" thickBot="1" x14ac:dyDescent="0.25">
      <c r="A30" s="1251" t="s">
        <v>500</v>
      </c>
      <c r="B30" s="1252"/>
      <c r="C30" s="1252"/>
      <c r="D30" s="1252"/>
      <c r="E30" s="1252"/>
      <c r="F30" s="1252"/>
      <c r="G30" s="1253"/>
    </row>
  </sheetData>
  <mergeCells count="17">
    <mergeCell ref="A24:F24"/>
    <mergeCell ref="A1:G1"/>
    <mergeCell ref="A2:G2"/>
    <mergeCell ref="A3:G3"/>
    <mergeCell ref="A4:G4"/>
    <mergeCell ref="A5:G5"/>
    <mergeCell ref="A6:G6"/>
    <mergeCell ref="A7:G7"/>
    <mergeCell ref="A8:G8"/>
    <mergeCell ref="A9:G9"/>
    <mergeCell ref="A10:G10"/>
    <mergeCell ref="A11:G11"/>
    <mergeCell ref="A25:F25"/>
    <mergeCell ref="A26:F26"/>
    <mergeCell ref="A27:F27"/>
    <mergeCell ref="A28:F28"/>
    <mergeCell ref="A30:G30"/>
  </mergeCells>
  <pageMargins left="0.7" right="0.7" top="0.75" bottom="0.75" header="0.3" footer="0.3"/>
  <pageSetup scale="5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010900-6CF7-43F1-BCC0-05060EEBAF32}">
  <sheetPr>
    <tabColor theme="5" tint="-0.249977111117893"/>
    <pageSetUpPr fitToPage="1"/>
  </sheetPr>
  <dimension ref="A1:G34"/>
  <sheetViews>
    <sheetView topLeftCell="A14" zoomScale="90" zoomScaleNormal="90" workbookViewId="0">
      <selection activeCell="D14" sqref="D14:D24"/>
    </sheetView>
  </sheetViews>
  <sheetFormatPr baseColWidth="10" defaultColWidth="13.33203125" defaultRowHeight="14.25" x14ac:dyDescent="0.2"/>
  <cols>
    <col min="1" max="1" width="7.1640625" style="836" customWidth="1"/>
    <col min="2" max="2" width="52.83203125" style="836" customWidth="1"/>
    <col min="3" max="3" width="23" style="836" customWidth="1"/>
    <col min="4" max="4" width="31" style="836" customWidth="1"/>
    <col min="5" max="5" width="28.1640625" style="836" customWidth="1"/>
    <col min="6" max="6" width="20.5" style="836" customWidth="1"/>
    <col min="7" max="7" width="22.5" style="836" customWidth="1"/>
    <col min="8" max="9" width="13.33203125" style="836"/>
    <col min="10" max="10" width="25.1640625" style="836" customWidth="1"/>
    <col min="11" max="16384" width="13.33203125" style="836"/>
  </cols>
  <sheetData>
    <row r="1" spans="1:7" ht="15" x14ac:dyDescent="0.2">
      <c r="A1" s="1242" t="s">
        <v>517</v>
      </c>
      <c r="B1" s="1242"/>
      <c r="C1" s="1242"/>
      <c r="D1" s="1242"/>
      <c r="E1" s="1242"/>
      <c r="F1" s="1242"/>
      <c r="G1" s="1242"/>
    </row>
    <row r="2" spans="1:7" ht="15" x14ac:dyDescent="0.2">
      <c r="A2" s="1243" t="s">
        <v>436</v>
      </c>
      <c r="B2" s="1243"/>
      <c r="C2" s="1243"/>
      <c r="D2" s="1243"/>
      <c r="E2" s="1243"/>
      <c r="F2" s="1243"/>
      <c r="G2" s="1243"/>
    </row>
    <row r="3" spans="1:7" ht="15" x14ac:dyDescent="0.2">
      <c r="A3" s="1243" t="s">
        <v>518</v>
      </c>
      <c r="B3" s="1243"/>
      <c r="C3" s="1243"/>
      <c r="D3" s="1243"/>
      <c r="E3" s="1243"/>
      <c r="F3" s="1243"/>
      <c r="G3" s="1243"/>
    </row>
    <row r="4" spans="1:7" ht="15.75" thickBot="1" x14ac:dyDescent="0.25">
      <c r="A4" s="1283"/>
      <c r="B4" s="1283"/>
      <c r="C4" s="1283"/>
      <c r="D4" s="1283"/>
      <c r="E4" s="1283"/>
      <c r="F4" s="1283"/>
      <c r="G4" s="1283"/>
    </row>
    <row r="5" spans="1:7" x14ac:dyDescent="0.2">
      <c r="A5" s="1284" t="s">
        <v>439</v>
      </c>
      <c r="B5" s="1285"/>
      <c r="C5" s="1285"/>
      <c r="D5" s="1285"/>
      <c r="E5" s="1285"/>
      <c r="F5" s="1285"/>
      <c r="G5" s="1286"/>
    </row>
    <row r="6" spans="1:7" ht="262.5" customHeight="1" x14ac:dyDescent="0.2">
      <c r="A6" s="1263" t="s">
        <v>519</v>
      </c>
      <c r="B6" s="1264"/>
      <c r="C6" s="1264"/>
      <c r="D6" s="1264"/>
      <c r="E6" s="1264"/>
      <c r="F6" s="1264"/>
      <c r="G6" s="1265"/>
    </row>
    <row r="7" spans="1:7" ht="45" customHeight="1" x14ac:dyDescent="0.2">
      <c r="A7" s="1263" t="s">
        <v>520</v>
      </c>
      <c r="B7" s="1264"/>
      <c r="C7" s="1264"/>
      <c r="D7" s="1264"/>
      <c r="E7" s="1264"/>
      <c r="F7" s="1264"/>
      <c r="G7" s="1265"/>
    </row>
    <row r="8" spans="1:7" ht="43.5" customHeight="1" x14ac:dyDescent="0.2">
      <c r="A8" s="1263" t="s">
        <v>521</v>
      </c>
      <c r="B8" s="1264"/>
      <c r="C8" s="1264"/>
      <c r="D8" s="1264"/>
      <c r="E8" s="1264"/>
      <c r="F8" s="1264"/>
      <c r="G8" s="1265"/>
    </row>
    <row r="9" spans="1:7" ht="19.5" customHeight="1" x14ac:dyDescent="0.2">
      <c r="A9" s="1263" t="s">
        <v>443</v>
      </c>
      <c r="B9" s="1264"/>
      <c r="C9" s="1264"/>
      <c r="D9" s="1264"/>
      <c r="E9" s="1264"/>
      <c r="F9" s="1264"/>
      <c r="G9" s="1265"/>
    </row>
    <row r="10" spans="1:7" ht="20.25" customHeight="1" x14ac:dyDescent="0.2">
      <c r="A10" s="1263" t="s">
        <v>444</v>
      </c>
      <c r="B10" s="1264"/>
      <c r="C10" s="1264"/>
      <c r="D10" s="1264"/>
      <c r="E10" s="1264"/>
      <c r="F10" s="1264"/>
      <c r="G10" s="1265"/>
    </row>
    <row r="11" spans="1:7" ht="57" customHeight="1" thickBot="1" x14ac:dyDescent="0.25">
      <c r="A11" s="1254" t="s">
        <v>445</v>
      </c>
      <c r="B11" s="1255"/>
      <c r="C11" s="1255"/>
      <c r="D11" s="1255"/>
      <c r="E11" s="1255"/>
      <c r="F11" s="1255"/>
      <c r="G11" s="1256"/>
    </row>
    <row r="12" spans="1:7" ht="15" thickBot="1" x14ac:dyDescent="0.25"/>
    <row r="13" spans="1:7" ht="85.5" customHeight="1" x14ac:dyDescent="0.2">
      <c r="A13" s="859" t="s">
        <v>448</v>
      </c>
      <c r="B13" s="860" t="s">
        <v>449</v>
      </c>
      <c r="C13" s="860" t="s">
        <v>450</v>
      </c>
      <c r="D13" s="830" t="s">
        <v>522</v>
      </c>
      <c r="E13" s="831" t="s">
        <v>523</v>
      </c>
      <c r="F13" s="861" t="s">
        <v>455</v>
      </c>
      <c r="G13" s="862" t="s">
        <v>524</v>
      </c>
    </row>
    <row r="14" spans="1:7" x14ac:dyDescent="0.2">
      <c r="A14" s="840">
        <v>1</v>
      </c>
      <c r="B14" s="841" t="s">
        <v>468</v>
      </c>
      <c r="C14" s="841" t="s">
        <v>469</v>
      </c>
      <c r="D14" s="863">
        <v>98216.204799999992</v>
      </c>
      <c r="E14" s="864">
        <v>0</v>
      </c>
      <c r="F14" s="834">
        <v>2</v>
      </c>
      <c r="G14" s="865">
        <f>E14*F14</f>
        <v>0</v>
      </c>
    </row>
    <row r="15" spans="1:7" x14ac:dyDescent="0.2">
      <c r="A15" s="840">
        <v>2</v>
      </c>
      <c r="B15" s="841" t="s">
        <v>457</v>
      </c>
      <c r="C15" s="841" t="s">
        <v>458</v>
      </c>
      <c r="D15" s="863">
        <v>98216.204799999992</v>
      </c>
      <c r="E15" s="864">
        <v>0</v>
      </c>
      <c r="F15" s="834">
        <v>2</v>
      </c>
      <c r="G15" s="865">
        <f>E15*F15</f>
        <v>0</v>
      </c>
    </row>
    <row r="16" spans="1:7" ht="28.5" x14ac:dyDescent="0.2">
      <c r="A16" s="840">
        <v>3</v>
      </c>
      <c r="B16" s="841" t="s">
        <v>471</v>
      </c>
      <c r="C16" s="841" t="s">
        <v>472</v>
      </c>
      <c r="D16" s="863">
        <v>90966.721066666665</v>
      </c>
      <c r="E16" s="864">
        <v>0</v>
      </c>
      <c r="F16" s="834">
        <v>2</v>
      </c>
      <c r="G16" s="865">
        <f>E16*F16</f>
        <v>0</v>
      </c>
    </row>
    <row r="17" spans="1:7" x14ac:dyDescent="0.2">
      <c r="A17" s="840">
        <v>4</v>
      </c>
      <c r="B17" s="841" t="s">
        <v>477</v>
      </c>
      <c r="C17" s="841" t="s">
        <v>478</v>
      </c>
      <c r="D17" s="863">
        <v>125488.68266666667</v>
      </c>
      <c r="E17" s="864">
        <v>0</v>
      </c>
      <c r="F17" s="834">
        <v>2</v>
      </c>
      <c r="G17" s="865">
        <f>E17*F17</f>
        <v>0</v>
      </c>
    </row>
    <row r="18" spans="1:7" x14ac:dyDescent="0.2">
      <c r="A18" s="840">
        <v>5</v>
      </c>
      <c r="B18" s="841" t="s">
        <v>480</v>
      </c>
      <c r="C18" s="841" t="s">
        <v>481</v>
      </c>
      <c r="D18" s="863">
        <v>116411.93386666667</v>
      </c>
      <c r="E18" s="864">
        <v>0</v>
      </c>
      <c r="F18" s="834">
        <v>2</v>
      </c>
      <c r="G18" s="865">
        <f t="shared" ref="G18:G24" si="0">E18*F18</f>
        <v>0</v>
      </c>
    </row>
    <row r="19" spans="1:7" ht="28.5" x14ac:dyDescent="0.2">
      <c r="A19" s="840">
        <v>6</v>
      </c>
      <c r="B19" s="841" t="s">
        <v>507</v>
      </c>
      <c r="C19" s="841" t="s">
        <v>475</v>
      </c>
      <c r="D19" s="863">
        <v>97986.194133333338</v>
      </c>
      <c r="E19" s="864">
        <v>0</v>
      </c>
      <c r="F19" s="834">
        <v>2</v>
      </c>
      <c r="G19" s="865">
        <f>E19*F19</f>
        <v>0</v>
      </c>
    </row>
    <row r="20" spans="1:7" x14ac:dyDescent="0.2">
      <c r="A20" s="840">
        <v>7</v>
      </c>
      <c r="B20" s="841" t="s">
        <v>508</v>
      </c>
      <c r="C20" s="841" t="s">
        <v>509</v>
      </c>
      <c r="D20" s="863">
        <v>120246.70186666667</v>
      </c>
      <c r="E20" s="864">
        <v>0</v>
      </c>
      <c r="F20" s="834">
        <v>2</v>
      </c>
      <c r="G20" s="865">
        <f>E20*F20</f>
        <v>0</v>
      </c>
    </row>
    <row r="21" spans="1:7" ht="42.75" x14ac:dyDescent="0.2">
      <c r="A21" s="840">
        <v>8</v>
      </c>
      <c r="B21" s="841" t="s">
        <v>525</v>
      </c>
      <c r="C21" s="841" t="s">
        <v>526</v>
      </c>
      <c r="D21" s="863">
        <v>78737.694933333332</v>
      </c>
      <c r="E21" s="864">
        <v>0</v>
      </c>
      <c r="F21" s="834">
        <v>2</v>
      </c>
      <c r="G21" s="865">
        <f>E21*F21</f>
        <v>0</v>
      </c>
    </row>
    <row r="22" spans="1:7" ht="17.100000000000001" customHeight="1" x14ac:dyDescent="0.2">
      <c r="A22" s="840">
        <v>9</v>
      </c>
      <c r="B22" s="841" t="s">
        <v>511</v>
      </c>
      <c r="C22" s="841" t="s">
        <v>512</v>
      </c>
      <c r="D22" s="863">
        <v>80719.557333333345</v>
      </c>
      <c r="E22" s="864">
        <v>0</v>
      </c>
      <c r="F22" s="834">
        <v>2</v>
      </c>
      <c r="G22" s="865">
        <f t="shared" si="0"/>
        <v>0</v>
      </c>
    </row>
    <row r="23" spans="1:7" ht="33" customHeight="1" x14ac:dyDescent="0.2">
      <c r="A23" s="840">
        <v>10</v>
      </c>
      <c r="B23" s="841" t="s">
        <v>465</v>
      </c>
      <c r="C23" s="841" t="s">
        <v>510</v>
      </c>
      <c r="D23" s="863">
        <v>91828.695466666672</v>
      </c>
      <c r="E23" s="864">
        <v>0</v>
      </c>
      <c r="F23" s="834">
        <v>2</v>
      </c>
      <c r="G23" s="865">
        <f t="shared" si="0"/>
        <v>0</v>
      </c>
    </row>
    <row r="24" spans="1:7" ht="135.75" customHeight="1" x14ac:dyDescent="0.2">
      <c r="A24" s="840">
        <v>11</v>
      </c>
      <c r="B24" s="841" t="s">
        <v>513</v>
      </c>
      <c r="C24" s="841" t="s">
        <v>514</v>
      </c>
      <c r="D24" s="863">
        <v>129523.55200000001</v>
      </c>
      <c r="E24" s="864">
        <v>0</v>
      </c>
      <c r="F24" s="834">
        <v>2</v>
      </c>
      <c r="G24" s="865">
        <f t="shared" si="0"/>
        <v>0</v>
      </c>
    </row>
    <row r="25" spans="1:7" ht="15.75" customHeight="1" x14ac:dyDescent="0.2">
      <c r="A25" s="1287" t="s">
        <v>515</v>
      </c>
      <c r="B25" s="1288"/>
      <c r="C25" s="1288"/>
      <c r="D25" s="1288"/>
      <c r="E25" s="1288"/>
      <c r="F25" s="1288"/>
      <c r="G25" s="866">
        <f>SUM(G14:G24)</f>
        <v>0</v>
      </c>
    </row>
    <row r="26" spans="1:7" ht="15.75" x14ac:dyDescent="0.2">
      <c r="A26" s="1277" t="s">
        <v>527</v>
      </c>
      <c r="B26" s="1278"/>
      <c r="C26" s="1278"/>
      <c r="D26" s="1278"/>
      <c r="E26" s="1278"/>
      <c r="F26" s="1278"/>
      <c r="G26" s="854">
        <f>ROUND(G25*19%,0)</f>
        <v>0</v>
      </c>
    </row>
    <row r="27" spans="1:7" ht="16.5" thickBot="1" x14ac:dyDescent="0.25">
      <c r="A27" s="1279" t="s">
        <v>496</v>
      </c>
      <c r="B27" s="1280"/>
      <c r="C27" s="1280"/>
      <c r="D27" s="1280"/>
      <c r="E27" s="1280"/>
      <c r="F27" s="1280"/>
      <c r="G27" s="855">
        <f>G25+G26</f>
        <v>0</v>
      </c>
    </row>
    <row r="28" spans="1:7" ht="15" thickBot="1" x14ac:dyDescent="0.25"/>
    <row r="29" spans="1:7" ht="86.25" customHeight="1" thickBot="1" x14ac:dyDescent="0.25">
      <c r="A29" s="1251" t="s">
        <v>500</v>
      </c>
      <c r="B29" s="1252"/>
      <c r="C29" s="1252"/>
      <c r="D29" s="1252"/>
      <c r="E29" s="1252"/>
      <c r="F29" s="1252"/>
      <c r="G29" s="1253"/>
    </row>
    <row r="31" spans="1:7" x14ac:dyDescent="0.2">
      <c r="A31" s="838"/>
    </row>
    <row r="32" spans="1:7" x14ac:dyDescent="0.2">
      <c r="A32" s="838"/>
    </row>
    <row r="33" spans="1:1" x14ac:dyDescent="0.2">
      <c r="A33" s="838"/>
    </row>
    <row r="34" spans="1:1" x14ac:dyDescent="0.2">
      <c r="A34" s="838"/>
    </row>
  </sheetData>
  <mergeCells count="15">
    <mergeCell ref="A6:G6"/>
    <mergeCell ref="A1:G1"/>
    <mergeCell ref="A2:G2"/>
    <mergeCell ref="A3:G3"/>
    <mergeCell ref="A4:G4"/>
    <mergeCell ref="A5:G5"/>
    <mergeCell ref="A26:F26"/>
    <mergeCell ref="A27:F27"/>
    <mergeCell ref="A29:G29"/>
    <mergeCell ref="A7:G7"/>
    <mergeCell ref="A8:G8"/>
    <mergeCell ref="A9:G9"/>
    <mergeCell ref="A10:G10"/>
    <mergeCell ref="A11:G11"/>
    <mergeCell ref="A25:F25"/>
  </mergeCells>
  <pageMargins left="0.7" right="0.7" top="0.75" bottom="0.75" header="0.3" footer="0.3"/>
  <pageSetup scale="5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74E67-0818-4D62-AC64-BB5B0C0F71D4}">
  <sheetPr>
    <tabColor theme="5" tint="-0.249977111117893"/>
    <pageSetUpPr fitToPage="1"/>
  </sheetPr>
  <dimension ref="A1:G33"/>
  <sheetViews>
    <sheetView showGridLines="0" topLeftCell="A7" zoomScale="80" zoomScaleNormal="80" workbookViewId="0">
      <selection activeCell="D14" sqref="D14:D23"/>
    </sheetView>
  </sheetViews>
  <sheetFormatPr baseColWidth="10" defaultColWidth="12" defaultRowHeight="14.25" x14ac:dyDescent="0.2"/>
  <cols>
    <col min="1" max="1" width="12" style="836"/>
    <col min="2" max="2" width="39.6640625" style="836" customWidth="1"/>
    <col min="3" max="3" width="29.5" style="836" customWidth="1"/>
    <col min="4" max="4" width="28.6640625" style="836" customWidth="1"/>
    <col min="5" max="5" width="23.83203125" style="836" customWidth="1"/>
    <col min="6" max="6" width="19.5" style="836" customWidth="1"/>
    <col min="7" max="7" width="25.83203125" style="836" customWidth="1"/>
    <col min="8" max="16384" width="12" style="836"/>
  </cols>
  <sheetData>
    <row r="1" spans="1:7" ht="15" x14ac:dyDescent="0.2">
      <c r="A1" s="1242" t="s">
        <v>528</v>
      </c>
      <c r="B1" s="1242"/>
      <c r="C1" s="1242"/>
      <c r="D1" s="1242"/>
      <c r="E1" s="1242"/>
      <c r="F1" s="1242"/>
      <c r="G1" s="1242"/>
    </row>
    <row r="2" spans="1:7" ht="15" x14ac:dyDescent="0.2">
      <c r="A2" s="1243" t="s">
        <v>436</v>
      </c>
      <c r="B2" s="1243"/>
      <c r="C2" s="1243"/>
      <c r="D2" s="1243"/>
      <c r="E2" s="1243"/>
      <c r="F2" s="1243"/>
      <c r="G2" s="1243"/>
    </row>
    <row r="3" spans="1:7" ht="15" x14ac:dyDescent="0.2">
      <c r="A3" s="1243" t="s">
        <v>529</v>
      </c>
      <c r="B3" s="1243"/>
      <c r="C3" s="1243"/>
      <c r="D3" s="1243"/>
      <c r="E3" s="1243"/>
      <c r="F3" s="1243"/>
      <c r="G3" s="1243"/>
    </row>
    <row r="4" spans="1:7" ht="15.75" thickBot="1" x14ac:dyDescent="0.25">
      <c r="A4" s="1283"/>
      <c r="B4" s="1283"/>
      <c r="C4" s="1283"/>
      <c r="D4" s="1283"/>
      <c r="E4" s="1283"/>
      <c r="F4" s="1283"/>
      <c r="G4" s="1283"/>
    </row>
    <row r="5" spans="1:7" x14ac:dyDescent="0.2">
      <c r="A5" s="1284" t="s">
        <v>439</v>
      </c>
      <c r="B5" s="1285"/>
      <c r="C5" s="1285"/>
      <c r="D5" s="1285"/>
      <c r="E5" s="1285"/>
      <c r="F5" s="1285"/>
      <c r="G5" s="1286"/>
    </row>
    <row r="6" spans="1:7" ht="285" customHeight="1" x14ac:dyDescent="0.2">
      <c r="A6" s="1263" t="s">
        <v>530</v>
      </c>
      <c r="B6" s="1264"/>
      <c r="C6" s="1264"/>
      <c r="D6" s="1264"/>
      <c r="E6" s="1264"/>
      <c r="F6" s="1264"/>
      <c r="G6" s="1265"/>
    </row>
    <row r="7" spans="1:7" ht="49.5" customHeight="1" x14ac:dyDescent="0.2">
      <c r="A7" s="1263" t="s">
        <v>520</v>
      </c>
      <c r="B7" s="1264"/>
      <c r="C7" s="1264"/>
      <c r="D7" s="1264"/>
      <c r="E7" s="1264"/>
      <c r="F7" s="1264"/>
      <c r="G7" s="1265"/>
    </row>
    <row r="8" spans="1:7" ht="42" customHeight="1" x14ac:dyDescent="0.2">
      <c r="A8" s="1263" t="s">
        <v>521</v>
      </c>
      <c r="B8" s="1264"/>
      <c r="C8" s="1264"/>
      <c r="D8" s="1264"/>
      <c r="E8" s="1264"/>
      <c r="F8" s="1264"/>
      <c r="G8" s="1265"/>
    </row>
    <row r="9" spans="1:7" ht="39" customHeight="1" x14ac:dyDescent="0.2">
      <c r="A9" s="1263" t="s">
        <v>443</v>
      </c>
      <c r="B9" s="1264"/>
      <c r="C9" s="1264"/>
      <c r="D9" s="1264"/>
      <c r="E9" s="1264"/>
      <c r="F9" s="1264"/>
      <c r="G9" s="1265"/>
    </row>
    <row r="10" spans="1:7" ht="35.25" customHeight="1" x14ac:dyDescent="0.2">
      <c r="A10" s="1263" t="s">
        <v>444</v>
      </c>
      <c r="B10" s="1264"/>
      <c r="C10" s="1264"/>
      <c r="D10" s="1264"/>
      <c r="E10" s="1264"/>
      <c r="F10" s="1264"/>
      <c r="G10" s="1265"/>
    </row>
    <row r="11" spans="1:7" ht="63" customHeight="1" thickBot="1" x14ac:dyDescent="0.25">
      <c r="A11" s="1254" t="s">
        <v>445</v>
      </c>
      <c r="B11" s="1255"/>
      <c r="C11" s="1255"/>
      <c r="D11" s="1255"/>
      <c r="E11" s="1255"/>
      <c r="F11" s="1255"/>
      <c r="G11" s="1256"/>
    </row>
    <row r="12" spans="1:7" ht="15" thickBot="1" x14ac:dyDescent="0.25"/>
    <row r="13" spans="1:7" ht="114" customHeight="1" x14ac:dyDescent="0.2">
      <c r="A13" s="859" t="s">
        <v>448</v>
      </c>
      <c r="B13" s="860" t="s">
        <v>449</v>
      </c>
      <c r="C13" s="860" t="s">
        <v>450</v>
      </c>
      <c r="D13" s="830" t="s">
        <v>522</v>
      </c>
      <c r="E13" s="831" t="s">
        <v>523</v>
      </c>
      <c r="F13" s="861" t="s">
        <v>455</v>
      </c>
      <c r="G13" s="862" t="s">
        <v>524</v>
      </c>
    </row>
    <row r="14" spans="1:7" x14ac:dyDescent="0.2">
      <c r="A14" s="840">
        <v>1</v>
      </c>
      <c r="B14" s="841" t="s">
        <v>484</v>
      </c>
      <c r="C14" s="841" t="s">
        <v>485</v>
      </c>
      <c r="D14" s="870">
        <v>2135851.5637333333</v>
      </c>
      <c r="E14" s="871">
        <v>0</v>
      </c>
      <c r="F14" s="872">
        <v>2</v>
      </c>
      <c r="G14" s="873">
        <f>E14*F14</f>
        <v>0</v>
      </c>
    </row>
    <row r="15" spans="1:7" ht="28.5" x14ac:dyDescent="0.2">
      <c r="A15" s="840">
        <v>2</v>
      </c>
      <c r="B15" s="841" t="s">
        <v>468</v>
      </c>
      <c r="C15" s="841" t="s">
        <v>469</v>
      </c>
      <c r="D15" s="870">
        <v>331211.64799999999</v>
      </c>
      <c r="E15" s="871">
        <v>0</v>
      </c>
      <c r="F15" s="872">
        <v>2</v>
      </c>
      <c r="G15" s="873">
        <f t="shared" ref="G15:G23" si="0">E15*F15</f>
        <v>0</v>
      </c>
    </row>
    <row r="16" spans="1:7" x14ac:dyDescent="0.2">
      <c r="A16" s="840">
        <v>3</v>
      </c>
      <c r="B16" s="841" t="s">
        <v>457</v>
      </c>
      <c r="C16" s="841" t="s">
        <v>458</v>
      </c>
      <c r="D16" s="870">
        <v>389163.29173333338</v>
      </c>
      <c r="E16" s="871">
        <v>0</v>
      </c>
      <c r="F16" s="872">
        <v>2</v>
      </c>
      <c r="G16" s="873">
        <f t="shared" si="0"/>
        <v>0</v>
      </c>
    </row>
    <row r="17" spans="1:7" ht="28.5" x14ac:dyDescent="0.2">
      <c r="A17" s="840">
        <v>4</v>
      </c>
      <c r="B17" s="841" t="s">
        <v>471</v>
      </c>
      <c r="C17" s="841" t="s">
        <v>472</v>
      </c>
      <c r="D17" s="870">
        <v>302348</v>
      </c>
      <c r="E17" s="871">
        <v>0</v>
      </c>
      <c r="F17" s="872">
        <v>2</v>
      </c>
      <c r="G17" s="873">
        <f t="shared" si="0"/>
        <v>0</v>
      </c>
    </row>
    <row r="18" spans="1:7" ht="28.5" x14ac:dyDescent="0.2">
      <c r="A18" s="840">
        <v>5</v>
      </c>
      <c r="B18" s="841" t="s">
        <v>477</v>
      </c>
      <c r="C18" s="841" t="s">
        <v>478</v>
      </c>
      <c r="D18" s="870">
        <v>334198.10453333333</v>
      </c>
      <c r="E18" s="871">
        <v>0</v>
      </c>
      <c r="F18" s="872">
        <v>2</v>
      </c>
      <c r="G18" s="873">
        <f t="shared" si="0"/>
        <v>0</v>
      </c>
    </row>
    <row r="19" spans="1:7" ht="28.5" x14ac:dyDescent="0.2">
      <c r="A19" s="840">
        <v>6</v>
      </c>
      <c r="B19" s="841" t="s">
        <v>480</v>
      </c>
      <c r="C19" s="841" t="s">
        <v>481</v>
      </c>
      <c r="D19" s="870">
        <v>381975.05920000002</v>
      </c>
      <c r="E19" s="871">
        <v>0</v>
      </c>
      <c r="F19" s="872">
        <v>2</v>
      </c>
      <c r="G19" s="873">
        <f t="shared" si="0"/>
        <v>0</v>
      </c>
    </row>
    <row r="20" spans="1:7" ht="28.5" x14ac:dyDescent="0.2">
      <c r="A20" s="840">
        <v>7</v>
      </c>
      <c r="B20" s="841" t="s">
        <v>507</v>
      </c>
      <c r="C20" s="841" t="s">
        <v>475</v>
      </c>
      <c r="D20" s="870">
        <v>304338.55573333334</v>
      </c>
      <c r="E20" s="871">
        <v>0</v>
      </c>
      <c r="F20" s="872">
        <v>2</v>
      </c>
      <c r="G20" s="873">
        <f t="shared" si="0"/>
        <v>0</v>
      </c>
    </row>
    <row r="21" spans="1:7" x14ac:dyDescent="0.2">
      <c r="A21" s="840">
        <v>8</v>
      </c>
      <c r="B21" s="841" t="s">
        <v>508</v>
      </c>
      <c r="C21" s="841" t="s">
        <v>509</v>
      </c>
      <c r="D21" s="870">
        <v>401799.13920000003</v>
      </c>
      <c r="E21" s="871">
        <v>0</v>
      </c>
      <c r="F21" s="872">
        <v>2</v>
      </c>
      <c r="G21" s="873">
        <f t="shared" si="0"/>
        <v>0</v>
      </c>
    </row>
    <row r="22" spans="1:7" ht="42.75" x14ac:dyDescent="0.2">
      <c r="A22" s="840">
        <v>9</v>
      </c>
      <c r="B22" s="841" t="s">
        <v>531</v>
      </c>
      <c r="C22" s="841" t="s">
        <v>526</v>
      </c>
      <c r="D22" s="870">
        <v>186254.89173333332</v>
      </c>
      <c r="E22" s="871">
        <v>0</v>
      </c>
      <c r="F22" s="872">
        <v>2</v>
      </c>
      <c r="G22" s="873">
        <f t="shared" si="0"/>
        <v>0</v>
      </c>
    </row>
    <row r="23" spans="1:7" ht="21.75" customHeight="1" x14ac:dyDescent="0.2">
      <c r="A23" s="840">
        <v>10</v>
      </c>
      <c r="B23" s="841" t="s">
        <v>511</v>
      </c>
      <c r="C23" s="841" t="s">
        <v>512</v>
      </c>
      <c r="D23" s="870">
        <v>187563.74453333335</v>
      </c>
      <c r="E23" s="871">
        <v>0</v>
      </c>
      <c r="F23" s="872">
        <v>2</v>
      </c>
      <c r="G23" s="873">
        <f t="shared" si="0"/>
        <v>0</v>
      </c>
    </row>
    <row r="24" spans="1:7" hidden="1" x14ac:dyDescent="0.2">
      <c r="A24" s="867"/>
      <c r="B24" s="868" t="s">
        <v>532</v>
      </c>
      <c r="C24" s="869" t="s">
        <v>533</v>
      </c>
      <c r="D24" s="874" t="e">
        <f>+#REF!+#REF!</f>
        <v>#REF!</v>
      </c>
      <c r="E24" s="874"/>
      <c r="F24" s="874"/>
      <c r="G24" s="875" t="e">
        <f t="shared" ref="G24" si="1">D24*F24</f>
        <v>#REF!</v>
      </c>
    </row>
    <row r="25" spans="1:7" ht="16.5" customHeight="1" x14ac:dyDescent="0.2">
      <c r="A25" s="1291" t="s">
        <v>515</v>
      </c>
      <c r="B25" s="1292"/>
      <c r="C25" s="1292"/>
      <c r="D25" s="1292"/>
      <c r="E25" s="1292"/>
      <c r="F25" s="1292"/>
      <c r="G25" s="876">
        <f>SUM(G14:G23)</f>
        <v>0</v>
      </c>
    </row>
    <row r="26" spans="1:7" ht="15.75" x14ac:dyDescent="0.2">
      <c r="A26" s="1277" t="s">
        <v>527</v>
      </c>
      <c r="B26" s="1278"/>
      <c r="C26" s="1278"/>
      <c r="D26" s="1278"/>
      <c r="E26" s="1278"/>
      <c r="F26" s="1278"/>
      <c r="G26" s="877">
        <f>ROUND(G25*19%,0)</f>
        <v>0</v>
      </c>
    </row>
    <row r="27" spans="1:7" ht="15.75" thickBot="1" x14ac:dyDescent="0.25">
      <c r="A27" s="1289" t="s">
        <v>496</v>
      </c>
      <c r="B27" s="1290"/>
      <c r="C27" s="1290"/>
      <c r="D27" s="1290"/>
      <c r="E27" s="1290"/>
      <c r="F27" s="1290"/>
      <c r="G27" s="878">
        <f>G25+G26</f>
        <v>0</v>
      </c>
    </row>
    <row r="28" spans="1:7" ht="15" thickBot="1" x14ac:dyDescent="0.25"/>
    <row r="29" spans="1:7" ht="113.25" customHeight="1" thickBot="1" x14ac:dyDescent="0.25">
      <c r="A29" s="1251" t="s">
        <v>500</v>
      </c>
      <c r="B29" s="1252"/>
      <c r="C29" s="1252"/>
      <c r="D29" s="1252"/>
      <c r="E29" s="1252"/>
      <c r="F29" s="1252"/>
      <c r="G29" s="1253"/>
    </row>
    <row r="31" spans="1:7" x14ac:dyDescent="0.2">
      <c r="A31" s="838"/>
    </row>
    <row r="32" spans="1:7" x14ac:dyDescent="0.2">
      <c r="A32" s="838"/>
    </row>
    <row r="33" spans="1:1" x14ac:dyDescent="0.2">
      <c r="A33" s="838"/>
    </row>
  </sheetData>
  <mergeCells count="15">
    <mergeCell ref="A6:G6"/>
    <mergeCell ref="A1:G1"/>
    <mergeCell ref="A2:G2"/>
    <mergeCell ref="A3:G3"/>
    <mergeCell ref="A4:G4"/>
    <mergeCell ref="A5:G5"/>
    <mergeCell ref="A26:F26"/>
    <mergeCell ref="A27:F27"/>
    <mergeCell ref="A29:G29"/>
    <mergeCell ref="A7:G7"/>
    <mergeCell ref="A8:G8"/>
    <mergeCell ref="A9:G9"/>
    <mergeCell ref="A10:G10"/>
    <mergeCell ref="A11:G11"/>
    <mergeCell ref="A25:F25"/>
  </mergeCells>
  <pageMargins left="0.7" right="0.7" top="0.75" bottom="0.75" header="0.3" footer="0.3"/>
  <pageSetup scale="76"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AD422-3A95-4DB6-A661-F6CE8EB196FD}">
  <sheetPr>
    <tabColor theme="5" tint="-0.249977111117893"/>
    <pageSetUpPr fitToPage="1"/>
  </sheetPr>
  <dimension ref="A1:G26"/>
  <sheetViews>
    <sheetView topLeftCell="A13" zoomScale="80" zoomScaleNormal="80" workbookViewId="0">
      <selection activeCell="J20" sqref="J20"/>
    </sheetView>
  </sheetViews>
  <sheetFormatPr baseColWidth="10" defaultColWidth="12.6640625" defaultRowHeight="14.25" x14ac:dyDescent="0.2"/>
  <cols>
    <col min="1" max="1" width="6" style="836" customWidth="1"/>
    <col min="2" max="2" width="17.83203125" style="836" customWidth="1"/>
    <col min="3" max="3" width="109.83203125" style="836" customWidth="1"/>
    <col min="4" max="4" width="33.83203125" style="836" customWidth="1"/>
    <col min="5" max="5" width="27.33203125" style="836" customWidth="1"/>
    <col min="6" max="6" width="17.83203125" style="836" customWidth="1"/>
    <col min="7" max="7" width="24.33203125" style="836" customWidth="1"/>
    <col min="8" max="16384" width="12.6640625" style="836"/>
  </cols>
  <sheetData>
    <row r="1" spans="1:7" ht="15" x14ac:dyDescent="0.2">
      <c r="A1" s="1242" t="s">
        <v>534</v>
      </c>
      <c r="B1" s="1242"/>
      <c r="C1" s="1242"/>
      <c r="D1" s="1242"/>
      <c r="E1" s="1242"/>
      <c r="F1" s="1242"/>
      <c r="G1" s="1242"/>
    </row>
    <row r="2" spans="1:7" ht="15" x14ac:dyDescent="0.2">
      <c r="A2" s="1243" t="s">
        <v>436</v>
      </c>
      <c r="B2" s="1243"/>
      <c r="C2" s="1243"/>
      <c r="D2" s="1243"/>
      <c r="E2" s="1243"/>
      <c r="F2" s="1243"/>
      <c r="G2" s="1243"/>
    </row>
    <row r="3" spans="1:7" ht="15" x14ac:dyDescent="0.2">
      <c r="A3" s="1243" t="s">
        <v>535</v>
      </c>
      <c r="B3" s="1243"/>
      <c r="C3" s="1243"/>
      <c r="D3" s="1243"/>
      <c r="E3" s="1243"/>
      <c r="F3" s="1243"/>
      <c r="G3" s="1243"/>
    </row>
    <row r="4" spans="1:7" ht="15.75" thickBot="1" x14ac:dyDescent="0.25">
      <c r="A4" s="1283"/>
      <c r="B4" s="1283"/>
      <c r="C4" s="1283"/>
      <c r="D4" s="1283"/>
      <c r="E4" s="1283"/>
      <c r="F4" s="1283"/>
      <c r="G4" s="1283"/>
    </row>
    <row r="5" spans="1:7" x14ac:dyDescent="0.2">
      <c r="A5" s="1284" t="s">
        <v>439</v>
      </c>
      <c r="B5" s="1285"/>
      <c r="C5" s="1285"/>
      <c r="D5" s="1285"/>
      <c r="E5" s="1285"/>
      <c r="F5" s="1285"/>
      <c r="G5" s="1286"/>
    </row>
    <row r="6" spans="1:7" ht="249" customHeight="1" x14ac:dyDescent="0.2">
      <c r="A6" s="1263" t="s">
        <v>536</v>
      </c>
      <c r="B6" s="1264"/>
      <c r="C6" s="1264"/>
      <c r="D6" s="1264"/>
      <c r="E6" s="1264"/>
      <c r="F6" s="1264"/>
      <c r="G6" s="1265"/>
    </row>
    <row r="7" spans="1:7" ht="47.25" customHeight="1" x14ac:dyDescent="0.2">
      <c r="A7" s="1263" t="s">
        <v>520</v>
      </c>
      <c r="B7" s="1264"/>
      <c r="C7" s="1264"/>
      <c r="D7" s="1264"/>
      <c r="E7" s="1264"/>
      <c r="F7" s="1264"/>
      <c r="G7" s="1265"/>
    </row>
    <row r="8" spans="1:7" ht="37.5" customHeight="1" x14ac:dyDescent="0.2">
      <c r="A8" s="1263" t="s">
        <v>521</v>
      </c>
      <c r="B8" s="1264"/>
      <c r="C8" s="1264"/>
      <c r="D8" s="1264"/>
      <c r="E8" s="1264"/>
      <c r="F8" s="1264"/>
      <c r="G8" s="1265"/>
    </row>
    <row r="9" spans="1:7" ht="21" customHeight="1" x14ac:dyDescent="0.2">
      <c r="A9" s="1263" t="s">
        <v>443</v>
      </c>
      <c r="B9" s="1264"/>
      <c r="C9" s="1264"/>
      <c r="D9" s="1264"/>
      <c r="E9" s="1264"/>
      <c r="F9" s="1264"/>
      <c r="G9" s="1265"/>
    </row>
    <row r="10" spans="1:7" ht="21" customHeight="1" x14ac:dyDescent="0.2">
      <c r="A10" s="1263" t="s">
        <v>444</v>
      </c>
      <c r="B10" s="1264"/>
      <c r="C10" s="1264"/>
      <c r="D10" s="1264"/>
      <c r="E10" s="1264"/>
      <c r="F10" s="1264"/>
      <c r="G10" s="1265"/>
    </row>
    <row r="11" spans="1:7" ht="45.75" customHeight="1" thickBot="1" x14ac:dyDescent="0.25">
      <c r="A11" s="1254" t="s">
        <v>445</v>
      </c>
      <c r="B11" s="1255"/>
      <c r="C11" s="1255"/>
      <c r="D11" s="1255"/>
      <c r="E11" s="1255"/>
      <c r="F11" s="1255"/>
      <c r="G11" s="1256"/>
    </row>
    <row r="12" spans="1:7" ht="15" thickBot="1" x14ac:dyDescent="0.25"/>
    <row r="13" spans="1:7" ht="84" customHeight="1" x14ac:dyDescent="0.2">
      <c r="A13" s="882" t="s">
        <v>448</v>
      </c>
      <c r="B13" s="883" t="s">
        <v>537</v>
      </c>
      <c r="C13" s="883" t="s">
        <v>538</v>
      </c>
      <c r="D13" s="830" t="s">
        <v>522</v>
      </c>
      <c r="E13" s="831" t="s">
        <v>523</v>
      </c>
      <c r="F13" s="831" t="s">
        <v>455</v>
      </c>
      <c r="G13" s="831" t="s">
        <v>524</v>
      </c>
    </row>
    <row r="14" spans="1:7" ht="294.75" customHeight="1" x14ac:dyDescent="0.2">
      <c r="A14" s="840">
        <v>1</v>
      </c>
      <c r="B14" s="879" t="s">
        <v>539</v>
      </c>
      <c r="C14" s="880" t="s">
        <v>540</v>
      </c>
      <c r="D14" s="433">
        <v>1528509.3333333333</v>
      </c>
      <c r="E14" s="884">
        <v>0</v>
      </c>
      <c r="F14" s="881">
        <v>2</v>
      </c>
      <c r="G14" s="885">
        <f>E14*F14</f>
        <v>0</v>
      </c>
    </row>
    <row r="15" spans="1:7" ht="171" customHeight="1" x14ac:dyDescent="0.2">
      <c r="A15" s="840">
        <v>2</v>
      </c>
      <c r="B15" s="879" t="s">
        <v>541</v>
      </c>
      <c r="C15" s="880" t="s">
        <v>542</v>
      </c>
      <c r="D15" s="433">
        <v>1266225.3333333333</v>
      </c>
      <c r="E15" s="884">
        <v>0</v>
      </c>
      <c r="F15" s="881">
        <v>1</v>
      </c>
      <c r="G15" s="885">
        <f>E15*F15</f>
        <v>0</v>
      </c>
    </row>
    <row r="16" spans="1:7" ht="15" x14ac:dyDescent="0.2">
      <c r="A16" s="1291" t="s">
        <v>515</v>
      </c>
      <c r="B16" s="1292"/>
      <c r="C16" s="1292"/>
      <c r="D16" s="1292"/>
      <c r="E16" s="1292"/>
      <c r="F16" s="1292"/>
      <c r="G16" s="876">
        <f>SUM(G14:G15)</f>
        <v>0</v>
      </c>
    </row>
    <row r="17" spans="1:7" ht="15" customHeight="1" x14ac:dyDescent="0.2">
      <c r="A17" s="1277" t="s">
        <v>527</v>
      </c>
      <c r="B17" s="1278"/>
      <c r="C17" s="1278"/>
      <c r="D17" s="1278"/>
      <c r="E17" s="1278"/>
      <c r="F17" s="1278"/>
      <c r="G17" s="877">
        <f>ROUND(G16*19%,0)</f>
        <v>0</v>
      </c>
    </row>
    <row r="18" spans="1:7" ht="15.75" thickBot="1" x14ac:dyDescent="0.25">
      <c r="A18" s="1289" t="s">
        <v>496</v>
      </c>
      <c r="B18" s="1290"/>
      <c r="C18" s="1290"/>
      <c r="D18" s="1290"/>
      <c r="E18" s="1290"/>
      <c r="F18" s="1290"/>
      <c r="G18" s="878">
        <f>G16+G17</f>
        <v>0</v>
      </c>
    </row>
    <row r="19" spans="1:7" ht="15" thickBot="1" x14ac:dyDescent="0.25"/>
    <row r="20" spans="1:7" ht="122.25" customHeight="1" thickBot="1" x14ac:dyDescent="0.25">
      <c r="A20" s="1251" t="s">
        <v>500</v>
      </c>
      <c r="B20" s="1252"/>
      <c r="C20" s="1252"/>
      <c r="D20" s="1252"/>
      <c r="E20" s="1252"/>
      <c r="F20" s="1252"/>
      <c r="G20" s="1253"/>
    </row>
    <row r="23" spans="1:7" x14ac:dyDescent="0.2">
      <c r="A23" s="838"/>
    </row>
    <row r="24" spans="1:7" x14ac:dyDescent="0.2">
      <c r="A24" s="838"/>
    </row>
    <row r="25" spans="1:7" x14ac:dyDescent="0.2">
      <c r="A25" s="838"/>
    </row>
    <row r="26" spans="1:7" x14ac:dyDescent="0.2">
      <c r="A26" s="838"/>
    </row>
  </sheetData>
  <mergeCells count="15">
    <mergeCell ref="A6:G6"/>
    <mergeCell ref="A1:G1"/>
    <mergeCell ref="A2:G2"/>
    <mergeCell ref="A3:G3"/>
    <mergeCell ref="A4:G4"/>
    <mergeCell ref="A5:G5"/>
    <mergeCell ref="A17:F17"/>
    <mergeCell ref="A18:F18"/>
    <mergeCell ref="A20:G20"/>
    <mergeCell ref="A7:G7"/>
    <mergeCell ref="A8:G8"/>
    <mergeCell ref="A9:G9"/>
    <mergeCell ref="A10:G10"/>
    <mergeCell ref="A11:G11"/>
    <mergeCell ref="A16:F16"/>
  </mergeCells>
  <pageMargins left="0.7" right="0.7" top="0.75" bottom="0.75" header="0.3" footer="0.3"/>
  <pageSetup scale="71"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521A3F-2CA5-4C76-B775-E59F55109AFA}">
  <sheetPr>
    <tabColor rgb="FFC00000"/>
  </sheetPr>
  <dimension ref="A1:F65"/>
  <sheetViews>
    <sheetView zoomScale="90" zoomScaleNormal="90" workbookViewId="0">
      <selection activeCell="L20" sqref="L20"/>
    </sheetView>
  </sheetViews>
  <sheetFormatPr baseColWidth="10" defaultColWidth="12" defaultRowHeight="14.25" x14ac:dyDescent="0.2"/>
  <cols>
    <col min="1" max="1" width="12" style="833"/>
    <col min="2" max="2" width="71.1640625" style="833" customWidth="1"/>
    <col min="3" max="4" width="21.5" style="902" customWidth="1"/>
    <col min="5" max="5" width="16" style="833" customWidth="1"/>
    <col min="6" max="6" width="28.83203125" style="833" customWidth="1"/>
    <col min="7" max="16384" width="12" style="833"/>
  </cols>
  <sheetData>
    <row r="1" spans="1:6" ht="79.5" customHeight="1" x14ac:dyDescent="0.25">
      <c r="A1" s="1293" t="s">
        <v>543</v>
      </c>
      <c r="B1" s="1293"/>
      <c r="C1" s="1293"/>
      <c r="D1" s="1293"/>
      <c r="E1" s="1293"/>
      <c r="F1" s="1293"/>
    </row>
    <row r="2" spans="1:6" ht="22.5" customHeight="1" thickBot="1" x14ac:dyDescent="0.25">
      <c r="A2" s="1294" t="s">
        <v>544</v>
      </c>
      <c r="B2" s="1294"/>
      <c r="C2" s="1294"/>
      <c r="D2" s="1294"/>
      <c r="E2" s="1294"/>
      <c r="F2" s="886">
        <v>50000000</v>
      </c>
    </row>
    <row r="3" spans="1:6" ht="135.75" customHeight="1" x14ac:dyDescent="0.2">
      <c r="A3" s="887" t="s">
        <v>545</v>
      </c>
      <c r="B3" s="856" t="s">
        <v>546</v>
      </c>
      <c r="C3" s="830" t="s">
        <v>522</v>
      </c>
      <c r="D3" s="831" t="s">
        <v>523</v>
      </c>
      <c r="E3" s="831" t="s">
        <v>455</v>
      </c>
      <c r="F3" s="831" t="s">
        <v>524</v>
      </c>
    </row>
    <row r="4" spans="1:6" x14ac:dyDescent="0.2">
      <c r="A4" s="840">
        <v>1</v>
      </c>
      <c r="B4" s="888" t="s">
        <v>547</v>
      </c>
      <c r="C4" s="889">
        <v>79646.901333333328</v>
      </c>
      <c r="D4" s="889"/>
      <c r="E4" s="858">
        <v>1</v>
      </c>
      <c r="F4" s="433" t="str">
        <f t="shared" ref="F4:F45" si="0">IFERROR(AVERAGEIF(#REF!,"&gt;0",#REF!),"")</f>
        <v/>
      </c>
    </row>
    <row r="5" spans="1:6" x14ac:dyDescent="0.2">
      <c r="A5" s="840">
        <v>2</v>
      </c>
      <c r="B5" s="890" t="s">
        <v>548</v>
      </c>
      <c r="C5" s="889">
        <v>799253.23999999987</v>
      </c>
      <c r="D5" s="889"/>
      <c r="E5" s="858">
        <v>1</v>
      </c>
      <c r="F5" s="433" t="str">
        <f t="shared" si="0"/>
        <v/>
      </c>
    </row>
    <row r="6" spans="1:6" x14ac:dyDescent="0.2">
      <c r="A6" s="840">
        <v>3</v>
      </c>
      <c r="B6" s="890" t="s">
        <v>549</v>
      </c>
      <c r="C6" s="889">
        <v>1217506.8984000001</v>
      </c>
      <c r="D6" s="889"/>
      <c r="E6" s="858">
        <v>1</v>
      </c>
      <c r="F6" s="433" t="str">
        <f t="shared" si="0"/>
        <v/>
      </c>
    </row>
    <row r="7" spans="1:6" x14ac:dyDescent="0.2">
      <c r="A7" s="840">
        <v>4</v>
      </c>
      <c r="B7" s="890" t="s">
        <v>550</v>
      </c>
      <c r="C7" s="889">
        <v>722871.09893333341</v>
      </c>
      <c r="D7" s="889"/>
      <c r="E7" s="858">
        <v>1</v>
      </c>
      <c r="F7" s="433" t="str">
        <f t="shared" si="0"/>
        <v/>
      </c>
    </row>
    <row r="8" spans="1:6" x14ac:dyDescent="0.2">
      <c r="A8" s="840">
        <v>5</v>
      </c>
      <c r="B8" s="890" t="s">
        <v>551</v>
      </c>
      <c r="C8" s="889">
        <v>1073964.3149333333</v>
      </c>
      <c r="D8" s="889"/>
      <c r="E8" s="858">
        <v>1</v>
      </c>
      <c r="F8" s="433" t="str">
        <f t="shared" si="0"/>
        <v/>
      </c>
    </row>
    <row r="9" spans="1:6" x14ac:dyDescent="0.2">
      <c r="A9" s="840">
        <v>6</v>
      </c>
      <c r="B9" s="890" t="s">
        <v>552</v>
      </c>
      <c r="C9" s="889">
        <v>18399.763466666667</v>
      </c>
      <c r="D9" s="889"/>
      <c r="E9" s="858">
        <v>1</v>
      </c>
      <c r="F9" s="433" t="str">
        <f t="shared" si="0"/>
        <v/>
      </c>
    </row>
    <row r="10" spans="1:6" x14ac:dyDescent="0.2">
      <c r="A10" s="840">
        <v>7</v>
      </c>
      <c r="B10" s="890" t="s">
        <v>553</v>
      </c>
      <c r="C10" s="889">
        <v>340218.6962666667</v>
      </c>
      <c r="D10" s="889"/>
      <c r="E10" s="858">
        <v>1</v>
      </c>
      <c r="F10" s="433" t="str">
        <f t="shared" si="0"/>
        <v/>
      </c>
    </row>
    <row r="11" spans="1:6" ht="28.5" x14ac:dyDescent="0.2">
      <c r="A11" s="840">
        <v>8</v>
      </c>
      <c r="B11" s="891" t="s">
        <v>554</v>
      </c>
      <c r="C11" s="889">
        <v>821738.74373333331</v>
      </c>
      <c r="D11" s="889"/>
      <c r="E11" s="858">
        <v>1</v>
      </c>
      <c r="F11" s="433" t="str">
        <f t="shared" si="0"/>
        <v/>
      </c>
    </row>
    <row r="12" spans="1:6" ht="28.5" x14ac:dyDescent="0.2">
      <c r="A12" s="840">
        <v>9</v>
      </c>
      <c r="B12" s="891" t="s">
        <v>555</v>
      </c>
      <c r="C12" s="889">
        <v>640467.81813333335</v>
      </c>
      <c r="D12" s="889"/>
      <c r="E12" s="858">
        <v>1</v>
      </c>
      <c r="F12" s="433" t="str">
        <f t="shared" si="0"/>
        <v/>
      </c>
    </row>
    <row r="13" spans="1:6" x14ac:dyDescent="0.2">
      <c r="A13" s="840">
        <v>10</v>
      </c>
      <c r="B13" s="891" t="s">
        <v>556</v>
      </c>
      <c r="C13" s="889">
        <v>347838.95493333333</v>
      </c>
      <c r="D13" s="889"/>
      <c r="E13" s="858">
        <v>1</v>
      </c>
      <c r="F13" s="433" t="str">
        <f t="shared" si="0"/>
        <v/>
      </c>
    </row>
    <row r="14" spans="1:6" ht="28.5" x14ac:dyDescent="0.2">
      <c r="A14" s="840">
        <v>11</v>
      </c>
      <c r="B14" s="891" t="s">
        <v>557</v>
      </c>
      <c r="C14" s="889">
        <v>424197.28506666672</v>
      </c>
      <c r="D14" s="889"/>
      <c r="E14" s="858">
        <v>1</v>
      </c>
      <c r="F14" s="433" t="str">
        <f t="shared" si="0"/>
        <v/>
      </c>
    </row>
    <row r="15" spans="1:6" ht="28.5" x14ac:dyDescent="0.2">
      <c r="A15" s="840">
        <v>12</v>
      </c>
      <c r="B15" s="891" t="s">
        <v>558</v>
      </c>
      <c r="C15" s="889">
        <v>138425.89333333334</v>
      </c>
      <c r="D15" s="889"/>
      <c r="E15" s="858">
        <v>1</v>
      </c>
      <c r="F15" s="433" t="str">
        <f t="shared" si="0"/>
        <v/>
      </c>
    </row>
    <row r="16" spans="1:6" ht="26.25" customHeight="1" x14ac:dyDescent="0.2">
      <c r="A16" s="840">
        <v>13</v>
      </c>
      <c r="B16" s="891" t="s">
        <v>559</v>
      </c>
      <c r="C16" s="889">
        <v>312446.1384</v>
      </c>
      <c r="D16" s="889"/>
      <c r="E16" s="858">
        <v>1</v>
      </c>
      <c r="F16" s="433" t="str">
        <f t="shared" si="0"/>
        <v/>
      </c>
    </row>
    <row r="17" spans="1:6" ht="26.25" customHeight="1" x14ac:dyDescent="0.2">
      <c r="A17" s="840">
        <v>14</v>
      </c>
      <c r="B17" s="891" t="s">
        <v>560</v>
      </c>
      <c r="C17" s="889">
        <v>414842.75173333334</v>
      </c>
      <c r="D17" s="889"/>
      <c r="E17" s="858">
        <v>1</v>
      </c>
      <c r="F17" s="433" t="str">
        <f t="shared" si="0"/>
        <v/>
      </c>
    </row>
    <row r="18" spans="1:6" x14ac:dyDescent="0.2">
      <c r="A18" s="840">
        <v>15</v>
      </c>
      <c r="B18" s="891" t="s">
        <v>561</v>
      </c>
      <c r="C18" s="889">
        <v>70946.845066666676</v>
      </c>
      <c r="D18" s="889"/>
      <c r="E18" s="858">
        <v>1</v>
      </c>
      <c r="F18" s="433" t="str">
        <f t="shared" si="0"/>
        <v/>
      </c>
    </row>
    <row r="19" spans="1:6" ht="28.5" x14ac:dyDescent="0.2">
      <c r="A19" s="840">
        <v>16</v>
      </c>
      <c r="B19" s="891" t="s">
        <v>562</v>
      </c>
      <c r="C19" s="889">
        <v>142968.95120000001</v>
      </c>
      <c r="D19" s="889"/>
      <c r="E19" s="858">
        <v>1</v>
      </c>
      <c r="F19" s="433" t="str">
        <f t="shared" si="0"/>
        <v/>
      </c>
    </row>
    <row r="20" spans="1:6" ht="28.5" x14ac:dyDescent="0.2">
      <c r="A20" s="840">
        <v>17</v>
      </c>
      <c r="B20" s="891" t="s">
        <v>563</v>
      </c>
      <c r="C20" s="889">
        <v>6901.8082666666669</v>
      </c>
      <c r="D20" s="889"/>
      <c r="E20" s="858">
        <v>1</v>
      </c>
      <c r="F20" s="433" t="str">
        <f t="shared" si="0"/>
        <v/>
      </c>
    </row>
    <row r="21" spans="1:6" x14ac:dyDescent="0.2">
      <c r="A21" s="840">
        <v>18</v>
      </c>
      <c r="B21" s="891" t="s">
        <v>564</v>
      </c>
      <c r="C21" s="889">
        <v>8448.5517333333337</v>
      </c>
      <c r="D21" s="889"/>
      <c r="E21" s="858">
        <v>1</v>
      </c>
      <c r="F21" s="433" t="str">
        <f t="shared" si="0"/>
        <v/>
      </c>
    </row>
    <row r="22" spans="1:6" x14ac:dyDescent="0.2">
      <c r="A22" s="840">
        <v>19</v>
      </c>
      <c r="B22" s="891" t="s">
        <v>565</v>
      </c>
      <c r="C22" s="889">
        <v>724612.3250666667</v>
      </c>
      <c r="D22" s="889"/>
      <c r="E22" s="858">
        <v>1</v>
      </c>
      <c r="F22" s="433" t="str">
        <f t="shared" si="0"/>
        <v/>
      </c>
    </row>
    <row r="23" spans="1:6" x14ac:dyDescent="0.2">
      <c r="A23" s="840">
        <v>20</v>
      </c>
      <c r="B23" s="891" t="s">
        <v>566</v>
      </c>
      <c r="C23" s="889">
        <v>114283.3416</v>
      </c>
      <c r="D23" s="889"/>
      <c r="E23" s="858">
        <v>1</v>
      </c>
      <c r="F23" s="433" t="str">
        <f t="shared" si="0"/>
        <v/>
      </c>
    </row>
    <row r="24" spans="1:6" x14ac:dyDescent="0.2">
      <c r="A24" s="840">
        <v>21</v>
      </c>
      <c r="B24" s="891" t="s">
        <v>567</v>
      </c>
      <c r="C24" s="889">
        <v>87702.151733333347</v>
      </c>
      <c r="D24" s="889"/>
      <c r="E24" s="858">
        <v>1</v>
      </c>
      <c r="F24" s="433" t="str">
        <f t="shared" si="0"/>
        <v/>
      </c>
    </row>
    <row r="25" spans="1:6" x14ac:dyDescent="0.2">
      <c r="A25" s="840">
        <v>22</v>
      </c>
      <c r="B25" s="891" t="s">
        <v>568</v>
      </c>
      <c r="C25" s="889">
        <v>59390.581599999998</v>
      </c>
      <c r="D25" s="889"/>
      <c r="E25" s="858">
        <v>1</v>
      </c>
      <c r="F25" s="433" t="str">
        <f t="shared" si="0"/>
        <v/>
      </c>
    </row>
    <row r="26" spans="1:6" x14ac:dyDescent="0.2">
      <c r="A26" s="840">
        <v>23</v>
      </c>
      <c r="B26" s="891" t="s">
        <v>569</v>
      </c>
      <c r="C26" s="889">
        <v>1947387.6616</v>
      </c>
      <c r="D26" s="889"/>
      <c r="E26" s="858">
        <v>1</v>
      </c>
      <c r="F26" s="433" t="str">
        <f t="shared" si="0"/>
        <v/>
      </c>
    </row>
    <row r="27" spans="1:6" x14ac:dyDescent="0.2">
      <c r="A27" s="840">
        <v>24</v>
      </c>
      <c r="B27" s="891" t="s">
        <v>570</v>
      </c>
      <c r="C27" s="889">
        <v>646599.88826666668</v>
      </c>
      <c r="D27" s="889"/>
      <c r="E27" s="858">
        <v>1</v>
      </c>
      <c r="F27" s="433" t="str">
        <f t="shared" si="0"/>
        <v/>
      </c>
    </row>
    <row r="28" spans="1:6" x14ac:dyDescent="0.2">
      <c r="A28" s="840">
        <v>25</v>
      </c>
      <c r="B28" s="891" t="s">
        <v>571</v>
      </c>
      <c r="C28" s="889">
        <v>276994.77333333337</v>
      </c>
      <c r="D28" s="889"/>
      <c r="E28" s="858">
        <v>1</v>
      </c>
      <c r="F28" s="433" t="str">
        <f t="shared" si="0"/>
        <v/>
      </c>
    </row>
    <row r="29" spans="1:6" x14ac:dyDescent="0.2">
      <c r="A29" s="840">
        <v>26</v>
      </c>
      <c r="B29" s="891" t="s">
        <v>552</v>
      </c>
      <c r="C29" s="889">
        <v>292742.81839999999</v>
      </c>
      <c r="D29" s="889"/>
      <c r="E29" s="858">
        <v>1</v>
      </c>
      <c r="F29" s="433" t="str">
        <f t="shared" si="0"/>
        <v/>
      </c>
    </row>
    <row r="30" spans="1:6" ht="27.75" customHeight="1" x14ac:dyDescent="0.2">
      <c r="A30" s="840">
        <v>27</v>
      </c>
      <c r="B30" s="891" t="s">
        <v>572</v>
      </c>
      <c r="C30" s="889">
        <v>500660.37333333335</v>
      </c>
      <c r="D30" s="889"/>
      <c r="E30" s="858">
        <v>1</v>
      </c>
      <c r="F30" s="433" t="str">
        <f t="shared" si="0"/>
        <v/>
      </c>
    </row>
    <row r="31" spans="1:6" ht="28.5" customHeight="1" x14ac:dyDescent="0.2">
      <c r="A31" s="840">
        <v>28</v>
      </c>
      <c r="B31" s="891" t="s">
        <v>573</v>
      </c>
      <c r="C31" s="889">
        <v>663407.68613333337</v>
      </c>
      <c r="D31" s="889"/>
      <c r="E31" s="858">
        <v>1</v>
      </c>
      <c r="F31" s="433" t="str">
        <f t="shared" si="0"/>
        <v/>
      </c>
    </row>
    <row r="32" spans="1:6" ht="27" customHeight="1" x14ac:dyDescent="0.2">
      <c r="A32" s="840">
        <v>29</v>
      </c>
      <c r="B32" s="891" t="s">
        <v>574</v>
      </c>
      <c r="C32" s="889">
        <v>841087.68613333337</v>
      </c>
      <c r="D32" s="889"/>
      <c r="E32" s="858">
        <v>1</v>
      </c>
      <c r="F32" s="433" t="str">
        <f t="shared" si="0"/>
        <v/>
      </c>
    </row>
    <row r="33" spans="1:6" ht="32.25" customHeight="1" x14ac:dyDescent="0.2">
      <c r="A33" s="840">
        <v>30</v>
      </c>
      <c r="B33" s="891" t="s">
        <v>575</v>
      </c>
      <c r="C33" s="889">
        <v>127967.0456</v>
      </c>
      <c r="D33" s="889"/>
      <c r="E33" s="858">
        <v>1</v>
      </c>
      <c r="F33" s="433" t="str">
        <f t="shared" si="0"/>
        <v/>
      </c>
    </row>
    <row r="34" spans="1:6" ht="32.25" customHeight="1" x14ac:dyDescent="0.2">
      <c r="A34" s="840">
        <v>31</v>
      </c>
      <c r="B34" s="891" t="s">
        <v>576</v>
      </c>
      <c r="C34" s="889">
        <v>2089064.7299333334</v>
      </c>
      <c r="D34" s="889"/>
      <c r="E34" s="858">
        <v>1</v>
      </c>
      <c r="F34" s="433" t="str">
        <f t="shared" si="0"/>
        <v/>
      </c>
    </row>
    <row r="35" spans="1:6" ht="28.5" customHeight="1" x14ac:dyDescent="0.2">
      <c r="A35" s="840">
        <v>32</v>
      </c>
      <c r="B35" s="891" t="s">
        <v>577</v>
      </c>
      <c r="C35" s="889">
        <v>3247509.0234213336</v>
      </c>
      <c r="D35" s="889"/>
      <c r="E35" s="858">
        <v>1</v>
      </c>
      <c r="F35" s="433" t="str">
        <f t="shared" si="0"/>
        <v/>
      </c>
    </row>
    <row r="36" spans="1:6" x14ac:dyDescent="0.2">
      <c r="A36" s="840">
        <v>33</v>
      </c>
      <c r="B36" s="891" t="s">
        <v>578</v>
      </c>
      <c r="C36" s="889">
        <v>332394.76576000004</v>
      </c>
      <c r="D36" s="889"/>
      <c r="E36" s="858">
        <v>1</v>
      </c>
      <c r="F36" s="433" t="str">
        <f t="shared" si="0"/>
        <v/>
      </c>
    </row>
    <row r="37" spans="1:6" ht="27" customHeight="1" x14ac:dyDescent="0.2">
      <c r="A37" s="840">
        <v>34</v>
      </c>
      <c r="B37" s="891" t="s">
        <v>579</v>
      </c>
      <c r="C37" s="889">
        <v>460078.06581066665</v>
      </c>
      <c r="D37" s="889"/>
      <c r="E37" s="858">
        <v>1</v>
      </c>
      <c r="F37" s="433" t="str">
        <f t="shared" si="0"/>
        <v/>
      </c>
    </row>
    <row r="38" spans="1:6" ht="31.5" customHeight="1" x14ac:dyDescent="0.2">
      <c r="A38" s="840">
        <v>35</v>
      </c>
      <c r="B38" s="891" t="s">
        <v>580</v>
      </c>
      <c r="C38" s="889">
        <v>403811.06952533335</v>
      </c>
      <c r="D38" s="889"/>
      <c r="E38" s="858">
        <v>1</v>
      </c>
      <c r="F38" s="433" t="str">
        <f t="shared" si="0"/>
        <v/>
      </c>
    </row>
    <row r="39" spans="1:6" ht="24.75" customHeight="1" x14ac:dyDescent="0.2">
      <c r="A39" s="840">
        <v>36</v>
      </c>
      <c r="B39" s="891" t="s">
        <v>581</v>
      </c>
      <c r="C39" s="889">
        <v>237404.36523466671</v>
      </c>
      <c r="D39" s="889"/>
      <c r="E39" s="858">
        <v>1</v>
      </c>
      <c r="F39" s="433" t="str">
        <f t="shared" si="0"/>
        <v/>
      </c>
    </row>
    <row r="40" spans="1:6" x14ac:dyDescent="0.2">
      <c r="A40" s="840">
        <v>37</v>
      </c>
      <c r="B40" s="891" t="s">
        <v>582</v>
      </c>
      <c r="C40" s="889">
        <v>236599.57333333333</v>
      </c>
      <c r="D40" s="889"/>
      <c r="E40" s="858">
        <v>1</v>
      </c>
      <c r="F40" s="433" t="str">
        <f t="shared" si="0"/>
        <v/>
      </c>
    </row>
    <row r="41" spans="1:6" ht="28.5" x14ac:dyDescent="0.2">
      <c r="A41" s="840">
        <v>38</v>
      </c>
      <c r="B41" s="891" t="s">
        <v>583</v>
      </c>
      <c r="C41" s="889">
        <v>48845.951733333328</v>
      </c>
      <c r="D41" s="889"/>
      <c r="E41" s="858">
        <v>1</v>
      </c>
      <c r="F41" s="433" t="str">
        <f t="shared" si="0"/>
        <v/>
      </c>
    </row>
    <row r="42" spans="1:6" x14ac:dyDescent="0.2">
      <c r="A42" s="840">
        <v>39</v>
      </c>
      <c r="B42" s="891" t="s">
        <v>584</v>
      </c>
      <c r="C42" s="889">
        <v>662844.1525333334</v>
      </c>
      <c r="D42" s="889"/>
      <c r="E42" s="858">
        <v>1</v>
      </c>
      <c r="F42" s="433" t="str">
        <f t="shared" si="0"/>
        <v/>
      </c>
    </row>
    <row r="43" spans="1:6" ht="28.5" x14ac:dyDescent="0.2">
      <c r="A43" s="840">
        <v>40</v>
      </c>
      <c r="B43" s="891" t="s">
        <v>585</v>
      </c>
      <c r="C43" s="889">
        <v>413761.02933333331</v>
      </c>
      <c r="D43" s="889"/>
      <c r="E43" s="858">
        <v>1</v>
      </c>
      <c r="F43" s="433" t="str">
        <f t="shared" si="0"/>
        <v/>
      </c>
    </row>
    <row r="44" spans="1:6" ht="28.5" customHeight="1" x14ac:dyDescent="0.2">
      <c r="A44" s="840">
        <v>41</v>
      </c>
      <c r="B44" s="892" t="s">
        <v>586</v>
      </c>
      <c r="C44" s="889">
        <v>1475557.9469333335</v>
      </c>
      <c r="D44" s="889"/>
      <c r="E44" s="858">
        <v>1</v>
      </c>
      <c r="F44" s="433" t="str">
        <f t="shared" si="0"/>
        <v/>
      </c>
    </row>
    <row r="45" spans="1:6" ht="28.5" customHeight="1" x14ac:dyDescent="0.2">
      <c r="A45" s="893">
        <v>42</v>
      </c>
      <c r="B45" s="892" t="s">
        <v>587</v>
      </c>
      <c r="C45" s="889">
        <v>208078.66666666666</v>
      </c>
      <c r="D45" s="913"/>
      <c r="E45" s="894">
        <v>1</v>
      </c>
      <c r="F45" s="433" t="str">
        <f t="shared" si="0"/>
        <v/>
      </c>
    </row>
    <row r="46" spans="1:6" ht="18" customHeight="1" x14ac:dyDescent="0.2">
      <c r="A46" s="1295" t="s">
        <v>515</v>
      </c>
      <c r="B46" s="1296"/>
      <c r="C46" s="1296"/>
      <c r="D46" s="1296"/>
      <c r="E46" s="1297"/>
      <c r="F46" s="895">
        <f>SUM(F4:F45)</f>
        <v>0</v>
      </c>
    </row>
    <row r="47" spans="1:6" ht="18" customHeight="1" x14ac:dyDescent="0.2">
      <c r="A47" s="1295" t="s">
        <v>527</v>
      </c>
      <c r="B47" s="1296"/>
      <c r="C47" s="1296"/>
      <c r="D47" s="1296"/>
      <c r="E47" s="1297"/>
      <c r="F47" s="896">
        <f>ROUND(F46*19%,0)</f>
        <v>0</v>
      </c>
    </row>
    <row r="48" spans="1:6" ht="18" customHeight="1" thickBot="1" x14ac:dyDescent="0.25">
      <c r="A48" s="1298" t="s">
        <v>496</v>
      </c>
      <c r="B48" s="1299"/>
      <c r="C48" s="1299"/>
      <c r="D48" s="1299"/>
      <c r="E48" s="1300"/>
      <c r="F48" s="897">
        <f>F46+F47</f>
        <v>0</v>
      </c>
    </row>
    <row r="50" spans="1:6" x14ac:dyDescent="0.2">
      <c r="A50" s="898"/>
      <c r="C50" s="899"/>
      <c r="D50" s="899"/>
    </row>
    <row r="51" spans="1:6" ht="15" customHeight="1" x14ac:dyDescent="0.2">
      <c r="A51" s="898"/>
      <c r="B51" s="898"/>
      <c r="C51" s="900"/>
      <c r="D51" s="900"/>
      <c r="E51" s="898"/>
      <c r="F51" s="898"/>
    </row>
    <row r="52" spans="1:6" x14ac:dyDescent="0.2">
      <c r="A52" s="898"/>
      <c r="B52" s="898"/>
      <c r="C52" s="900"/>
      <c r="D52" s="900"/>
      <c r="E52" s="898"/>
      <c r="F52" s="898"/>
    </row>
    <row r="53" spans="1:6" x14ac:dyDescent="0.2">
      <c r="A53" s="898"/>
      <c r="B53" s="898"/>
      <c r="C53" s="900"/>
      <c r="D53" s="900"/>
      <c r="E53" s="898"/>
      <c r="F53" s="898"/>
    </row>
    <row r="54" spans="1:6" x14ac:dyDescent="0.2">
      <c r="A54" s="857"/>
      <c r="C54" s="899"/>
      <c r="D54" s="899"/>
    </row>
    <row r="55" spans="1:6" ht="15" x14ac:dyDescent="0.2">
      <c r="A55" s="901"/>
      <c r="C55" s="899"/>
      <c r="D55" s="899"/>
    </row>
    <row r="56" spans="1:6" ht="15" x14ac:dyDescent="0.2">
      <c r="A56" s="901"/>
      <c r="C56" s="899"/>
      <c r="D56" s="899"/>
    </row>
    <row r="57" spans="1:6" ht="15" x14ac:dyDescent="0.2">
      <c r="A57" s="901"/>
      <c r="C57" s="899"/>
      <c r="D57" s="899"/>
    </row>
    <row r="58" spans="1:6" ht="15" x14ac:dyDescent="0.2">
      <c r="A58" s="901"/>
      <c r="C58" s="899"/>
      <c r="D58" s="899"/>
    </row>
    <row r="59" spans="1:6" ht="15" x14ac:dyDescent="0.2">
      <c r="A59" s="901"/>
      <c r="C59" s="899"/>
      <c r="D59" s="899"/>
    </row>
    <row r="64" spans="1:6" x14ac:dyDescent="0.2">
      <c r="A64" s="857"/>
      <c r="C64" s="899"/>
      <c r="D64" s="899"/>
    </row>
    <row r="65" spans="1:4" x14ac:dyDescent="0.2">
      <c r="A65" s="857"/>
      <c r="C65" s="899"/>
      <c r="D65" s="899"/>
    </row>
  </sheetData>
  <mergeCells count="5">
    <mergeCell ref="A1:F1"/>
    <mergeCell ref="A2:E2"/>
    <mergeCell ref="A46:E46"/>
    <mergeCell ref="A47:E47"/>
    <mergeCell ref="A48:E48"/>
  </mergeCells>
  <pageMargins left="0.7" right="0.7" top="0.75" bottom="0.75" header="0.3" footer="0.3"/>
  <pageSetup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AC1441-E6FD-49EB-8F48-44998719266F}">
  <sheetPr>
    <tabColor theme="5" tint="-0.249977111117893"/>
    <pageSetUpPr fitToPage="1"/>
  </sheetPr>
  <dimension ref="A1:L34"/>
  <sheetViews>
    <sheetView topLeftCell="A8" zoomScale="80" zoomScaleNormal="80" workbookViewId="0">
      <selection activeCell="D15" sqref="D15:D17"/>
    </sheetView>
  </sheetViews>
  <sheetFormatPr baseColWidth="10" defaultColWidth="11.5" defaultRowHeight="18" customHeight="1" x14ac:dyDescent="0.2"/>
  <cols>
    <col min="1" max="1" width="7.6640625" style="908" customWidth="1"/>
    <col min="2" max="2" width="36.6640625" style="908" customWidth="1"/>
    <col min="3" max="3" width="26" style="908" customWidth="1"/>
    <col min="4" max="4" width="29.1640625" style="908" customWidth="1"/>
    <col min="5" max="5" width="26" style="908" customWidth="1"/>
    <col min="6" max="6" width="20.33203125" style="908" customWidth="1"/>
    <col min="7" max="7" width="27.33203125" style="909" customWidth="1"/>
    <col min="8" max="8" width="23.33203125" style="903" customWidth="1"/>
    <col min="9" max="11" width="11.5" style="903"/>
    <col min="12" max="12" width="22" style="903" bestFit="1" customWidth="1"/>
    <col min="13" max="231" width="11.5" style="903"/>
    <col min="232" max="232" width="64.6640625" style="903" customWidth="1"/>
    <col min="233" max="234" width="14.1640625" style="903" customWidth="1"/>
    <col min="235" max="235" width="15.1640625" style="903" bestFit="1" customWidth="1"/>
    <col min="236" max="236" width="16.33203125" style="903" bestFit="1" customWidth="1"/>
    <col min="237" max="237" width="11.5" style="903"/>
    <col min="238" max="238" width="13.1640625" style="903" bestFit="1" customWidth="1"/>
    <col min="239" max="487" width="11.5" style="903"/>
    <col min="488" max="488" width="64.6640625" style="903" customWidth="1"/>
    <col min="489" max="490" width="14.1640625" style="903" customWidth="1"/>
    <col min="491" max="491" width="15.1640625" style="903" bestFit="1" customWidth="1"/>
    <col min="492" max="492" width="16.33203125" style="903" bestFit="1" customWidth="1"/>
    <col min="493" max="493" width="11.5" style="903"/>
    <col min="494" max="494" width="13.1640625" style="903" bestFit="1" customWidth="1"/>
    <col min="495" max="743" width="11.5" style="903"/>
    <col min="744" max="744" width="64.6640625" style="903" customWidth="1"/>
    <col min="745" max="746" width="14.1640625" style="903" customWidth="1"/>
    <col min="747" max="747" width="15.1640625" style="903" bestFit="1" customWidth="1"/>
    <col min="748" max="748" width="16.33203125" style="903" bestFit="1" customWidth="1"/>
    <col min="749" max="749" width="11.5" style="903"/>
    <col min="750" max="750" width="13.1640625" style="903" bestFit="1" customWidth="1"/>
    <col min="751" max="999" width="11.5" style="903"/>
    <col min="1000" max="1000" width="64.6640625" style="903" customWidth="1"/>
    <col min="1001" max="1002" width="14.1640625" style="903" customWidth="1"/>
    <col min="1003" max="1003" width="15.1640625" style="903" bestFit="1" customWidth="1"/>
    <col min="1004" max="1004" width="16.33203125" style="903" bestFit="1" customWidth="1"/>
    <col min="1005" max="1005" width="11.5" style="903"/>
    <col min="1006" max="1006" width="13.1640625" style="903" bestFit="1" customWidth="1"/>
    <col min="1007" max="1255" width="11.5" style="903"/>
    <col min="1256" max="1256" width="64.6640625" style="903" customWidth="1"/>
    <col min="1257" max="1258" width="14.1640625" style="903" customWidth="1"/>
    <col min="1259" max="1259" width="15.1640625" style="903" bestFit="1" customWidth="1"/>
    <col min="1260" max="1260" width="16.33203125" style="903" bestFit="1" customWidth="1"/>
    <col min="1261" max="1261" width="11.5" style="903"/>
    <col min="1262" max="1262" width="13.1640625" style="903" bestFit="1" customWidth="1"/>
    <col min="1263" max="1511" width="11.5" style="903"/>
    <col min="1512" max="1512" width="64.6640625" style="903" customWidth="1"/>
    <col min="1513" max="1514" width="14.1640625" style="903" customWidth="1"/>
    <col min="1515" max="1515" width="15.1640625" style="903" bestFit="1" customWidth="1"/>
    <col min="1516" max="1516" width="16.33203125" style="903" bestFit="1" customWidth="1"/>
    <col min="1517" max="1517" width="11.5" style="903"/>
    <col min="1518" max="1518" width="13.1640625" style="903" bestFit="1" customWidth="1"/>
    <col min="1519" max="1767" width="11.5" style="903"/>
    <col min="1768" max="1768" width="64.6640625" style="903" customWidth="1"/>
    <col min="1769" max="1770" width="14.1640625" style="903" customWidth="1"/>
    <col min="1771" max="1771" width="15.1640625" style="903" bestFit="1" customWidth="1"/>
    <col min="1772" max="1772" width="16.33203125" style="903" bestFit="1" customWidth="1"/>
    <col min="1773" max="1773" width="11.5" style="903"/>
    <col min="1774" max="1774" width="13.1640625" style="903" bestFit="1" customWidth="1"/>
    <col min="1775" max="2023" width="11.5" style="903"/>
    <col min="2024" max="2024" width="64.6640625" style="903" customWidth="1"/>
    <col min="2025" max="2026" width="14.1640625" style="903" customWidth="1"/>
    <col min="2027" max="2027" width="15.1640625" style="903" bestFit="1" customWidth="1"/>
    <col min="2028" max="2028" width="16.33203125" style="903" bestFit="1" customWidth="1"/>
    <col min="2029" max="2029" width="11.5" style="903"/>
    <col min="2030" max="2030" width="13.1640625" style="903" bestFit="1" customWidth="1"/>
    <col min="2031" max="2279" width="11.5" style="903"/>
    <col min="2280" max="2280" width="64.6640625" style="903" customWidth="1"/>
    <col min="2281" max="2282" width="14.1640625" style="903" customWidth="1"/>
    <col min="2283" max="2283" width="15.1640625" style="903" bestFit="1" customWidth="1"/>
    <col min="2284" max="2284" width="16.33203125" style="903" bestFit="1" customWidth="1"/>
    <col min="2285" max="2285" width="11.5" style="903"/>
    <col min="2286" max="2286" width="13.1640625" style="903" bestFit="1" customWidth="1"/>
    <col min="2287" max="2535" width="11.5" style="903"/>
    <col min="2536" max="2536" width="64.6640625" style="903" customWidth="1"/>
    <col min="2537" max="2538" width="14.1640625" style="903" customWidth="1"/>
    <col min="2539" max="2539" width="15.1640625" style="903" bestFit="1" customWidth="1"/>
    <col min="2540" max="2540" width="16.33203125" style="903" bestFit="1" customWidth="1"/>
    <col min="2541" max="2541" width="11.5" style="903"/>
    <col min="2542" max="2542" width="13.1640625" style="903" bestFit="1" customWidth="1"/>
    <col min="2543" max="2791" width="11.5" style="903"/>
    <col min="2792" max="2792" width="64.6640625" style="903" customWidth="1"/>
    <col min="2793" max="2794" width="14.1640625" style="903" customWidth="1"/>
    <col min="2795" max="2795" width="15.1640625" style="903" bestFit="1" customWidth="1"/>
    <col min="2796" max="2796" width="16.33203125" style="903" bestFit="1" customWidth="1"/>
    <col min="2797" max="2797" width="11.5" style="903"/>
    <col min="2798" max="2798" width="13.1640625" style="903" bestFit="1" customWidth="1"/>
    <col min="2799" max="3047" width="11.5" style="903"/>
    <col min="3048" max="3048" width="64.6640625" style="903" customWidth="1"/>
    <col min="3049" max="3050" width="14.1640625" style="903" customWidth="1"/>
    <col min="3051" max="3051" width="15.1640625" style="903" bestFit="1" customWidth="1"/>
    <col min="3052" max="3052" width="16.33203125" style="903" bestFit="1" customWidth="1"/>
    <col min="3053" max="3053" width="11.5" style="903"/>
    <col min="3054" max="3054" width="13.1640625" style="903" bestFit="1" customWidth="1"/>
    <col min="3055" max="3303" width="11.5" style="903"/>
    <col min="3304" max="3304" width="64.6640625" style="903" customWidth="1"/>
    <col min="3305" max="3306" width="14.1640625" style="903" customWidth="1"/>
    <col min="3307" max="3307" width="15.1640625" style="903" bestFit="1" customWidth="1"/>
    <col min="3308" max="3308" width="16.33203125" style="903" bestFit="1" customWidth="1"/>
    <col min="3309" max="3309" width="11.5" style="903"/>
    <col min="3310" max="3310" width="13.1640625" style="903" bestFit="1" customWidth="1"/>
    <col min="3311" max="3559" width="11.5" style="903"/>
    <col min="3560" max="3560" width="64.6640625" style="903" customWidth="1"/>
    <col min="3561" max="3562" width="14.1640625" style="903" customWidth="1"/>
    <col min="3563" max="3563" width="15.1640625" style="903" bestFit="1" customWidth="1"/>
    <col min="3564" max="3564" width="16.33203125" style="903" bestFit="1" customWidth="1"/>
    <col min="3565" max="3565" width="11.5" style="903"/>
    <col min="3566" max="3566" width="13.1640625" style="903" bestFit="1" customWidth="1"/>
    <col min="3567" max="3815" width="11.5" style="903"/>
    <col min="3816" max="3816" width="64.6640625" style="903" customWidth="1"/>
    <col min="3817" max="3818" width="14.1640625" style="903" customWidth="1"/>
    <col min="3819" max="3819" width="15.1640625" style="903" bestFit="1" customWidth="1"/>
    <col min="3820" max="3820" width="16.33203125" style="903" bestFit="1" customWidth="1"/>
    <col min="3821" max="3821" width="11.5" style="903"/>
    <col min="3822" max="3822" width="13.1640625" style="903" bestFit="1" customWidth="1"/>
    <col min="3823" max="4071" width="11.5" style="903"/>
    <col min="4072" max="4072" width="64.6640625" style="903" customWidth="1"/>
    <col min="4073" max="4074" width="14.1640625" style="903" customWidth="1"/>
    <col min="4075" max="4075" width="15.1640625" style="903" bestFit="1" customWidth="1"/>
    <col min="4076" max="4076" width="16.33203125" style="903" bestFit="1" customWidth="1"/>
    <col min="4077" max="4077" width="11.5" style="903"/>
    <col min="4078" max="4078" width="13.1640625" style="903" bestFit="1" customWidth="1"/>
    <col min="4079" max="4327" width="11.5" style="903"/>
    <col min="4328" max="4328" width="64.6640625" style="903" customWidth="1"/>
    <col min="4329" max="4330" width="14.1640625" style="903" customWidth="1"/>
    <col min="4331" max="4331" width="15.1640625" style="903" bestFit="1" customWidth="1"/>
    <col min="4332" max="4332" width="16.33203125" style="903" bestFit="1" customWidth="1"/>
    <col min="4333" max="4333" width="11.5" style="903"/>
    <col min="4334" max="4334" width="13.1640625" style="903" bestFit="1" customWidth="1"/>
    <col min="4335" max="4583" width="11.5" style="903"/>
    <col min="4584" max="4584" width="64.6640625" style="903" customWidth="1"/>
    <col min="4585" max="4586" width="14.1640625" style="903" customWidth="1"/>
    <col min="4587" max="4587" width="15.1640625" style="903" bestFit="1" customWidth="1"/>
    <col min="4588" max="4588" width="16.33203125" style="903" bestFit="1" customWidth="1"/>
    <col min="4589" max="4589" width="11.5" style="903"/>
    <col min="4590" max="4590" width="13.1640625" style="903" bestFit="1" customWidth="1"/>
    <col min="4591" max="4839" width="11.5" style="903"/>
    <col min="4840" max="4840" width="64.6640625" style="903" customWidth="1"/>
    <col min="4841" max="4842" width="14.1640625" style="903" customWidth="1"/>
    <col min="4843" max="4843" width="15.1640625" style="903" bestFit="1" customWidth="1"/>
    <col min="4844" max="4844" width="16.33203125" style="903" bestFit="1" customWidth="1"/>
    <col min="4845" max="4845" width="11.5" style="903"/>
    <col min="4846" max="4846" width="13.1640625" style="903" bestFit="1" customWidth="1"/>
    <col min="4847" max="5095" width="11.5" style="903"/>
    <col min="5096" max="5096" width="64.6640625" style="903" customWidth="1"/>
    <col min="5097" max="5098" width="14.1640625" style="903" customWidth="1"/>
    <col min="5099" max="5099" width="15.1640625" style="903" bestFit="1" customWidth="1"/>
    <col min="5100" max="5100" width="16.33203125" style="903" bestFit="1" customWidth="1"/>
    <col min="5101" max="5101" width="11.5" style="903"/>
    <col min="5102" max="5102" width="13.1640625" style="903" bestFit="1" customWidth="1"/>
    <col min="5103" max="5351" width="11.5" style="903"/>
    <col min="5352" max="5352" width="64.6640625" style="903" customWidth="1"/>
    <col min="5353" max="5354" width="14.1640625" style="903" customWidth="1"/>
    <col min="5355" max="5355" width="15.1640625" style="903" bestFit="1" customWidth="1"/>
    <col min="5356" max="5356" width="16.33203125" style="903" bestFit="1" customWidth="1"/>
    <col min="5357" max="5357" width="11.5" style="903"/>
    <col min="5358" max="5358" width="13.1640625" style="903" bestFit="1" customWidth="1"/>
    <col min="5359" max="5607" width="11.5" style="903"/>
    <col min="5608" max="5608" width="64.6640625" style="903" customWidth="1"/>
    <col min="5609" max="5610" width="14.1640625" style="903" customWidth="1"/>
    <col min="5611" max="5611" width="15.1640625" style="903" bestFit="1" customWidth="1"/>
    <col min="5612" max="5612" width="16.33203125" style="903" bestFit="1" customWidth="1"/>
    <col min="5613" max="5613" width="11.5" style="903"/>
    <col min="5614" max="5614" width="13.1640625" style="903" bestFit="1" customWidth="1"/>
    <col min="5615" max="5863" width="11.5" style="903"/>
    <col min="5864" max="5864" width="64.6640625" style="903" customWidth="1"/>
    <col min="5865" max="5866" width="14.1640625" style="903" customWidth="1"/>
    <col min="5867" max="5867" width="15.1640625" style="903" bestFit="1" customWidth="1"/>
    <col min="5868" max="5868" width="16.33203125" style="903" bestFit="1" customWidth="1"/>
    <col min="5869" max="5869" width="11.5" style="903"/>
    <col min="5870" max="5870" width="13.1640625" style="903" bestFit="1" customWidth="1"/>
    <col min="5871" max="6119" width="11.5" style="903"/>
    <col min="6120" max="6120" width="64.6640625" style="903" customWidth="1"/>
    <col min="6121" max="6122" width="14.1640625" style="903" customWidth="1"/>
    <col min="6123" max="6123" width="15.1640625" style="903" bestFit="1" customWidth="1"/>
    <col min="6124" max="6124" width="16.33203125" style="903" bestFit="1" customWidth="1"/>
    <col min="6125" max="6125" width="11.5" style="903"/>
    <col min="6126" max="6126" width="13.1640625" style="903" bestFit="1" customWidth="1"/>
    <col min="6127" max="6375" width="11.5" style="903"/>
    <col min="6376" max="6376" width="64.6640625" style="903" customWidth="1"/>
    <col min="6377" max="6378" width="14.1640625" style="903" customWidth="1"/>
    <col min="6379" max="6379" width="15.1640625" style="903" bestFit="1" customWidth="1"/>
    <col min="6380" max="6380" width="16.33203125" style="903" bestFit="1" customWidth="1"/>
    <col min="6381" max="6381" width="11.5" style="903"/>
    <col min="6382" max="6382" width="13.1640625" style="903" bestFit="1" customWidth="1"/>
    <col min="6383" max="6631" width="11.5" style="903"/>
    <col min="6632" max="6632" width="64.6640625" style="903" customWidth="1"/>
    <col min="6633" max="6634" width="14.1640625" style="903" customWidth="1"/>
    <col min="6635" max="6635" width="15.1640625" style="903" bestFit="1" customWidth="1"/>
    <col min="6636" max="6636" width="16.33203125" style="903" bestFit="1" customWidth="1"/>
    <col min="6637" max="6637" width="11.5" style="903"/>
    <col min="6638" max="6638" width="13.1640625" style="903" bestFit="1" customWidth="1"/>
    <col min="6639" max="6887" width="11.5" style="903"/>
    <col min="6888" max="6888" width="64.6640625" style="903" customWidth="1"/>
    <col min="6889" max="6890" width="14.1640625" style="903" customWidth="1"/>
    <col min="6891" max="6891" width="15.1640625" style="903" bestFit="1" customWidth="1"/>
    <col min="6892" max="6892" width="16.33203125" style="903" bestFit="1" customWidth="1"/>
    <col min="6893" max="6893" width="11.5" style="903"/>
    <col min="6894" max="6894" width="13.1640625" style="903" bestFit="1" customWidth="1"/>
    <col min="6895" max="7143" width="11.5" style="903"/>
    <col min="7144" max="7144" width="64.6640625" style="903" customWidth="1"/>
    <col min="7145" max="7146" width="14.1640625" style="903" customWidth="1"/>
    <col min="7147" max="7147" width="15.1640625" style="903" bestFit="1" customWidth="1"/>
    <col min="7148" max="7148" width="16.33203125" style="903" bestFit="1" customWidth="1"/>
    <col min="7149" max="7149" width="11.5" style="903"/>
    <col min="7150" max="7150" width="13.1640625" style="903" bestFit="1" customWidth="1"/>
    <col min="7151" max="7399" width="11.5" style="903"/>
    <col min="7400" max="7400" width="64.6640625" style="903" customWidth="1"/>
    <col min="7401" max="7402" width="14.1640625" style="903" customWidth="1"/>
    <col min="7403" max="7403" width="15.1640625" style="903" bestFit="1" customWidth="1"/>
    <col min="7404" max="7404" width="16.33203125" style="903" bestFit="1" customWidth="1"/>
    <col min="7405" max="7405" width="11.5" style="903"/>
    <col min="7406" max="7406" width="13.1640625" style="903" bestFit="1" customWidth="1"/>
    <col min="7407" max="7655" width="11.5" style="903"/>
    <col min="7656" max="7656" width="64.6640625" style="903" customWidth="1"/>
    <col min="7657" max="7658" width="14.1640625" style="903" customWidth="1"/>
    <col min="7659" max="7659" width="15.1640625" style="903" bestFit="1" customWidth="1"/>
    <col min="7660" max="7660" width="16.33203125" style="903" bestFit="1" customWidth="1"/>
    <col min="7661" max="7661" width="11.5" style="903"/>
    <col min="7662" max="7662" width="13.1640625" style="903" bestFit="1" customWidth="1"/>
    <col min="7663" max="7911" width="11.5" style="903"/>
    <col min="7912" max="7912" width="64.6640625" style="903" customWidth="1"/>
    <col min="7913" max="7914" width="14.1640625" style="903" customWidth="1"/>
    <col min="7915" max="7915" width="15.1640625" style="903" bestFit="1" customWidth="1"/>
    <col min="7916" max="7916" width="16.33203125" style="903" bestFit="1" customWidth="1"/>
    <col min="7917" max="7917" width="11.5" style="903"/>
    <col min="7918" max="7918" width="13.1640625" style="903" bestFit="1" customWidth="1"/>
    <col min="7919" max="8167" width="11.5" style="903"/>
    <col min="8168" max="8168" width="64.6640625" style="903" customWidth="1"/>
    <col min="8169" max="8170" width="14.1640625" style="903" customWidth="1"/>
    <col min="8171" max="8171" width="15.1640625" style="903" bestFit="1" customWidth="1"/>
    <col min="8172" max="8172" width="16.33203125" style="903" bestFit="1" customWidth="1"/>
    <col min="8173" max="8173" width="11.5" style="903"/>
    <col min="8174" max="8174" width="13.1640625" style="903" bestFit="1" customWidth="1"/>
    <col min="8175" max="8423" width="11.5" style="903"/>
    <col min="8424" max="8424" width="64.6640625" style="903" customWidth="1"/>
    <col min="8425" max="8426" width="14.1640625" style="903" customWidth="1"/>
    <col min="8427" max="8427" width="15.1640625" style="903" bestFit="1" customWidth="1"/>
    <col min="8428" max="8428" width="16.33203125" style="903" bestFit="1" customWidth="1"/>
    <col min="8429" max="8429" width="11.5" style="903"/>
    <col min="8430" max="8430" width="13.1640625" style="903" bestFit="1" customWidth="1"/>
    <col min="8431" max="8679" width="11.5" style="903"/>
    <col min="8680" max="8680" width="64.6640625" style="903" customWidth="1"/>
    <col min="8681" max="8682" width="14.1640625" style="903" customWidth="1"/>
    <col min="8683" max="8683" width="15.1640625" style="903" bestFit="1" customWidth="1"/>
    <col min="8684" max="8684" width="16.33203125" style="903" bestFit="1" customWidth="1"/>
    <col min="8685" max="8685" width="11.5" style="903"/>
    <col min="8686" max="8686" width="13.1640625" style="903" bestFit="1" customWidth="1"/>
    <col min="8687" max="8935" width="11.5" style="903"/>
    <col min="8936" max="8936" width="64.6640625" style="903" customWidth="1"/>
    <col min="8937" max="8938" width="14.1640625" style="903" customWidth="1"/>
    <col min="8939" max="8939" width="15.1640625" style="903" bestFit="1" customWidth="1"/>
    <col min="8940" max="8940" width="16.33203125" style="903" bestFit="1" customWidth="1"/>
    <col min="8941" max="8941" width="11.5" style="903"/>
    <col min="8942" max="8942" width="13.1640625" style="903" bestFit="1" customWidth="1"/>
    <col min="8943" max="9191" width="11.5" style="903"/>
    <col min="9192" max="9192" width="64.6640625" style="903" customWidth="1"/>
    <col min="9193" max="9194" width="14.1640625" style="903" customWidth="1"/>
    <col min="9195" max="9195" width="15.1640625" style="903" bestFit="1" customWidth="1"/>
    <col min="9196" max="9196" width="16.33203125" style="903" bestFit="1" customWidth="1"/>
    <col min="9197" max="9197" width="11.5" style="903"/>
    <col min="9198" max="9198" width="13.1640625" style="903" bestFit="1" customWidth="1"/>
    <col min="9199" max="9447" width="11.5" style="903"/>
    <col min="9448" max="9448" width="64.6640625" style="903" customWidth="1"/>
    <col min="9449" max="9450" width="14.1640625" style="903" customWidth="1"/>
    <col min="9451" max="9451" width="15.1640625" style="903" bestFit="1" customWidth="1"/>
    <col min="9452" max="9452" width="16.33203125" style="903" bestFit="1" customWidth="1"/>
    <col min="9453" max="9453" width="11.5" style="903"/>
    <col min="9454" max="9454" width="13.1640625" style="903" bestFit="1" customWidth="1"/>
    <col min="9455" max="9703" width="11.5" style="903"/>
    <col min="9704" max="9704" width="64.6640625" style="903" customWidth="1"/>
    <col min="9705" max="9706" width="14.1640625" style="903" customWidth="1"/>
    <col min="9707" max="9707" width="15.1640625" style="903" bestFit="1" customWidth="1"/>
    <col min="9708" max="9708" width="16.33203125" style="903" bestFit="1" customWidth="1"/>
    <col min="9709" max="9709" width="11.5" style="903"/>
    <col min="9710" max="9710" width="13.1640625" style="903" bestFit="1" customWidth="1"/>
    <col min="9711" max="9959" width="11.5" style="903"/>
    <col min="9960" max="9960" width="64.6640625" style="903" customWidth="1"/>
    <col min="9961" max="9962" width="14.1640625" style="903" customWidth="1"/>
    <col min="9963" max="9963" width="15.1640625" style="903" bestFit="1" customWidth="1"/>
    <col min="9964" max="9964" width="16.33203125" style="903" bestFit="1" customWidth="1"/>
    <col min="9965" max="9965" width="11.5" style="903"/>
    <col min="9966" max="9966" width="13.1640625" style="903" bestFit="1" customWidth="1"/>
    <col min="9967" max="10215" width="11.5" style="903"/>
    <col min="10216" max="10216" width="64.6640625" style="903" customWidth="1"/>
    <col min="10217" max="10218" width="14.1640625" style="903" customWidth="1"/>
    <col min="10219" max="10219" width="15.1640625" style="903" bestFit="1" customWidth="1"/>
    <col min="10220" max="10220" width="16.33203125" style="903" bestFit="1" customWidth="1"/>
    <col min="10221" max="10221" width="11.5" style="903"/>
    <col min="10222" max="10222" width="13.1640625" style="903" bestFit="1" customWidth="1"/>
    <col min="10223" max="10471" width="11.5" style="903"/>
    <col min="10472" max="10472" width="64.6640625" style="903" customWidth="1"/>
    <col min="10473" max="10474" width="14.1640625" style="903" customWidth="1"/>
    <col min="10475" max="10475" width="15.1640625" style="903" bestFit="1" customWidth="1"/>
    <col min="10476" max="10476" width="16.33203125" style="903" bestFit="1" customWidth="1"/>
    <col min="10477" max="10477" width="11.5" style="903"/>
    <col min="10478" max="10478" width="13.1640625" style="903" bestFit="1" customWidth="1"/>
    <col min="10479" max="10727" width="11.5" style="903"/>
    <col min="10728" max="10728" width="64.6640625" style="903" customWidth="1"/>
    <col min="10729" max="10730" width="14.1640625" style="903" customWidth="1"/>
    <col min="10731" max="10731" width="15.1640625" style="903" bestFit="1" customWidth="1"/>
    <col min="10732" max="10732" width="16.33203125" style="903" bestFit="1" customWidth="1"/>
    <col min="10733" max="10733" width="11.5" style="903"/>
    <col min="10734" max="10734" width="13.1640625" style="903" bestFit="1" customWidth="1"/>
    <col min="10735" max="10983" width="11.5" style="903"/>
    <col min="10984" max="10984" width="64.6640625" style="903" customWidth="1"/>
    <col min="10985" max="10986" width="14.1640625" style="903" customWidth="1"/>
    <col min="10987" max="10987" width="15.1640625" style="903" bestFit="1" customWidth="1"/>
    <col min="10988" max="10988" width="16.33203125" style="903" bestFit="1" customWidth="1"/>
    <col min="10989" max="10989" width="11.5" style="903"/>
    <col min="10990" max="10990" width="13.1640625" style="903" bestFit="1" customWidth="1"/>
    <col min="10991" max="11239" width="11.5" style="903"/>
    <col min="11240" max="11240" width="64.6640625" style="903" customWidth="1"/>
    <col min="11241" max="11242" width="14.1640625" style="903" customWidth="1"/>
    <col min="11243" max="11243" width="15.1640625" style="903" bestFit="1" customWidth="1"/>
    <col min="11244" max="11244" width="16.33203125" style="903" bestFit="1" customWidth="1"/>
    <col min="11245" max="11245" width="11.5" style="903"/>
    <col min="11246" max="11246" width="13.1640625" style="903" bestFit="1" customWidth="1"/>
    <col min="11247" max="11495" width="11.5" style="903"/>
    <col min="11496" max="11496" width="64.6640625" style="903" customWidth="1"/>
    <col min="11497" max="11498" width="14.1640625" style="903" customWidth="1"/>
    <col min="11499" max="11499" width="15.1640625" style="903" bestFit="1" customWidth="1"/>
    <col min="11500" max="11500" width="16.33203125" style="903" bestFit="1" customWidth="1"/>
    <col min="11501" max="11501" width="11.5" style="903"/>
    <col min="11502" max="11502" width="13.1640625" style="903" bestFit="1" customWidth="1"/>
    <col min="11503" max="11751" width="11.5" style="903"/>
    <col min="11752" max="11752" width="64.6640625" style="903" customWidth="1"/>
    <col min="11753" max="11754" width="14.1640625" style="903" customWidth="1"/>
    <col min="11755" max="11755" width="15.1640625" style="903" bestFit="1" customWidth="1"/>
    <col min="11756" max="11756" width="16.33203125" style="903" bestFit="1" customWidth="1"/>
    <col min="11757" max="11757" width="11.5" style="903"/>
    <col min="11758" max="11758" width="13.1640625" style="903" bestFit="1" customWidth="1"/>
    <col min="11759" max="12007" width="11.5" style="903"/>
    <col min="12008" max="12008" width="64.6640625" style="903" customWidth="1"/>
    <col min="12009" max="12010" width="14.1640625" style="903" customWidth="1"/>
    <col min="12011" max="12011" width="15.1640625" style="903" bestFit="1" customWidth="1"/>
    <col min="12012" max="12012" width="16.33203125" style="903" bestFit="1" customWidth="1"/>
    <col min="12013" max="12013" width="11.5" style="903"/>
    <col min="12014" max="12014" width="13.1640625" style="903" bestFit="1" customWidth="1"/>
    <col min="12015" max="12263" width="11.5" style="903"/>
    <col min="12264" max="12264" width="64.6640625" style="903" customWidth="1"/>
    <col min="12265" max="12266" width="14.1640625" style="903" customWidth="1"/>
    <col min="12267" max="12267" width="15.1640625" style="903" bestFit="1" customWidth="1"/>
    <col min="12268" max="12268" width="16.33203125" style="903" bestFit="1" customWidth="1"/>
    <col min="12269" max="12269" width="11.5" style="903"/>
    <col min="12270" max="12270" width="13.1640625" style="903" bestFit="1" customWidth="1"/>
    <col min="12271" max="12519" width="11.5" style="903"/>
    <col min="12520" max="12520" width="64.6640625" style="903" customWidth="1"/>
    <col min="12521" max="12522" width="14.1640625" style="903" customWidth="1"/>
    <col min="12523" max="12523" width="15.1640625" style="903" bestFit="1" customWidth="1"/>
    <col min="12524" max="12524" width="16.33203125" style="903" bestFit="1" customWidth="1"/>
    <col min="12525" max="12525" width="11.5" style="903"/>
    <col min="12526" max="12526" width="13.1640625" style="903" bestFit="1" customWidth="1"/>
    <col min="12527" max="12775" width="11.5" style="903"/>
    <col min="12776" max="12776" width="64.6640625" style="903" customWidth="1"/>
    <col min="12777" max="12778" width="14.1640625" style="903" customWidth="1"/>
    <col min="12779" max="12779" width="15.1640625" style="903" bestFit="1" customWidth="1"/>
    <col min="12780" max="12780" width="16.33203125" style="903" bestFit="1" customWidth="1"/>
    <col min="12781" max="12781" width="11.5" style="903"/>
    <col min="12782" max="12782" width="13.1640625" style="903" bestFit="1" customWidth="1"/>
    <col min="12783" max="13031" width="11.5" style="903"/>
    <col min="13032" max="13032" width="64.6640625" style="903" customWidth="1"/>
    <col min="13033" max="13034" width="14.1640625" style="903" customWidth="1"/>
    <col min="13035" max="13035" width="15.1640625" style="903" bestFit="1" customWidth="1"/>
    <col min="13036" max="13036" width="16.33203125" style="903" bestFit="1" customWidth="1"/>
    <col min="13037" max="13037" width="11.5" style="903"/>
    <col min="13038" max="13038" width="13.1640625" style="903" bestFit="1" customWidth="1"/>
    <col min="13039" max="13287" width="11.5" style="903"/>
    <col min="13288" max="13288" width="64.6640625" style="903" customWidth="1"/>
    <col min="13289" max="13290" width="14.1640625" style="903" customWidth="1"/>
    <col min="13291" max="13291" width="15.1640625" style="903" bestFit="1" customWidth="1"/>
    <col min="13292" max="13292" width="16.33203125" style="903" bestFit="1" customWidth="1"/>
    <col min="13293" max="13293" width="11.5" style="903"/>
    <col min="13294" max="13294" width="13.1640625" style="903" bestFit="1" customWidth="1"/>
    <col min="13295" max="13543" width="11.5" style="903"/>
    <col min="13544" max="13544" width="64.6640625" style="903" customWidth="1"/>
    <col min="13545" max="13546" width="14.1640625" style="903" customWidth="1"/>
    <col min="13547" max="13547" width="15.1640625" style="903" bestFit="1" customWidth="1"/>
    <col min="13548" max="13548" width="16.33203125" style="903" bestFit="1" customWidth="1"/>
    <col min="13549" max="13549" width="11.5" style="903"/>
    <col min="13550" max="13550" width="13.1640625" style="903" bestFit="1" customWidth="1"/>
    <col min="13551" max="13799" width="11.5" style="903"/>
    <col min="13800" max="13800" width="64.6640625" style="903" customWidth="1"/>
    <col min="13801" max="13802" width="14.1640625" style="903" customWidth="1"/>
    <col min="13803" max="13803" width="15.1640625" style="903" bestFit="1" customWidth="1"/>
    <col min="13804" max="13804" width="16.33203125" style="903" bestFit="1" customWidth="1"/>
    <col min="13805" max="13805" width="11.5" style="903"/>
    <col min="13806" max="13806" width="13.1640625" style="903" bestFit="1" customWidth="1"/>
    <col min="13807" max="14055" width="11.5" style="903"/>
    <col min="14056" max="14056" width="64.6640625" style="903" customWidth="1"/>
    <col min="14057" max="14058" width="14.1640625" style="903" customWidth="1"/>
    <col min="14059" max="14059" width="15.1640625" style="903" bestFit="1" customWidth="1"/>
    <col min="14060" max="14060" width="16.33203125" style="903" bestFit="1" customWidth="1"/>
    <col min="14061" max="14061" width="11.5" style="903"/>
    <col min="14062" max="14062" width="13.1640625" style="903" bestFit="1" customWidth="1"/>
    <col min="14063" max="14311" width="11.5" style="903"/>
    <col min="14312" max="14312" width="64.6640625" style="903" customWidth="1"/>
    <col min="14313" max="14314" width="14.1640625" style="903" customWidth="1"/>
    <col min="14315" max="14315" width="15.1640625" style="903" bestFit="1" customWidth="1"/>
    <col min="14316" max="14316" width="16.33203125" style="903" bestFit="1" customWidth="1"/>
    <col min="14317" max="14317" width="11.5" style="903"/>
    <col min="14318" max="14318" width="13.1640625" style="903" bestFit="1" customWidth="1"/>
    <col min="14319" max="14567" width="11.5" style="903"/>
    <col min="14568" max="14568" width="64.6640625" style="903" customWidth="1"/>
    <col min="14569" max="14570" width="14.1640625" style="903" customWidth="1"/>
    <col min="14571" max="14571" width="15.1640625" style="903" bestFit="1" customWidth="1"/>
    <col min="14572" max="14572" width="16.33203125" style="903" bestFit="1" customWidth="1"/>
    <col min="14573" max="14573" width="11.5" style="903"/>
    <col min="14574" max="14574" width="13.1640625" style="903" bestFit="1" customWidth="1"/>
    <col min="14575" max="14823" width="11.5" style="903"/>
    <col min="14824" max="14824" width="64.6640625" style="903" customWidth="1"/>
    <col min="14825" max="14826" width="14.1640625" style="903" customWidth="1"/>
    <col min="14827" max="14827" width="15.1640625" style="903" bestFit="1" customWidth="1"/>
    <col min="14828" max="14828" width="16.33203125" style="903" bestFit="1" customWidth="1"/>
    <col min="14829" max="14829" width="11.5" style="903"/>
    <col min="14830" max="14830" width="13.1640625" style="903" bestFit="1" customWidth="1"/>
    <col min="14831" max="15079" width="11.5" style="903"/>
    <col min="15080" max="15080" width="64.6640625" style="903" customWidth="1"/>
    <col min="15081" max="15082" width="14.1640625" style="903" customWidth="1"/>
    <col min="15083" max="15083" width="15.1640625" style="903" bestFit="1" customWidth="1"/>
    <col min="15084" max="15084" width="16.33203125" style="903" bestFit="1" customWidth="1"/>
    <col min="15085" max="15085" width="11.5" style="903"/>
    <col min="15086" max="15086" width="13.1640625" style="903" bestFit="1" customWidth="1"/>
    <col min="15087" max="15335" width="11.5" style="903"/>
    <col min="15336" max="15336" width="64.6640625" style="903" customWidth="1"/>
    <col min="15337" max="15338" width="14.1640625" style="903" customWidth="1"/>
    <col min="15339" max="15339" width="15.1640625" style="903" bestFit="1" customWidth="1"/>
    <col min="15340" max="15340" width="16.33203125" style="903" bestFit="1" customWidth="1"/>
    <col min="15341" max="15341" width="11.5" style="903"/>
    <col min="15342" max="15342" width="13.1640625" style="903" bestFit="1" customWidth="1"/>
    <col min="15343" max="15591" width="11.5" style="903"/>
    <col min="15592" max="15592" width="64.6640625" style="903" customWidth="1"/>
    <col min="15593" max="15594" width="14.1640625" style="903" customWidth="1"/>
    <col min="15595" max="15595" width="15.1640625" style="903" bestFit="1" customWidth="1"/>
    <col min="15596" max="15596" width="16.33203125" style="903" bestFit="1" customWidth="1"/>
    <col min="15597" max="15597" width="11.5" style="903"/>
    <col min="15598" max="15598" width="13.1640625" style="903" bestFit="1" customWidth="1"/>
    <col min="15599" max="15847" width="11.5" style="903"/>
    <col min="15848" max="15848" width="64.6640625" style="903" customWidth="1"/>
    <col min="15849" max="15850" width="14.1640625" style="903" customWidth="1"/>
    <col min="15851" max="15851" width="15.1640625" style="903" bestFit="1" customWidth="1"/>
    <col min="15852" max="15852" width="16.33203125" style="903" bestFit="1" customWidth="1"/>
    <col min="15853" max="15853" width="11.5" style="903"/>
    <col min="15854" max="15854" width="13.1640625" style="903" bestFit="1" customWidth="1"/>
    <col min="15855" max="16103" width="11.5" style="903"/>
    <col min="16104" max="16104" width="64.6640625" style="903" customWidth="1"/>
    <col min="16105" max="16106" width="14.1640625" style="903" customWidth="1"/>
    <col min="16107" max="16107" width="15.1640625" style="903" bestFit="1" customWidth="1"/>
    <col min="16108" max="16108" width="16.33203125" style="903" bestFit="1" customWidth="1"/>
    <col min="16109" max="16109" width="11.5" style="903"/>
    <col min="16110" max="16110" width="13.1640625" style="903" bestFit="1" customWidth="1"/>
    <col min="16111" max="16384" width="11.5" style="903"/>
  </cols>
  <sheetData>
    <row r="1" spans="1:12" ht="18" customHeight="1" x14ac:dyDescent="0.2">
      <c r="A1" s="1242" t="s">
        <v>588</v>
      </c>
      <c r="B1" s="1242"/>
      <c r="C1" s="1242"/>
      <c r="D1" s="1242"/>
      <c r="E1" s="1242"/>
      <c r="F1" s="1242"/>
      <c r="G1" s="1242"/>
    </row>
    <row r="2" spans="1:12" ht="18" customHeight="1" x14ac:dyDescent="0.2">
      <c r="A2" s="1243" t="s">
        <v>436</v>
      </c>
      <c r="B2" s="1243"/>
      <c r="C2" s="1243"/>
      <c r="D2" s="1243"/>
      <c r="E2" s="1243"/>
      <c r="F2" s="1243"/>
      <c r="G2" s="1243"/>
    </row>
    <row r="3" spans="1:12" ht="18" customHeight="1" x14ac:dyDescent="0.2">
      <c r="A3" s="1243" t="s">
        <v>589</v>
      </c>
      <c r="B3" s="1243"/>
      <c r="C3" s="1243"/>
      <c r="D3" s="1243"/>
      <c r="E3" s="1243"/>
      <c r="F3" s="1243"/>
      <c r="G3" s="1243"/>
    </row>
    <row r="4" spans="1:12" ht="18" customHeight="1" thickBot="1" x14ac:dyDescent="0.25">
      <c r="A4" s="1283"/>
      <c r="B4" s="1283"/>
      <c r="C4" s="1283"/>
      <c r="D4" s="1283"/>
      <c r="E4" s="1283"/>
      <c r="F4" s="1283"/>
    </row>
    <row r="5" spans="1:12" ht="18" customHeight="1" x14ac:dyDescent="0.2">
      <c r="A5" s="1284" t="s">
        <v>439</v>
      </c>
      <c r="B5" s="1285"/>
      <c r="C5" s="1285"/>
      <c r="D5" s="1285"/>
      <c r="E5" s="1285"/>
      <c r="F5" s="1285"/>
      <c r="G5" s="1286"/>
    </row>
    <row r="6" spans="1:12" ht="291" customHeight="1" x14ac:dyDescent="0.2">
      <c r="A6" s="1263" t="s">
        <v>590</v>
      </c>
      <c r="B6" s="1264"/>
      <c r="C6" s="1264"/>
      <c r="D6" s="1264"/>
      <c r="E6" s="1264"/>
      <c r="F6" s="1264"/>
      <c r="G6" s="1265"/>
    </row>
    <row r="7" spans="1:12" ht="44.25" customHeight="1" x14ac:dyDescent="0.2">
      <c r="A7" s="1263" t="s">
        <v>520</v>
      </c>
      <c r="B7" s="1264"/>
      <c r="C7" s="1264"/>
      <c r="D7" s="1264"/>
      <c r="E7" s="1264"/>
      <c r="F7" s="1264"/>
      <c r="G7" s="1265"/>
    </row>
    <row r="8" spans="1:12" ht="75" customHeight="1" x14ac:dyDescent="0.2">
      <c r="A8" s="1263" t="s">
        <v>591</v>
      </c>
      <c r="B8" s="1264"/>
      <c r="C8" s="1264"/>
      <c r="D8" s="1264"/>
      <c r="E8" s="1264"/>
      <c r="F8" s="1264"/>
      <c r="G8" s="1265"/>
    </row>
    <row r="9" spans="1:12" ht="55.5" customHeight="1" x14ac:dyDescent="0.2">
      <c r="A9" s="1263" t="s">
        <v>592</v>
      </c>
      <c r="B9" s="1264"/>
      <c r="C9" s="1264"/>
      <c r="D9" s="1264"/>
      <c r="E9" s="1264"/>
      <c r="F9" s="1264"/>
      <c r="G9" s="1265"/>
    </row>
    <row r="10" spans="1:12" ht="18" customHeight="1" x14ac:dyDescent="0.2">
      <c r="A10" s="1263" t="s">
        <v>593</v>
      </c>
      <c r="B10" s="1264"/>
      <c r="C10" s="1264"/>
      <c r="D10" s="1264"/>
      <c r="E10" s="1264"/>
      <c r="F10" s="1264"/>
      <c r="G10" s="1265"/>
    </row>
    <row r="11" spans="1:12" ht="23.25" customHeight="1" x14ac:dyDescent="0.2">
      <c r="A11" s="1263" t="s">
        <v>594</v>
      </c>
      <c r="B11" s="1264"/>
      <c r="C11" s="1264"/>
      <c r="D11" s="1264"/>
      <c r="E11" s="1264"/>
      <c r="F11" s="1264"/>
      <c r="G11" s="1265"/>
    </row>
    <row r="12" spans="1:12" ht="61.5" customHeight="1" thickBot="1" x14ac:dyDescent="0.25">
      <c r="A12" s="1310" t="s">
        <v>595</v>
      </c>
      <c r="B12" s="1311"/>
      <c r="C12" s="1311"/>
      <c r="D12" s="1311"/>
      <c r="E12" s="1311"/>
      <c r="F12" s="1311"/>
      <c r="G12" s="1312"/>
      <c r="J12" s="910"/>
      <c r="L12" s="910"/>
    </row>
    <row r="13" spans="1:12" ht="18" customHeight="1" thickBot="1" x14ac:dyDescent="0.25"/>
    <row r="14" spans="1:12" s="39" customFormat="1" ht="102" customHeight="1" x14ac:dyDescent="0.2">
      <c r="A14" s="830" t="s">
        <v>545</v>
      </c>
      <c r="B14" s="830" t="s">
        <v>546</v>
      </c>
      <c r="C14" s="830" t="s">
        <v>596</v>
      </c>
      <c r="D14" s="830" t="s">
        <v>522</v>
      </c>
      <c r="E14" s="831" t="s">
        <v>523</v>
      </c>
      <c r="F14" s="861" t="s">
        <v>597</v>
      </c>
      <c r="G14" s="862" t="s">
        <v>524</v>
      </c>
    </row>
    <row r="15" spans="1:12" s="39" customFormat="1" ht="18" customHeight="1" x14ac:dyDescent="0.2">
      <c r="A15" s="840">
        <v>1</v>
      </c>
      <c r="B15" s="904" t="s">
        <v>598</v>
      </c>
      <c r="C15" s="911" t="s">
        <v>599</v>
      </c>
      <c r="D15" s="905">
        <v>23605.333333333332</v>
      </c>
      <c r="E15" s="912">
        <v>0</v>
      </c>
      <c r="F15" s="858">
        <v>1</v>
      </c>
      <c r="G15" s="906">
        <f>E15*F15</f>
        <v>0</v>
      </c>
    </row>
    <row r="16" spans="1:12" ht="18" customHeight="1" x14ac:dyDescent="0.2">
      <c r="A16" s="840">
        <v>2</v>
      </c>
      <c r="B16" s="904" t="s">
        <v>600</v>
      </c>
      <c r="C16" s="911" t="s">
        <v>599</v>
      </c>
      <c r="D16" s="905">
        <v>30227</v>
      </c>
      <c r="E16" s="912">
        <v>0</v>
      </c>
      <c r="F16" s="858">
        <v>1</v>
      </c>
      <c r="G16" s="906">
        <f t="shared" ref="G16:G17" si="0">E16*F16</f>
        <v>0</v>
      </c>
    </row>
    <row r="17" spans="1:7" ht="18" customHeight="1" x14ac:dyDescent="0.2">
      <c r="A17" s="840">
        <v>3</v>
      </c>
      <c r="B17" s="904" t="s">
        <v>601</v>
      </c>
      <c r="C17" s="911" t="s">
        <v>599</v>
      </c>
      <c r="D17" s="905">
        <v>32350.333333333332</v>
      </c>
      <c r="E17" s="912">
        <v>0</v>
      </c>
      <c r="F17" s="858">
        <v>1</v>
      </c>
      <c r="G17" s="906">
        <f t="shared" si="0"/>
        <v>0</v>
      </c>
    </row>
    <row r="18" spans="1:7" ht="18" customHeight="1" x14ac:dyDescent="0.2">
      <c r="A18" s="1302" t="s">
        <v>515</v>
      </c>
      <c r="B18" s="1303"/>
      <c r="C18" s="1303"/>
      <c r="D18" s="1303"/>
      <c r="E18" s="1303"/>
      <c r="F18" s="1304"/>
      <c r="G18" s="876">
        <f>SUM(G15:G17)</f>
        <v>0</v>
      </c>
    </row>
    <row r="19" spans="1:7" ht="18" customHeight="1" x14ac:dyDescent="0.2">
      <c r="A19" s="1302" t="s">
        <v>527</v>
      </c>
      <c r="B19" s="1303"/>
      <c r="C19" s="1303"/>
      <c r="D19" s="1303"/>
      <c r="E19" s="1303"/>
      <c r="F19" s="1304"/>
      <c r="G19" s="877">
        <f>ROUND(G18*19%,0)</f>
        <v>0</v>
      </c>
    </row>
    <row r="20" spans="1:7" ht="18" customHeight="1" thickBot="1" x14ac:dyDescent="0.25">
      <c r="A20" s="1305" t="s">
        <v>496</v>
      </c>
      <c r="B20" s="1306"/>
      <c r="C20" s="1306"/>
      <c r="D20" s="1306"/>
      <c r="E20" s="1306"/>
      <c r="F20" s="1307"/>
      <c r="G20" s="878">
        <f>G18+G19</f>
        <v>0</v>
      </c>
    </row>
    <row r="21" spans="1:7" ht="18" customHeight="1" thickBot="1" x14ac:dyDescent="0.25"/>
    <row r="22" spans="1:7" s="833" customFormat="1" ht="105.75" customHeight="1" thickBot="1" x14ac:dyDescent="0.25">
      <c r="A22" s="1251" t="s">
        <v>500</v>
      </c>
      <c r="B22" s="1308"/>
      <c r="C22" s="1308"/>
      <c r="D22" s="1308"/>
      <c r="E22" s="1308"/>
      <c r="F22" s="1308"/>
      <c r="G22" s="1309"/>
    </row>
    <row r="23" spans="1:7" s="833" customFormat="1" ht="14.25" x14ac:dyDescent="0.2">
      <c r="A23" s="857"/>
    </row>
    <row r="24" spans="1:7" s="833" customFormat="1" ht="14.25" x14ac:dyDescent="0.2">
      <c r="A24" s="907"/>
    </row>
    <row r="25" spans="1:7" s="833" customFormat="1" ht="14.25" x14ac:dyDescent="0.2">
      <c r="A25" s="907"/>
    </row>
    <row r="26" spans="1:7" s="833" customFormat="1" ht="14.25" x14ac:dyDescent="0.2">
      <c r="A26" s="907"/>
    </row>
    <row r="27" spans="1:7" s="833" customFormat="1" ht="14.25" x14ac:dyDescent="0.2">
      <c r="A27" s="907"/>
    </row>
    <row r="28" spans="1:7" s="833" customFormat="1" ht="14.25" x14ac:dyDescent="0.2">
      <c r="A28" s="907"/>
    </row>
    <row r="29" spans="1:7" s="833" customFormat="1" ht="14.25" x14ac:dyDescent="0.2">
      <c r="A29" s="907"/>
    </row>
    <row r="30" spans="1:7" s="833" customFormat="1" ht="14.25" x14ac:dyDescent="0.2">
      <c r="A30" s="1301"/>
      <c r="B30" s="1301"/>
      <c r="C30" s="1301"/>
      <c r="D30" s="1301"/>
      <c r="E30" s="1301"/>
      <c r="F30" s="1301"/>
      <c r="G30" s="1301"/>
    </row>
    <row r="31" spans="1:7" s="833" customFormat="1" ht="14.25" x14ac:dyDescent="0.2">
      <c r="A31" s="1301"/>
      <c r="B31" s="1301"/>
      <c r="C31" s="1301"/>
      <c r="D31" s="1301"/>
      <c r="E31" s="1301"/>
      <c r="F31" s="1301"/>
      <c r="G31" s="1301"/>
    </row>
    <row r="32" spans="1:7" s="833" customFormat="1" ht="14.25" x14ac:dyDescent="0.2">
      <c r="A32" s="1301"/>
      <c r="B32" s="1301"/>
      <c r="C32" s="1301"/>
      <c r="D32" s="1301"/>
      <c r="E32" s="1301"/>
      <c r="F32" s="1301"/>
      <c r="G32" s="1301"/>
    </row>
    <row r="33" spans="1:1" s="833" customFormat="1" ht="14.25" x14ac:dyDescent="0.2">
      <c r="A33" s="857"/>
    </row>
    <row r="34" spans="1:1" s="833" customFormat="1" ht="14.25" x14ac:dyDescent="0.2">
      <c r="A34" s="857"/>
    </row>
  </sheetData>
  <mergeCells count="19">
    <mergeCell ref="A12:G12"/>
    <mergeCell ref="A1:G1"/>
    <mergeCell ref="A2:G2"/>
    <mergeCell ref="A3:G3"/>
    <mergeCell ref="A4:F4"/>
    <mergeCell ref="A5:G5"/>
    <mergeCell ref="A6:G6"/>
    <mergeCell ref="A7:G7"/>
    <mergeCell ref="A8:G8"/>
    <mergeCell ref="A9:G9"/>
    <mergeCell ref="A10:G10"/>
    <mergeCell ref="A11:G11"/>
    <mergeCell ref="A32:G32"/>
    <mergeCell ref="A18:F18"/>
    <mergeCell ref="A19:F19"/>
    <mergeCell ref="A20:F20"/>
    <mergeCell ref="A22:G22"/>
    <mergeCell ref="A30:G30"/>
    <mergeCell ref="A31:G31"/>
  </mergeCells>
  <dataValidations count="1">
    <dataValidation allowBlank="1" showInputMessage="1" showErrorMessage="1" prompt="Ingrese el valor unitario con base en el sondeo de mercado realizado." sqref="F65541:F65547 IA65541:IA65547 RW65541:RW65547 ABS65541:ABS65547 ALO65541:ALO65547 AVK65541:AVK65547 BFG65541:BFG65547 BPC65541:BPC65547 BYY65541:BYY65547 CIU65541:CIU65547 CSQ65541:CSQ65547 DCM65541:DCM65547 DMI65541:DMI65547 DWE65541:DWE65547 EGA65541:EGA65547 EPW65541:EPW65547 EZS65541:EZS65547 FJO65541:FJO65547 FTK65541:FTK65547 GDG65541:GDG65547 GNC65541:GNC65547 GWY65541:GWY65547 HGU65541:HGU65547 HQQ65541:HQQ65547 IAM65541:IAM65547 IKI65541:IKI65547 IUE65541:IUE65547 JEA65541:JEA65547 JNW65541:JNW65547 JXS65541:JXS65547 KHO65541:KHO65547 KRK65541:KRK65547 LBG65541:LBG65547 LLC65541:LLC65547 LUY65541:LUY65547 MEU65541:MEU65547 MOQ65541:MOQ65547 MYM65541:MYM65547 NII65541:NII65547 NSE65541:NSE65547 OCA65541:OCA65547 OLW65541:OLW65547 OVS65541:OVS65547 PFO65541:PFO65547 PPK65541:PPK65547 PZG65541:PZG65547 QJC65541:QJC65547 QSY65541:QSY65547 RCU65541:RCU65547 RMQ65541:RMQ65547 RWM65541:RWM65547 SGI65541:SGI65547 SQE65541:SQE65547 TAA65541:TAA65547 TJW65541:TJW65547 TTS65541:TTS65547 UDO65541:UDO65547 UNK65541:UNK65547 UXG65541:UXG65547 VHC65541:VHC65547 VQY65541:VQY65547 WAU65541:WAU65547 WKQ65541:WKQ65547 WUM65541:WUM65547 F131077:F131083 IA131077:IA131083 RW131077:RW131083 ABS131077:ABS131083 ALO131077:ALO131083 AVK131077:AVK131083 BFG131077:BFG131083 BPC131077:BPC131083 BYY131077:BYY131083 CIU131077:CIU131083 CSQ131077:CSQ131083 DCM131077:DCM131083 DMI131077:DMI131083 DWE131077:DWE131083 EGA131077:EGA131083 EPW131077:EPW131083 EZS131077:EZS131083 FJO131077:FJO131083 FTK131077:FTK131083 GDG131077:GDG131083 GNC131077:GNC131083 GWY131077:GWY131083 HGU131077:HGU131083 HQQ131077:HQQ131083 IAM131077:IAM131083 IKI131077:IKI131083 IUE131077:IUE131083 JEA131077:JEA131083 JNW131077:JNW131083 JXS131077:JXS131083 KHO131077:KHO131083 KRK131077:KRK131083 LBG131077:LBG131083 LLC131077:LLC131083 LUY131077:LUY131083 MEU131077:MEU131083 MOQ131077:MOQ131083 MYM131077:MYM131083 NII131077:NII131083 NSE131077:NSE131083 OCA131077:OCA131083 OLW131077:OLW131083 OVS131077:OVS131083 PFO131077:PFO131083 PPK131077:PPK131083 PZG131077:PZG131083 QJC131077:QJC131083 QSY131077:QSY131083 RCU131077:RCU131083 RMQ131077:RMQ131083 RWM131077:RWM131083 SGI131077:SGI131083 SQE131077:SQE131083 TAA131077:TAA131083 TJW131077:TJW131083 TTS131077:TTS131083 UDO131077:UDO131083 UNK131077:UNK131083 UXG131077:UXG131083 VHC131077:VHC131083 VQY131077:VQY131083 WAU131077:WAU131083 WKQ131077:WKQ131083 WUM131077:WUM131083 F196613:F196619 IA196613:IA196619 RW196613:RW196619 ABS196613:ABS196619 ALO196613:ALO196619 AVK196613:AVK196619 BFG196613:BFG196619 BPC196613:BPC196619 BYY196613:BYY196619 CIU196613:CIU196619 CSQ196613:CSQ196619 DCM196613:DCM196619 DMI196613:DMI196619 DWE196613:DWE196619 EGA196613:EGA196619 EPW196613:EPW196619 EZS196613:EZS196619 FJO196613:FJO196619 FTK196613:FTK196619 GDG196613:GDG196619 GNC196613:GNC196619 GWY196613:GWY196619 HGU196613:HGU196619 HQQ196613:HQQ196619 IAM196613:IAM196619 IKI196613:IKI196619 IUE196613:IUE196619 JEA196613:JEA196619 JNW196613:JNW196619 JXS196613:JXS196619 KHO196613:KHO196619 KRK196613:KRK196619 LBG196613:LBG196619 LLC196613:LLC196619 LUY196613:LUY196619 MEU196613:MEU196619 MOQ196613:MOQ196619 MYM196613:MYM196619 NII196613:NII196619 NSE196613:NSE196619 OCA196613:OCA196619 OLW196613:OLW196619 OVS196613:OVS196619 PFO196613:PFO196619 PPK196613:PPK196619 PZG196613:PZG196619 QJC196613:QJC196619 QSY196613:QSY196619 RCU196613:RCU196619 RMQ196613:RMQ196619 RWM196613:RWM196619 SGI196613:SGI196619 SQE196613:SQE196619 TAA196613:TAA196619 TJW196613:TJW196619 TTS196613:TTS196619 UDO196613:UDO196619 UNK196613:UNK196619 UXG196613:UXG196619 VHC196613:VHC196619 VQY196613:VQY196619 WAU196613:WAU196619 WKQ196613:WKQ196619 WUM196613:WUM196619 F262149:F262155 IA262149:IA262155 RW262149:RW262155 ABS262149:ABS262155 ALO262149:ALO262155 AVK262149:AVK262155 BFG262149:BFG262155 BPC262149:BPC262155 BYY262149:BYY262155 CIU262149:CIU262155 CSQ262149:CSQ262155 DCM262149:DCM262155 DMI262149:DMI262155 DWE262149:DWE262155 EGA262149:EGA262155 EPW262149:EPW262155 EZS262149:EZS262155 FJO262149:FJO262155 FTK262149:FTK262155 GDG262149:GDG262155 GNC262149:GNC262155 GWY262149:GWY262155 HGU262149:HGU262155 HQQ262149:HQQ262155 IAM262149:IAM262155 IKI262149:IKI262155 IUE262149:IUE262155 JEA262149:JEA262155 JNW262149:JNW262155 JXS262149:JXS262155 KHO262149:KHO262155 KRK262149:KRK262155 LBG262149:LBG262155 LLC262149:LLC262155 LUY262149:LUY262155 MEU262149:MEU262155 MOQ262149:MOQ262155 MYM262149:MYM262155 NII262149:NII262155 NSE262149:NSE262155 OCA262149:OCA262155 OLW262149:OLW262155 OVS262149:OVS262155 PFO262149:PFO262155 PPK262149:PPK262155 PZG262149:PZG262155 QJC262149:QJC262155 QSY262149:QSY262155 RCU262149:RCU262155 RMQ262149:RMQ262155 RWM262149:RWM262155 SGI262149:SGI262155 SQE262149:SQE262155 TAA262149:TAA262155 TJW262149:TJW262155 TTS262149:TTS262155 UDO262149:UDO262155 UNK262149:UNK262155 UXG262149:UXG262155 VHC262149:VHC262155 VQY262149:VQY262155 WAU262149:WAU262155 WKQ262149:WKQ262155 WUM262149:WUM262155 F327685:F327691 IA327685:IA327691 RW327685:RW327691 ABS327685:ABS327691 ALO327685:ALO327691 AVK327685:AVK327691 BFG327685:BFG327691 BPC327685:BPC327691 BYY327685:BYY327691 CIU327685:CIU327691 CSQ327685:CSQ327691 DCM327685:DCM327691 DMI327685:DMI327691 DWE327685:DWE327691 EGA327685:EGA327691 EPW327685:EPW327691 EZS327685:EZS327691 FJO327685:FJO327691 FTK327685:FTK327691 GDG327685:GDG327691 GNC327685:GNC327691 GWY327685:GWY327691 HGU327685:HGU327691 HQQ327685:HQQ327691 IAM327685:IAM327691 IKI327685:IKI327691 IUE327685:IUE327691 JEA327685:JEA327691 JNW327685:JNW327691 JXS327685:JXS327691 KHO327685:KHO327691 KRK327685:KRK327691 LBG327685:LBG327691 LLC327685:LLC327691 LUY327685:LUY327691 MEU327685:MEU327691 MOQ327685:MOQ327691 MYM327685:MYM327691 NII327685:NII327691 NSE327685:NSE327691 OCA327685:OCA327691 OLW327685:OLW327691 OVS327685:OVS327691 PFO327685:PFO327691 PPK327685:PPK327691 PZG327685:PZG327691 QJC327685:QJC327691 QSY327685:QSY327691 RCU327685:RCU327691 RMQ327685:RMQ327691 RWM327685:RWM327691 SGI327685:SGI327691 SQE327685:SQE327691 TAA327685:TAA327691 TJW327685:TJW327691 TTS327685:TTS327691 UDO327685:UDO327691 UNK327685:UNK327691 UXG327685:UXG327691 VHC327685:VHC327691 VQY327685:VQY327691 WAU327685:WAU327691 WKQ327685:WKQ327691 WUM327685:WUM327691 F393221:F393227 IA393221:IA393227 RW393221:RW393227 ABS393221:ABS393227 ALO393221:ALO393227 AVK393221:AVK393227 BFG393221:BFG393227 BPC393221:BPC393227 BYY393221:BYY393227 CIU393221:CIU393227 CSQ393221:CSQ393227 DCM393221:DCM393227 DMI393221:DMI393227 DWE393221:DWE393227 EGA393221:EGA393227 EPW393221:EPW393227 EZS393221:EZS393227 FJO393221:FJO393227 FTK393221:FTK393227 GDG393221:GDG393227 GNC393221:GNC393227 GWY393221:GWY393227 HGU393221:HGU393227 HQQ393221:HQQ393227 IAM393221:IAM393227 IKI393221:IKI393227 IUE393221:IUE393227 JEA393221:JEA393227 JNW393221:JNW393227 JXS393221:JXS393227 KHO393221:KHO393227 KRK393221:KRK393227 LBG393221:LBG393227 LLC393221:LLC393227 LUY393221:LUY393227 MEU393221:MEU393227 MOQ393221:MOQ393227 MYM393221:MYM393227 NII393221:NII393227 NSE393221:NSE393227 OCA393221:OCA393227 OLW393221:OLW393227 OVS393221:OVS393227 PFO393221:PFO393227 PPK393221:PPK393227 PZG393221:PZG393227 QJC393221:QJC393227 QSY393221:QSY393227 RCU393221:RCU393227 RMQ393221:RMQ393227 RWM393221:RWM393227 SGI393221:SGI393227 SQE393221:SQE393227 TAA393221:TAA393227 TJW393221:TJW393227 TTS393221:TTS393227 UDO393221:UDO393227 UNK393221:UNK393227 UXG393221:UXG393227 VHC393221:VHC393227 VQY393221:VQY393227 WAU393221:WAU393227 WKQ393221:WKQ393227 WUM393221:WUM393227 F458757:F458763 IA458757:IA458763 RW458757:RW458763 ABS458757:ABS458763 ALO458757:ALO458763 AVK458757:AVK458763 BFG458757:BFG458763 BPC458757:BPC458763 BYY458757:BYY458763 CIU458757:CIU458763 CSQ458757:CSQ458763 DCM458757:DCM458763 DMI458757:DMI458763 DWE458757:DWE458763 EGA458757:EGA458763 EPW458757:EPW458763 EZS458757:EZS458763 FJO458757:FJO458763 FTK458757:FTK458763 GDG458757:GDG458763 GNC458757:GNC458763 GWY458757:GWY458763 HGU458757:HGU458763 HQQ458757:HQQ458763 IAM458757:IAM458763 IKI458757:IKI458763 IUE458757:IUE458763 JEA458757:JEA458763 JNW458757:JNW458763 JXS458757:JXS458763 KHO458757:KHO458763 KRK458757:KRK458763 LBG458757:LBG458763 LLC458757:LLC458763 LUY458757:LUY458763 MEU458757:MEU458763 MOQ458757:MOQ458763 MYM458757:MYM458763 NII458757:NII458763 NSE458757:NSE458763 OCA458757:OCA458763 OLW458757:OLW458763 OVS458757:OVS458763 PFO458757:PFO458763 PPK458757:PPK458763 PZG458757:PZG458763 QJC458757:QJC458763 QSY458757:QSY458763 RCU458757:RCU458763 RMQ458757:RMQ458763 RWM458757:RWM458763 SGI458757:SGI458763 SQE458757:SQE458763 TAA458757:TAA458763 TJW458757:TJW458763 TTS458757:TTS458763 UDO458757:UDO458763 UNK458757:UNK458763 UXG458757:UXG458763 VHC458757:VHC458763 VQY458757:VQY458763 WAU458757:WAU458763 WKQ458757:WKQ458763 WUM458757:WUM458763 F524293:F524299 IA524293:IA524299 RW524293:RW524299 ABS524293:ABS524299 ALO524293:ALO524299 AVK524293:AVK524299 BFG524293:BFG524299 BPC524293:BPC524299 BYY524293:BYY524299 CIU524293:CIU524299 CSQ524293:CSQ524299 DCM524293:DCM524299 DMI524293:DMI524299 DWE524293:DWE524299 EGA524293:EGA524299 EPW524293:EPW524299 EZS524293:EZS524299 FJO524293:FJO524299 FTK524293:FTK524299 GDG524293:GDG524299 GNC524293:GNC524299 GWY524293:GWY524299 HGU524293:HGU524299 HQQ524293:HQQ524299 IAM524293:IAM524299 IKI524293:IKI524299 IUE524293:IUE524299 JEA524293:JEA524299 JNW524293:JNW524299 JXS524293:JXS524299 KHO524293:KHO524299 KRK524293:KRK524299 LBG524293:LBG524299 LLC524293:LLC524299 LUY524293:LUY524299 MEU524293:MEU524299 MOQ524293:MOQ524299 MYM524293:MYM524299 NII524293:NII524299 NSE524293:NSE524299 OCA524293:OCA524299 OLW524293:OLW524299 OVS524293:OVS524299 PFO524293:PFO524299 PPK524293:PPK524299 PZG524293:PZG524299 QJC524293:QJC524299 QSY524293:QSY524299 RCU524293:RCU524299 RMQ524293:RMQ524299 RWM524293:RWM524299 SGI524293:SGI524299 SQE524293:SQE524299 TAA524293:TAA524299 TJW524293:TJW524299 TTS524293:TTS524299 UDO524293:UDO524299 UNK524293:UNK524299 UXG524293:UXG524299 VHC524293:VHC524299 VQY524293:VQY524299 WAU524293:WAU524299 WKQ524293:WKQ524299 WUM524293:WUM524299 F589829:F589835 IA589829:IA589835 RW589829:RW589835 ABS589829:ABS589835 ALO589829:ALO589835 AVK589829:AVK589835 BFG589829:BFG589835 BPC589829:BPC589835 BYY589829:BYY589835 CIU589829:CIU589835 CSQ589829:CSQ589835 DCM589829:DCM589835 DMI589829:DMI589835 DWE589829:DWE589835 EGA589829:EGA589835 EPW589829:EPW589835 EZS589829:EZS589835 FJO589829:FJO589835 FTK589829:FTK589835 GDG589829:GDG589835 GNC589829:GNC589835 GWY589829:GWY589835 HGU589829:HGU589835 HQQ589829:HQQ589835 IAM589829:IAM589835 IKI589829:IKI589835 IUE589829:IUE589835 JEA589829:JEA589835 JNW589829:JNW589835 JXS589829:JXS589835 KHO589829:KHO589835 KRK589829:KRK589835 LBG589829:LBG589835 LLC589829:LLC589835 LUY589829:LUY589835 MEU589829:MEU589835 MOQ589829:MOQ589835 MYM589829:MYM589835 NII589829:NII589835 NSE589829:NSE589835 OCA589829:OCA589835 OLW589829:OLW589835 OVS589829:OVS589835 PFO589829:PFO589835 PPK589829:PPK589835 PZG589829:PZG589835 QJC589829:QJC589835 QSY589829:QSY589835 RCU589829:RCU589835 RMQ589829:RMQ589835 RWM589829:RWM589835 SGI589829:SGI589835 SQE589829:SQE589835 TAA589829:TAA589835 TJW589829:TJW589835 TTS589829:TTS589835 UDO589829:UDO589835 UNK589829:UNK589835 UXG589829:UXG589835 VHC589829:VHC589835 VQY589829:VQY589835 WAU589829:WAU589835 WKQ589829:WKQ589835 WUM589829:WUM589835 F655365:F655371 IA655365:IA655371 RW655365:RW655371 ABS655365:ABS655371 ALO655365:ALO655371 AVK655365:AVK655371 BFG655365:BFG655371 BPC655365:BPC655371 BYY655365:BYY655371 CIU655365:CIU655371 CSQ655365:CSQ655371 DCM655365:DCM655371 DMI655365:DMI655371 DWE655365:DWE655371 EGA655365:EGA655371 EPW655365:EPW655371 EZS655365:EZS655371 FJO655365:FJO655371 FTK655365:FTK655371 GDG655365:GDG655371 GNC655365:GNC655371 GWY655365:GWY655371 HGU655365:HGU655371 HQQ655365:HQQ655371 IAM655365:IAM655371 IKI655365:IKI655371 IUE655365:IUE655371 JEA655365:JEA655371 JNW655365:JNW655371 JXS655365:JXS655371 KHO655365:KHO655371 KRK655365:KRK655371 LBG655365:LBG655371 LLC655365:LLC655371 LUY655365:LUY655371 MEU655365:MEU655371 MOQ655365:MOQ655371 MYM655365:MYM655371 NII655365:NII655371 NSE655365:NSE655371 OCA655365:OCA655371 OLW655365:OLW655371 OVS655365:OVS655371 PFO655365:PFO655371 PPK655365:PPK655371 PZG655365:PZG655371 QJC655365:QJC655371 QSY655365:QSY655371 RCU655365:RCU655371 RMQ655365:RMQ655371 RWM655365:RWM655371 SGI655365:SGI655371 SQE655365:SQE655371 TAA655365:TAA655371 TJW655365:TJW655371 TTS655365:TTS655371 UDO655365:UDO655371 UNK655365:UNK655371 UXG655365:UXG655371 VHC655365:VHC655371 VQY655365:VQY655371 WAU655365:WAU655371 WKQ655365:WKQ655371 WUM655365:WUM655371 F720901:F720907 IA720901:IA720907 RW720901:RW720907 ABS720901:ABS720907 ALO720901:ALO720907 AVK720901:AVK720907 BFG720901:BFG720907 BPC720901:BPC720907 BYY720901:BYY720907 CIU720901:CIU720907 CSQ720901:CSQ720907 DCM720901:DCM720907 DMI720901:DMI720907 DWE720901:DWE720907 EGA720901:EGA720907 EPW720901:EPW720907 EZS720901:EZS720907 FJO720901:FJO720907 FTK720901:FTK720907 GDG720901:GDG720907 GNC720901:GNC720907 GWY720901:GWY720907 HGU720901:HGU720907 HQQ720901:HQQ720907 IAM720901:IAM720907 IKI720901:IKI720907 IUE720901:IUE720907 JEA720901:JEA720907 JNW720901:JNW720907 JXS720901:JXS720907 KHO720901:KHO720907 KRK720901:KRK720907 LBG720901:LBG720907 LLC720901:LLC720907 LUY720901:LUY720907 MEU720901:MEU720907 MOQ720901:MOQ720907 MYM720901:MYM720907 NII720901:NII720907 NSE720901:NSE720907 OCA720901:OCA720907 OLW720901:OLW720907 OVS720901:OVS720907 PFO720901:PFO720907 PPK720901:PPK720907 PZG720901:PZG720907 QJC720901:QJC720907 QSY720901:QSY720907 RCU720901:RCU720907 RMQ720901:RMQ720907 RWM720901:RWM720907 SGI720901:SGI720907 SQE720901:SQE720907 TAA720901:TAA720907 TJW720901:TJW720907 TTS720901:TTS720907 UDO720901:UDO720907 UNK720901:UNK720907 UXG720901:UXG720907 VHC720901:VHC720907 VQY720901:VQY720907 WAU720901:WAU720907 WKQ720901:WKQ720907 WUM720901:WUM720907 F786437:F786443 IA786437:IA786443 RW786437:RW786443 ABS786437:ABS786443 ALO786437:ALO786443 AVK786437:AVK786443 BFG786437:BFG786443 BPC786437:BPC786443 BYY786437:BYY786443 CIU786437:CIU786443 CSQ786437:CSQ786443 DCM786437:DCM786443 DMI786437:DMI786443 DWE786437:DWE786443 EGA786437:EGA786443 EPW786437:EPW786443 EZS786437:EZS786443 FJO786437:FJO786443 FTK786437:FTK786443 GDG786437:GDG786443 GNC786437:GNC786443 GWY786437:GWY786443 HGU786437:HGU786443 HQQ786437:HQQ786443 IAM786437:IAM786443 IKI786437:IKI786443 IUE786437:IUE786443 JEA786437:JEA786443 JNW786437:JNW786443 JXS786437:JXS786443 KHO786437:KHO786443 KRK786437:KRK786443 LBG786437:LBG786443 LLC786437:LLC786443 LUY786437:LUY786443 MEU786437:MEU786443 MOQ786437:MOQ786443 MYM786437:MYM786443 NII786437:NII786443 NSE786437:NSE786443 OCA786437:OCA786443 OLW786437:OLW786443 OVS786437:OVS786443 PFO786437:PFO786443 PPK786437:PPK786443 PZG786437:PZG786443 QJC786437:QJC786443 QSY786437:QSY786443 RCU786437:RCU786443 RMQ786437:RMQ786443 RWM786437:RWM786443 SGI786437:SGI786443 SQE786437:SQE786443 TAA786437:TAA786443 TJW786437:TJW786443 TTS786437:TTS786443 UDO786437:UDO786443 UNK786437:UNK786443 UXG786437:UXG786443 VHC786437:VHC786443 VQY786437:VQY786443 WAU786437:WAU786443 WKQ786437:WKQ786443 WUM786437:WUM786443 F851973:F851979 IA851973:IA851979 RW851973:RW851979 ABS851973:ABS851979 ALO851973:ALO851979 AVK851973:AVK851979 BFG851973:BFG851979 BPC851973:BPC851979 BYY851973:BYY851979 CIU851973:CIU851979 CSQ851973:CSQ851979 DCM851973:DCM851979 DMI851973:DMI851979 DWE851973:DWE851979 EGA851973:EGA851979 EPW851973:EPW851979 EZS851973:EZS851979 FJO851973:FJO851979 FTK851973:FTK851979 GDG851973:GDG851979 GNC851973:GNC851979 GWY851973:GWY851979 HGU851973:HGU851979 HQQ851973:HQQ851979 IAM851973:IAM851979 IKI851973:IKI851979 IUE851973:IUE851979 JEA851973:JEA851979 JNW851973:JNW851979 JXS851973:JXS851979 KHO851973:KHO851979 KRK851973:KRK851979 LBG851973:LBG851979 LLC851973:LLC851979 LUY851973:LUY851979 MEU851973:MEU851979 MOQ851973:MOQ851979 MYM851973:MYM851979 NII851973:NII851979 NSE851973:NSE851979 OCA851973:OCA851979 OLW851973:OLW851979 OVS851973:OVS851979 PFO851973:PFO851979 PPK851973:PPK851979 PZG851973:PZG851979 QJC851973:QJC851979 QSY851973:QSY851979 RCU851973:RCU851979 RMQ851973:RMQ851979 RWM851973:RWM851979 SGI851973:SGI851979 SQE851973:SQE851979 TAA851973:TAA851979 TJW851973:TJW851979 TTS851973:TTS851979 UDO851973:UDO851979 UNK851973:UNK851979 UXG851973:UXG851979 VHC851973:VHC851979 VQY851973:VQY851979 WAU851973:WAU851979 WKQ851973:WKQ851979 WUM851973:WUM851979 F917509:F917515 IA917509:IA917515 RW917509:RW917515 ABS917509:ABS917515 ALO917509:ALO917515 AVK917509:AVK917515 BFG917509:BFG917515 BPC917509:BPC917515 BYY917509:BYY917515 CIU917509:CIU917515 CSQ917509:CSQ917515 DCM917509:DCM917515 DMI917509:DMI917515 DWE917509:DWE917515 EGA917509:EGA917515 EPW917509:EPW917515 EZS917509:EZS917515 FJO917509:FJO917515 FTK917509:FTK917515 GDG917509:GDG917515 GNC917509:GNC917515 GWY917509:GWY917515 HGU917509:HGU917515 HQQ917509:HQQ917515 IAM917509:IAM917515 IKI917509:IKI917515 IUE917509:IUE917515 JEA917509:JEA917515 JNW917509:JNW917515 JXS917509:JXS917515 KHO917509:KHO917515 KRK917509:KRK917515 LBG917509:LBG917515 LLC917509:LLC917515 LUY917509:LUY917515 MEU917509:MEU917515 MOQ917509:MOQ917515 MYM917509:MYM917515 NII917509:NII917515 NSE917509:NSE917515 OCA917509:OCA917515 OLW917509:OLW917515 OVS917509:OVS917515 PFO917509:PFO917515 PPK917509:PPK917515 PZG917509:PZG917515 QJC917509:QJC917515 QSY917509:QSY917515 RCU917509:RCU917515 RMQ917509:RMQ917515 RWM917509:RWM917515 SGI917509:SGI917515 SQE917509:SQE917515 TAA917509:TAA917515 TJW917509:TJW917515 TTS917509:TTS917515 UDO917509:UDO917515 UNK917509:UNK917515 UXG917509:UXG917515 VHC917509:VHC917515 VQY917509:VQY917515 WAU917509:WAU917515 WKQ917509:WKQ917515 WUM917509:WUM917515 F983045:F983051 IA983045:IA983051 RW983045:RW983051 ABS983045:ABS983051 ALO983045:ALO983051 AVK983045:AVK983051 BFG983045:BFG983051 BPC983045:BPC983051 BYY983045:BYY983051 CIU983045:CIU983051 CSQ983045:CSQ983051 DCM983045:DCM983051 DMI983045:DMI983051 DWE983045:DWE983051 EGA983045:EGA983051 EPW983045:EPW983051 EZS983045:EZS983051 FJO983045:FJO983051 FTK983045:FTK983051 GDG983045:GDG983051 GNC983045:GNC983051 GWY983045:GWY983051 HGU983045:HGU983051 HQQ983045:HQQ983051 IAM983045:IAM983051 IKI983045:IKI983051 IUE983045:IUE983051 JEA983045:JEA983051 JNW983045:JNW983051 JXS983045:JXS983051 KHO983045:KHO983051 KRK983045:KRK983051 LBG983045:LBG983051 LLC983045:LLC983051 LUY983045:LUY983051 MEU983045:MEU983051 MOQ983045:MOQ983051 MYM983045:MYM983051 NII983045:NII983051 NSE983045:NSE983051 OCA983045:OCA983051 OLW983045:OLW983051 OVS983045:OVS983051 PFO983045:PFO983051 PPK983045:PPK983051 PZG983045:PZG983051 QJC983045:QJC983051 QSY983045:QSY983051 RCU983045:RCU983051 RMQ983045:RMQ983051 RWM983045:RWM983051 SGI983045:SGI983051 SQE983045:SQE983051 TAA983045:TAA983051 TJW983045:TJW983051 TTS983045:TTS983051 UDO983045:UDO983051 UNK983045:UNK983051 UXG983045:UXG983051 VHC983045:VHC983051 VQY983045:VQY983051 WAU983045:WAU983051 WKQ983045:WKQ983051 WUM983045:WUM983051 G65547 IB65547 RX65547 ABT65547 ALP65547 AVL65547 BFH65547 BPD65547 BYZ65547 CIV65547 CSR65547 DCN65547 DMJ65547 DWF65547 EGB65547 EPX65547 EZT65547 FJP65547 FTL65547 GDH65547 GND65547 GWZ65547 HGV65547 HQR65547 IAN65547 IKJ65547 IUF65547 JEB65547 JNX65547 JXT65547 KHP65547 KRL65547 LBH65547 LLD65547 LUZ65547 MEV65547 MOR65547 MYN65547 NIJ65547 NSF65547 OCB65547 OLX65547 OVT65547 PFP65547 PPL65547 PZH65547 QJD65547 QSZ65547 RCV65547 RMR65547 RWN65547 SGJ65547 SQF65547 TAB65547 TJX65547 TTT65547 UDP65547 UNL65547 UXH65547 VHD65547 VQZ65547 WAV65547 WKR65547 WUN65547 G131083 IB131083 RX131083 ABT131083 ALP131083 AVL131083 BFH131083 BPD131083 BYZ131083 CIV131083 CSR131083 DCN131083 DMJ131083 DWF131083 EGB131083 EPX131083 EZT131083 FJP131083 FTL131083 GDH131083 GND131083 GWZ131083 HGV131083 HQR131083 IAN131083 IKJ131083 IUF131083 JEB131083 JNX131083 JXT131083 KHP131083 KRL131083 LBH131083 LLD131083 LUZ131083 MEV131083 MOR131083 MYN131083 NIJ131083 NSF131083 OCB131083 OLX131083 OVT131083 PFP131083 PPL131083 PZH131083 QJD131083 QSZ131083 RCV131083 RMR131083 RWN131083 SGJ131083 SQF131083 TAB131083 TJX131083 TTT131083 UDP131083 UNL131083 UXH131083 VHD131083 VQZ131083 WAV131083 WKR131083 WUN131083 G196619 IB196619 RX196619 ABT196619 ALP196619 AVL196619 BFH196619 BPD196619 BYZ196619 CIV196619 CSR196619 DCN196619 DMJ196619 DWF196619 EGB196619 EPX196619 EZT196619 FJP196619 FTL196619 GDH196619 GND196619 GWZ196619 HGV196619 HQR196619 IAN196619 IKJ196619 IUF196619 JEB196619 JNX196619 JXT196619 KHP196619 KRL196619 LBH196619 LLD196619 LUZ196619 MEV196619 MOR196619 MYN196619 NIJ196619 NSF196619 OCB196619 OLX196619 OVT196619 PFP196619 PPL196619 PZH196619 QJD196619 QSZ196619 RCV196619 RMR196619 RWN196619 SGJ196619 SQF196619 TAB196619 TJX196619 TTT196619 UDP196619 UNL196619 UXH196619 VHD196619 VQZ196619 WAV196619 WKR196619 WUN196619 G262155 IB262155 RX262155 ABT262155 ALP262155 AVL262155 BFH262155 BPD262155 BYZ262155 CIV262155 CSR262155 DCN262155 DMJ262155 DWF262155 EGB262155 EPX262155 EZT262155 FJP262155 FTL262155 GDH262155 GND262155 GWZ262155 HGV262155 HQR262155 IAN262155 IKJ262155 IUF262155 JEB262155 JNX262155 JXT262155 KHP262155 KRL262155 LBH262155 LLD262155 LUZ262155 MEV262155 MOR262155 MYN262155 NIJ262155 NSF262155 OCB262155 OLX262155 OVT262155 PFP262155 PPL262155 PZH262155 QJD262155 QSZ262155 RCV262155 RMR262155 RWN262155 SGJ262155 SQF262155 TAB262155 TJX262155 TTT262155 UDP262155 UNL262155 UXH262155 VHD262155 VQZ262155 WAV262155 WKR262155 WUN262155 G327691 IB327691 RX327691 ABT327691 ALP327691 AVL327691 BFH327691 BPD327691 BYZ327691 CIV327691 CSR327691 DCN327691 DMJ327691 DWF327691 EGB327691 EPX327691 EZT327691 FJP327691 FTL327691 GDH327691 GND327691 GWZ327691 HGV327691 HQR327691 IAN327691 IKJ327691 IUF327691 JEB327691 JNX327691 JXT327691 KHP327691 KRL327691 LBH327691 LLD327691 LUZ327691 MEV327691 MOR327691 MYN327691 NIJ327691 NSF327691 OCB327691 OLX327691 OVT327691 PFP327691 PPL327691 PZH327691 QJD327691 QSZ327691 RCV327691 RMR327691 RWN327691 SGJ327691 SQF327691 TAB327691 TJX327691 TTT327691 UDP327691 UNL327691 UXH327691 VHD327691 VQZ327691 WAV327691 WKR327691 WUN327691 G393227 IB393227 RX393227 ABT393227 ALP393227 AVL393227 BFH393227 BPD393227 BYZ393227 CIV393227 CSR393227 DCN393227 DMJ393227 DWF393227 EGB393227 EPX393227 EZT393227 FJP393227 FTL393227 GDH393227 GND393227 GWZ393227 HGV393227 HQR393227 IAN393227 IKJ393227 IUF393227 JEB393227 JNX393227 JXT393227 KHP393227 KRL393227 LBH393227 LLD393227 LUZ393227 MEV393227 MOR393227 MYN393227 NIJ393227 NSF393227 OCB393227 OLX393227 OVT393227 PFP393227 PPL393227 PZH393227 QJD393227 QSZ393227 RCV393227 RMR393227 RWN393227 SGJ393227 SQF393227 TAB393227 TJX393227 TTT393227 UDP393227 UNL393227 UXH393227 VHD393227 VQZ393227 WAV393227 WKR393227 WUN393227 G458763 IB458763 RX458763 ABT458763 ALP458763 AVL458763 BFH458763 BPD458763 BYZ458763 CIV458763 CSR458763 DCN458763 DMJ458763 DWF458763 EGB458763 EPX458763 EZT458763 FJP458763 FTL458763 GDH458763 GND458763 GWZ458763 HGV458763 HQR458763 IAN458763 IKJ458763 IUF458763 JEB458763 JNX458763 JXT458763 KHP458763 KRL458763 LBH458763 LLD458763 LUZ458763 MEV458763 MOR458763 MYN458763 NIJ458763 NSF458763 OCB458763 OLX458763 OVT458763 PFP458763 PPL458763 PZH458763 QJD458763 QSZ458763 RCV458763 RMR458763 RWN458763 SGJ458763 SQF458763 TAB458763 TJX458763 TTT458763 UDP458763 UNL458763 UXH458763 VHD458763 VQZ458763 WAV458763 WKR458763 WUN458763 G524299 IB524299 RX524299 ABT524299 ALP524299 AVL524299 BFH524299 BPD524299 BYZ524299 CIV524299 CSR524299 DCN524299 DMJ524299 DWF524299 EGB524299 EPX524299 EZT524299 FJP524299 FTL524299 GDH524299 GND524299 GWZ524299 HGV524299 HQR524299 IAN524299 IKJ524299 IUF524299 JEB524299 JNX524299 JXT524299 KHP524299 KRL524299 LBH524299 LLD524299 LUZ524299 MEV524299 MOR524299 MYN524299 NIJ524299 NSF524299 OCB524299 OLX524299 OVT524299 PFP524299 PPL524299 PZH524299 QJD524299 QSZ524299 RCV524299 RMR524299 RWN524299 SGJ524299 SQF524299 TAB524299 TJX524299 TTT524299 UDP524299 UNL524299 UXH524299 VHD524299 VQZ524299 WAV524299 WKR524299 WUN524299 G589835 IB589835 RX589835 ABT589835 ALP589835 AVL589835 BFH589835 BPD589835 BYZ589835 CIV589835 CSR589835 DCN589835 DMJ589835 DWF589835 EGB589835 EPX589835 EZT589835 FJP589835 FTL589835 GDH589835 GND589835 GWZ589835 HGV589835 HQR589835 IAN589835 IKJ589835 IUF589835 JEB589835 JNX589835 JXT589835 KHP589835 KRL589835 LBH589835 LLD589835 LUZ589835 MEV589835 MOR589835 MYN589835 NIJ589835 NSF589835 OCB589835 OLX589835 OVT589835 PFP589835 PPL589835 PZH589835 QJD589835 QSZ589835 RCV589835 RMR589835 RWN589835 SGJ589835 SQF589835 TAB589835 TJX589835 TTT589835 UDP589835 UNL589835 UXH589835 VHD589835 VQZ589835 WAV589835 WKR589835 WUN589835 G655371 IB655371 RX655371 ABT655371 ALP655371 AVL655371 BFH655371 BPD655371 BYZ655371 CIV655371 CSR655371 DCN655371 DMJ655371 DWF655371 EGB655371 EPX655371 EZT655371 FJP655371 FTL655371 GDH655371 GND655371 GWZ655371 HGV655371 HQR655371 IAN655371 IKJ655371 IUF655371 JEB655371 JNX655371 JXT655371 KHP655371 KRL655371 LBH655371 LLD655371 LUZ655371 MEV655371 MOR655371 MYN655371 NIJ655371 NSF655371 OCB655371 OLX655371 OVT655371 PFP655371 PPL655371 PZH655371 QJD655371 QSZ655371 RCV655371 RMR655371 RWN655371 SGJ655371 SQF655371 TAB655371 TJX655371 TTT655371 UDP655371 UNL655371 UXH655371 VHD655371 VQZ655371 WAV655371 WKR655371 WUN655371 G720907 IB720907 RX720907 ABT720907 ALP720907 AVL720907 BFH720907 BPD720907 BYZ720907 CIV720907 CSR720907 DCN720907 DMJ720907 DWF720907 EGB720907 EPX720907 EZT720907 FJP720907 FTL720907 GDH720907 GND720907 GWZ720907 HGV720907 HQR720907 IAN720907 IKJ720907 IUF720907 JEB720907 JNX720907 JXT720907 KHP720907 KRL720907 LBH720907 LLD720907 LUZ720907 MEV720907 MOR720907 MYN720907 NIJ720907 NSF720907 OCB720907 OLX720907 OVT720907 PFP720907 PPL720907 PZH720907 QJD720907 QSZ720907 RCV720907 RMR720907 RWN720907 SGJ720907 SQF720907 TAB720907 TJX720907 TTT720907 UDP720907 UNL720907 UXH720907 VHD720907 VQZ720907 WAV720907 WKR720907 WUN720907 G786443 IB786443 RX786443 ABT786443 ALP786443 AVL786443 BFH786443 BPD786443 BYZ786443 CIV786443 CSR786443 DCN786443 DMJ786443 DWF786443 EGB786443 EPX786443 EZT786443 FJP786443 FTL786443 GDH786443 GND786443 GWZ786443 HGV786443 HQR786443 IAN786443 IKJ786443 IUF786443 JEB786443 JNX786443 JXT786443 KHP786443 KRL786443 LBH786443 LLD786443 LUZ786443 MEV786443 MOR786443 MYN786443 NIJ786443 NSF786443 OCB786443 OLX786443 OVT786443 PFP786443 PPL786443 PZH786443 QJD786443 QSZ786443 RCV786443 RMR786443 RWN786443 SGJ786443 SQF786443 TAB786443 TJX786443 TTT786443 UDP786443 UNL786443 UXH786443 VHD786443 VQZ786443 WAV786443 WKR786443 WUN786443 G851979 IB851979 RX851979 ABT851979 ALP851979 AVL851979 BFH851979 BPD851979 BYZ851979 CIV851979 CSR851979 DCN851979 DMJ851979 DWF851979 EGB851979 EPX851979 EZT851979 FJP851979 FTL851979 GDH851979 GND851979 GWZ851979 HGV851979 HQR851979 IAN851979 IKJ851979 IUF851979 JEB851979 JNX851979 JXT851979 KHP851979 KRL851979 LBH851979 LLD851979 LUZ851979 MEV851979 MOR851979 MYN851979 NIJ851979 NSF851979 OCB851979 OLX851979 OVT851979 PFP851979 PPL851979 PZH851979 QJD851979 QSZ851979 RCV851979 RMR851979 RWN851979 SGJ851979 SQF851979 TAB851979 TJX851979 TTT851979 UDP851979 UNL851979 UXH851979 VHD851979 VQZ851979 WAV851979 WKR851979 WUN851979 G917515 IB917515 RX917515 ABT917515 ALP917515 AVL917515 BFH917515 BPD917515 BYZ917515 CIV917515 CSR917515 DCN917515 DMJ917515 DWF917515 EGB917515 EPX917515 EZT917515 FJP917515 FTL917515 GDH917515 GND917515 GWZ917515 HGV917515 HQR917515 IAN917515 IKJ917515 IUF917515 JEB917515 JNX917515 JXT917515 KHP917515 KRL917515 LBH917515 LLD917515 LUZ917515 MEV917515 MOR917515 MYN917515 NIJ917515 NSF917515 OCB917515 OLX917515 OVT917515 PFP917515 PPL917515 PZH917515 QJD917515 QSZ917515 RCV917515 RMR917515 RWN917515 SGJ917515 SQF917515 TAB917515 TJX917515 TTT917515 UDP917515 UNL917515 UXH917515 VHD917515 VQZ917515 WAV917515 WKR917515 WUN917515 G983051 IB983051 RX983051 ABT983051 ALP983051 AVL983051 BFH983051 BPD983051 BYZ983051 CIV983051 CSR983051 DCN983051 DMJ983051 DWF983051 EGB983051 EPX983051 EZT983051 FJP983051 FTL983051 GDH983051 GND983051 GWZ983051 HGV983051 HQR983051 IAN983051 IKJ983051 IUF983051 JEB983051 JNX983051 JXT983051 KHP983051 KRL983051 LBH983051 LLD983051 LUZ983051 MEV983051 MOR983051 MYN983051 NIJ983051 NSF983051 OCB983051 OLX983051 OVT983051 PFP983051 PPL983051 PZH983051 QJD983051 QSZ983051 RCV983051 RMR983051 RWN983051 SGJ983051 SQF983051 TAB983051 TJX983051 TTT983051 UDP983051 UNL983051 UXH983051 VHD983051 VQZ983051 WAV983051 WKR983051 WUN983051" xr:uid="{FFB140E1-EE7D-4B24-A25A-7D0A1276054D}"/>
  </dataValidations>
  <pageMargins left="0.74803149606299213" right="0.74803149606299213" top="0.98425196850393704" bottom="0.98425196850393704" header="0.51181102362204722" footer="0.51181102362204722"/>
  <pageSetup orientation="landscape" horizontalDpi="4294967295" verticalDpi="4294967295"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tabColor theme="5" tint="0.39997558519241921"/>
    <pageSetUpPr fitToPage="1"/>
  </sheetPr>
  <dimension ref="A1:N245"/>
  <sheetViews>
    <sheetView showGridLines="0" zoomScale="90" zoomScaleNormal="90" workbookViewId="0">
      <selection activeCell="A17" sqref="A17:E17"/>
    </sheetView>
  </sheetViews>
  <sheetFormatPr baseColWidth="10" defaultColWidth="11.5" defaultRowHeight="18" customHeight="1" x14ac:dyDescent="0.2"/>
  <cols>
    <col min="1" max="1" width="28" style="187" customWidth="1"/>
    <col min="2" max="2" width="11.83203125" style="187" customWidth="1"/>
    <col min="3" max="3" width="12.83203125" style="187" customWidth="1"/>
    <col min="4" max="4" width="14.83203125" style="187" customWidth="1"/>
    <col min="5" max="5" width="21.1640625" style="187" customWidth="1"/>
    <col min="6" max="6" width="18.33203125" style="188" customWidth="1"/>
    <col min="7" max="7" width="14.83203125" style="187" customWidth="1"/>
    <col min="8" max="8" width="22" style="189" customWidth="1"/>
    <col min="9" max="9" width="18.83203125" style="158" customWidth="1"/>
    <col min="10" max="12" width="18.83203125" style="163" customWidth="1"/>
    <col min="13" max="13" width="14.6640625" style="71" customWidth="1"/>
    <col min="14" max="16384" width="11.5" style="71"/>
  </cols>
  <sheetData>
    <row r="1" spans="1:14" ht="18" customHeight="1" x14ac:dyDescent="0.2">
      <c r="A1" s="1319"/>
      <c r="B1" s="1320"/>
      <c r="C1" s="1320"/>
      <c r="D1" s="1135" t="s">
        <v>0</v>
      </c>
      <c r="E1" s="1135"/>
      <c r="F1" s="1135"/>
      <c r="G1" s="1135"/>
      <c r="H1" s="1135"/>
      <c r="I1" s="1135"/>
      <c r="J1" s="1135"/>
      <c r="K1" s="1135"/>
      <c r="L1" s="1136"/>
      <c r="M1" s="339" t="s">
        <v>104</v>
      </c>
      <c r="N1" s="62"/>
    </row>
    <row r="2" spans="1:14" ht="18" customHeight="1" x14ac:dyDescent="0.2">
      <c r="A2" s="1321"/>
      <c r="B2" s="1322"/>
      <c r="C2" s="1322"/>
      <c r="D2" s="1137" t="s">
        <v>602</v>
      </c>
      <c r="E2" s="1137"/>
      <c r="F2" s="1137"/>
      <c r="G2" s="1137"/>
      <c r="H2" s="1137"/>
      <c r="I2" s="1137"/>
      <c r="J2" s="1137"/>
      <c r="K2" s="1137"/>
      <c r="L2" s="1138"/>
    </row>
    <row r="3" spans="1:14" ht="18" customHeight="1" thickBot="1" x14ac:dyDescent="0.25">
      <c r="A3" s="1323"/>
      <c r="B3" s="1324"/>
      <c r="C3" s="1324"/>
      <c r="D3" s="1139" t="s">
        <v>2</v>
      </c>
      <c r="E3" s="1139"/>
      <c r="F3" s="1139"/>
      <c r="G3" s="1139"/>
      <c r="H3" s="1139" t="str">
        <f>Instructivo!G3</f>
        <v>VERSIÓN: 04</v>
      </c>
      <c r="I3" s="1139"/>
      <c r="J3" s="1139"/>
      <c r="K3" s="1139"/>
      <c r="L3" s="1182"/>
    </row>
    <row r="4" spans="1:14" ht="18" customHeight="1" thickBot="1" x14ac:dyDescent="0.25">
      <c r="A4" s="241"/>
      <c r="B4" s="241"/>
      <c r="C4" s="241"/>
      <c r="D4" s="67"/>
      <c r="E4" s="67"/>
      <c r="F4" s="67"/>
      <c r="G4" s="67"/>
      <c r="H4" s="67"/>
      <c r="I4" s="67"/>
      <c r="J4" s="67"/>
      <c r="K4" s="67"/>
      <c r="L4" s="67"/>
    </row>
    <row r="5" spans="1:14" ht="18" customHeight="1" thickBot="1" x14ac:dyDescent="0.25">
      <c r="A5" s="1092" t="s">
        <v>106</v>
      </c>
      <c r="B5" s="1093"/>
      <c r="C5" s="1093"/>
      <c r="D5" s="1093"/>
      <c r="E5" s="1325"/>
      <c r="F5" s="956" t="str">
        <f>'Plan Ejecución'!AE5</f>
        <v>Licitación Pública</v>
      </c>
      <c r="G5" s="957"/>
      <c r="H5" s="957"/>
      <c r="I5" s="957"/>
      <c r="J5" s="957"/>
      <c r="K5" s="957"/>
      <c r="L5" s="958"/>
    </row>
    <row r="6" spans="1:14" ht="37.5" customHeight="1" thickBot="1" x14ac:dyDescent="0.25">
      <c r="A6" s="1092" t="s">
        <v>108</v>
      </c>
      <c r="B6" s="1093"/>
      <c r="C6" s="1093"/>
      <c r="D6" s="1093"/>
      <c r="E6" s="1325"/>
      <c r="F6" s="959" t="str">
        <f>'Plan Ejecución'!AE6</f>
        <v>“Adquirir el Programa de Seguros para la protección de los bienes e intereses, según los ramos y coberturas que requiera CORANTIOQUIA”.</v>
      </c>
      <c r="G6" s="960"/>
      <c r="H6" s="960"/>
      <c r="I6" s="960"/>
      <c r="J6" s="960"/>
      <c r="K6" s="960"/>
      <c r="L6" s="961"/>
    </row>
    <row r="7" spans="1:14" s="67" customFormat="1" ht="18" customHeight="1" thickBot="1" x14ac:dyDescent="0.25">
      <c r="A7" s="61"/>
      <c r="B7" s="61"/>
      <c r="C7" s="61"/>
      <c r="D7" s="61"/>
      <c r="E7" s="61"/>
      <c r="F7" s="71"/>
      <c r="G7" s="71"/>
      <c r="H7" s="71"/>
      <c r="I7" s="158"/>
      <c r="J7" s="158"/>
      <c r="K7" s="158"/>
      <c r="L7" s="158"/>
    </row>
    <row r="8" spans="1:14" s="67" customFormat="1" ht="18" customHeight="1" thickBot="1" x14ac:dyDescent="0.25">
      <c r="A8" s="1093" t="s">
        <v>428</v>
      </c>
      <c r="B8" s="1093"/>
      <c r="C8" s="1093"/>
      <c r="D8" s="1093"/>
      <c r="E8" s="1093"/>
      <c r="F8" s="1094"/>
      <c r="G8" s="1095"/>
      <c r="H8" s="1095"/>
      <c r="I8" s="1095"/>
      <c r="J8" s="1095"/>
      <c r="K8" s="1095"/>
      <c r="L8" s="1096"/>
    </row>
    <row r="9" spans="1:14" s="67" customFormat="1" ht="18" customHeight="1" thickBot="1" x14ac:dyDescent="0.25">
      <c r="A9" s="1093" t="s">
        <v>429</v>
      </c>
      <c r="B9" s="1093"/>
      <c r="C9" s="1093"/>
      <c r="D9" s="1093"/>
      <c r="E9" s="1093"/>
      <c r="F9" s="1094"/>
      <c r="G9" s="1095"/>
      <c r="H9" s="1095"/>
      <c r="I9" s="1095"/>
      <c r="J9" s="1095"/>
      <c r="K9" s="1095"/>
      <c r="L9" s="1096"/>
    </row>
    <row r="10" spans="1:14" ht="45" customHeight="1" thickBot="1" x14ac:dyDescent="0.25">
      <c r="A10" s="1093" t="s">
        <v>430</v>
      </c>
      <c r="B10" s="1093"/>
      <c r="C10" s="1093"/>
      <c r="D10" s="1093"/>
      <c r="E10" s="1093"/>
      <c r="F10" s="1094"/>
      <c r="G10" s="1095"/>
      <c r="H10" s="1095"/>
      <c r="I10" s="1095"/>
      <c r="J10" s="1095"/>
      <c r="K10" s="1095"/>
      <c r="L10" s="1096"/>
    </row>
    <row r="11" spans="1:14" ht="18" customHeight="1" x14ac:dyDescent="0.2">
      <c r="A11" s="159"/>
      <c r="B11" s="160"/>
      <c r="C11" s="160"/>
      <c r="D11" s="160"/>
      <c r="E11" s="160"/>
      <c r="F11" s="160"/>
      <c r="G11" s="161"/>
      <c r="H11" s="162"/>
    </row>
    <row r="12" spans="1:14" ht="18" customHeight="1" x14ac:dyDescent="0.2">
      <c r="A12" s="1317" t="s">
        <v>603</v>
      </c>
      <c r="B12" s="1317"/>
      <c r="C12" s="1317"/>
      <c r="D12" s="1317"/>
      <c r="E12" s="1317"/>
      <c r="F12" s="1317"/>
      <c r="G12" s="1317"/>
      <c r="H12" s="1317"/>
      <c r="I12" s="1318" t="s">
        <v>403</v>
      </c>
      <c r="J12" s="1318"/>
      <c r="K12" s="1318"/>
      <c r="L12" s="1318"/>
    </row>
    <row r="13" spans="1:14" ht="18" customHeight="1" x14ac:dyDescent="0.2">
      <c r="A13" s="1317"/>
      <c r="B13" s="1317"/>
      <c r="C13" s="1317"/>
      <c r="D13" s="1317"/>
      <c r="E13" s="1317"/>
      <c r="F13" s="1317"/>
      <c r="G13" s="1317"/>
      <c r="H13" s="1317"/>
      <c r="I13" s="1318" t="s">
        <v>405</v>
      </c>
      <c r="J13" s="1318"/>
      <c r="K13" s="1318" t="s">
        <v>406</v>
      </c>
      <c r="L13" s="1318"/>
    </row>
    <row r="14" spans="1:14" ht="31.5" customHeight="1" x14ac:dyDescent="0.2">
      <c r="A14" s="100" t="s">
        <v>370</v>
      </c>
      <c r="B14" s="100" t="s">
        <v>371</v>
      </c>
      <c r="C14" s="100" t="s">
        <v>372</v>
      </c>
      <c r="D14" s="100" t="s">
        <v>119</v>
      </c>
      <c r="E14" s="100" t="s">
        <v>373</v>
      </c>
      <c r="F14" s="164" t="s">
        <v>374</v>
      </c>
      <c r="G14" s="100" t="s">
        <v>375</v>
      </c>
      <c r="H14" s="165" t="s">
        <v>432</v>
      </c>
      <c r="I14" s="166" t="s">
        <v>407</v>
      </c>
      <c r="J14" s="166" t="s">
        <v>408</v>
      </c>
      <c r="K14" s="166" t="s">
        <v>407</v>
      </c>
      <c r="L14" s="166" t="s">
        <v>408</v>
      </c>
    </row>
    <row r="15" spans="1:14" ht="18" customHeight="1" x14ac:dyDescent="0.2">
      <c r="A15" s="1328" t="s">
        <v>368</v>
      </c>
      <c r="B15" s="1329"/>
      <c r="C15" s="1329"/>
      <c r="D15" s="1329"/>
      <c r="E15" s="1329"/>
      <c r="F15" s="1329"/>
      <c r="G15" s="1329"/>
      <c r="H15" s="1329"/>
      <c r="I15" s="1329"/>
      <c r="J15" s="1329"/>
      <c r="K15" s="1329"/>
      <c r="L15" s="1330"/>
    </row>
    <row r="16" spans="1:14" ht="18" customHeight="1" x14ac:dyDescent="0.2">
      <c r="A16" s="173"/>
      <c r="B16" s="173"/>
      <c r="C16" s="169"/>
      <c r="D16" s="173"/>
      <c r="E16" s="173"/>
      <c r="F16" s="170"/>
      <c r="G16" s="194"/>
      <c r="H16" s="170">
        <f>B16*C16*E16*F16*G16</f>
        <v>0</v>
      </c>
      <c r="I16" s="167"/>
      <c r="J16" s="93"/>
      <c r="K16" s="93"/>
      <c r="L16" s="93"/>
    </row>
    <row r="17" spans="1:12" ht="18" customHeight="1" x14ac:dyDescent="0.2">
      <c r="A17" s="173"/>
      <c r="B17" s="173"/>
      <c r="C17" s="169"/>
      <c r="D17" s="173"/>
      <c r="E17" s="173"/>
      <c r="F17" s="170"/>
      <c r="G17" s="194"/>
      <c r="H17" s="170">
        <f t="shared" ref="H17:H40" si="0">B17*C17*E17*F17*G17</f>
        <v>0</v>
      </c>
      <c r="I17" s="167"/>
      <c r="J17" s="93"/>
      <c r="K17" s="93"/>
      <c r="L17" s="93"/>
    </row>
    <row r="18" spans="1:12" ht="18" customHeight="1" x14ac:dyDescent="0.2">
      <c r="A18" s="168"/>
      <c r="B18" s="168"/>
      <c r="C18" s="169"/>
      <c r="D18" s="168"/>
      <c r="E18" s="168"/>
      <c r="F18" s="170"/>
      <c r="G18" s="171"/>
      <c r="H18" s="170">
        <f t="shared" si="0"/>
        <v>0</v>
      </c>
      <c r="I18" s="167"/>
      <c r="J18" s="93"/>
      <c r="K18" s="93"/>
      <c r="L18" s="93"/>
    </row>
    <row r="19" spans="1:12" ht="18" hidden="1" customHeight="1" x14ac:dyDescent="0.2">
      <c r="A19" s="168"/>
      <c r="B19" s="168"/>
      <c r="C19" s="169"/>
      <c r="D19" s="168"/>
      <c r="E19" s="168"/>
      <c r="F19" s="170"/>
      <c r="G19" s="171"/>
      <c r="H19" s="170">
        <f t="shared" si="0"/>
        <v>0</v>
      </c>
      <c r="I19" s="93"/>
      <c r="J19" s="93"/>
      <c r="K19" s="93"/>
      <c r="L19" s="93"/>
    </row>
    <row r="20" spans="1:12" ht="18" hidden="1" customHeight="1" x14ac:dyDescent="0.2">
      <c r="A20" s="168"/>
      <c r="B20" s="168"/>
      <c r="C20" s="169"/>
      <c r="D20" s="168"/>
      <c r="E20" s="168"/>
      <c r="F20" s="170"/>
      <c r="G20" s="171"/>
      <c r="H20" s="170">
        <f t="shared" ref="H20:H32" si="1">B20*C20*E20*F20*G20</f>
        <v>0</v>
      </c>
      <c r="I20" s="93"/>
      <c r="J20" s="93"/>
      <c r="K20" s="93"/>
      <c r="L20" s="93"/>
    </row>
    <row r="21" spans="1:12" ht="18" hidden="1" customHeight="1" x14ac:dyDescent="0.2">
      <c r="A21" s="168"/>
      <c r="B21" s="168"/>
      <c r="C21" s="169"/>
      <c r="D21" s="168"/>
      <c r="E21" s="168"/>
      <c r="F21" s="170"/>
      <c r="G21" s="171"/>
      <c r="H21" s="170">
        <f t="shared" si="1"/>
        <v>0</v>
      </c>
      <c r="I21" s="93"/>
      <c r="J21" s="93"/>
      <c r="K21" s="93"/>
      <c r="L21" s="93"/>
    </row>
    <row r="22" spans="1:12" ht="18" hidden="1" customHeight="1" x14ac:dyDescent="0.2">
      <c r="A22" s="168"/>
      <c r="B22" s="168"/>
      <c r="C22" s="169"/>
      <c r="D22" s="168"/>
      <c r="E22" s="168"/>
      <c r="F22" s="170"/>
      <c r="G22" s="171"/>
      <c r="H22" s="170">
        <f t="shared" si="1"/>
        <v>0</v>
      </c>
      <c r="I22" s="93"/>
      <c r="J22" s="93"/>
      <c r="K22" s="93"/>
      <c r="L22" s="93"/>
    </row>
    <row r="23" spans="1:12" ht="18" hidden="1" customHeight="1" x14ac:dyDescent="0.2">
      <c r="A23" s="168"/>
      <c r="B23" s="168"/>
      <c r="C23" s="169"/>
      <c r="D23" s="168"/>
      <c r="E23" s="168"/>
      <c r="F23" s="170"/>
      <c r="G23" s="171"/>
      <c r="H23" s="170">
        <f t="shared" si="1"/>
        <v>0</v>
      </c>
      <c r="I23" s="93"/>
      <c r="J23" s="93"/>
      <c r="K23" s="93"/>
      <c r="L23" s="93"/>
    </row>
    <row r="24" spans="1:12" ht="18" hidden="1" customHeight="1" x14ac:dyDescent="0.2">
      <c r="A24" s="168"/>
      <c r="B24" s="168"/>
      <c r="C24" s="169"/>
      <c r="D24" s="168"/>
      <c r="E24" s="168"/>
      <c r="F24" s="170"/>
      <c r="G24" s="171"/>
      <c r="H24" s="170">
        <f t="shared" si="1"/>
        <v>0</v>
      </c>
      <c r="I24" s="93"/>
      <c r="J24" s="93"/>
      <c r="K24" s="93"/>
      <c r="L24" s="93"/>
    </row>
    <row r="25" spans="1:12" ht="18" hidden="1" customHeight="1" x14ac:dyDescent="0.2">
      <c r="A25" s="168"/>
      <c r="B25" s="168"/>
      <c r="C25" s="169"/>
      <c r="D25" s="168"/>
      <c r="E25" s="168"/>
      <c r="F25" s="170"/>
      <c r="G25" s="171"/>
      <c r="H25" s="170">
        <f t="shared" si="1"/>
        <v>0</v>
      </c>
      <c r="I25" s="93"/>
      <c r="J25" s="93"/>
      <c r="K25" s="93"/>
      <c r="L25" s="93"/>
    </row>
    <row r="26" spans="1:12" ht="18" hidden="1" customHeight="1" x14ac:dyDescent="0.2">
      <c r="A26" s="168"/>
      <c r="B26" s="168"/>
      <c r="C26" s="169"/>
      <c r="D26" s="168"/>
      <c r="E26" s="168"/>
      <c r="F26" s="170"/>
      <c r="G26" s="171"/>
      <c r="H26" s="170">
        <f t="shared" si="1"/>
        <v>0</v>
      </c>
      <c r="I26" s="93"/>
      <c r="J26" s="93"/>
      <c r="K26" s="93"/>
      <c r="L26" s="93"/>
    </row>
    <row r="27" spans="1:12" ht="18" hidden="1" customHeight="1" x14ac:dyDescent="0.2">
      <c r="A27" s="168"/>
      <c r="B27" s="168"/>
      <c r="C27" s="169"/>
      <c r="D27" s="168"/>
      <c r="E27" s="168"/>
      <c r="F27" s="170"/>
      <c r="G27" s="171"/>
      <c r="H27" s="170">
        <f t="shared" si="1"/>
        <v>0</v>
      </c>
      <c r="I27" s="93"/>
      <c r="J27" s="93"/>
      <c r="K27" s="93"/>
      <c r="L27" s="93"/>
    </row>
    <row r="28" spans="1:12" ht="18" hidden="1" customHeight="1" x14ac:dyDescent="0.2">
      <c r="A28" s="168"/>
      <c r="B28" s="168"/>
      <c r="C28" s="169"/>
      <c r="D28" s="168"/>
      <c r="E28" s="168"/>
      <c r="F28" s="170"/>
      <c r="G28" s="171"/>
      <c r="H28" s="170">
        <f t="shared" si="1"/>
        <v>0</v>
      </c>
      <c r="I28" s="93"/>
      <c r="J28" s="93"/>
      <c r="K28" s="93"/>
      <c r="L28" s="93"/>
    </row>
    <row r="29" spans="1:12" ht="18" hidden="1" customHeight="1" x14ac:dyDescent="0.2">
      <c r="A29" s="168"/>
      <c r="B29" s="168"/>
      <c r="C29" s="169"/>
      <c r="D29" s="168"/>
      <c r="E29" s="168"/>
      <c r="F29" s="170"/>
      <c r="G29" s="171"/>
      <c r="H29" s="170">
        <f t="shared" si="1"/>
        <v>0</v>
      </c>
      <c r="I29" s="93"/>
      <c r="J29" s="93"/>
      <c r="K29" s="93"/>
      <c r="L29" s="93"/>
    </row>
    <row r="30" spans="1:12" ht="18" hidden="1" customHeight="1" x14ac:dyDescent="0.2">
      <c r="A30" s="168"/>
      <c r="B30" s="168"/>
      <c r="C30" s="169"/>
      <c r="D30" s="168"/>
      <c r="E30" s="168"/>
      <c r="F30" s="170"/>
      <c r="G30" s="171"/>
      <c r="H30" s="170">
        <f t="shared" si="1"/>
        <v>0</v>
      </c>
      <c r="I30" s="93"/>
      <c r="J30" s="93"/>
      <c r="K30" s="93"/>
      <c r="L30" s="93"/>
    </row>
    <row r="31" spans="1:12" ht="18" hidden="1" customHeight="1" x14ac:dyDescent="0.2">
      <c r="A31" s="168"/>
      <c r="B31" s="168"/>
      <c r="C31" s="169"/>
      <c r="D31" s="168"/>
      <c r="E31" s="168"/>
      <c r="F31" s="170"/>
      <c r="G31" s="171"/>
      <c r="H31" s="170">
        <f t="shared" si="1"/>
        <v>0</v>
      </c>
      <c r="I31" s="93"/>
      <c r="J31" s="93"/>
      <c r="K31" s="93"/>
      <c r="L31" s="93"/>
    </row>
    <row r="32" spans="1:12" ht="18" hidden="1" customHeight="1" x14ac:dyDescent="0.2">
      <c r="A32" s="168"/>
      <c r="B32" s="168"/>
      <c r="C32" s="169"/>
      <c r="D32" s="168"/>
      <c r="E32" s="168"/>
      <c r="F32" s="170"/>
      <c r="G32" s="171"/>
      <c r="H32" s="170">
        <f t="shared" si="1"/>
        <v>0</v>
      </c>
      <c r="I32" s="93"/>
      <c r="J32" s="93"/>
      <c r="K32" s="93"/>
      <c r="L32" s="93"/>
    </row>
    <row r="33" spans="1:12" ht="18" hidden="1" customHeight="1" x14ac:dyDescent="0.2">
      <c r="A33" s="168"/>
      <c r="B33" s="168"/>
      <c r="C33" s="169"/>
      <c r="D33" s="168"/>
      <c r="E33" s="168"/>
      <c r="F33" s="170"/>
      <c r="G33" s="171"/>
      <c r="H33" s="170">
        <f t="shared" si="0"/>
        <v>0</v>
      </c>
      <c r="I33" s="93"/>
      <c r="J33" s="93"/>
      <c r="K33" s="93"/>
      <c r="L33" s="93"/>
    </row>
    <row r="34" spans="1:12" ht="18" hidden="1" customHeight="1" x14ac:dyDescent="0.2">
      <c r="A34" s="168"/>
      <c r="B34" s="168"/>
      <c r="C34" s="169"/>
      <c r="D34" s="168"/>
      <c r="E34" s="168"/>
      <c r="F34" s="170"/>
      <c r="G34" s="171"/>
      <c r="H34" s="170">
        <f t="shared" si="0"/>
        <v>0</v>
      </c>
      <c r="I34" s="93"/>
      <c r="J34" s="93"/>
      <c r="K34" s="93"/>
      <c r="L34" s="93"/>
    </row>
    <row r="35" spans="1:12" ht="18" hidden="1" customHeight="1" x14ac:dyDescent="0.2">
      <c r="A35" s="168"/>
      <c r="B35" s="168"/>
      <c r="C35" s="169"/>
      <c r="D35" s="168"/>
      <c r="E35" s="168"/>
      <c r="F35" s="170"/>
      <c r="G35" s="171"/>
      <c r="H35" s="170">
        <f>B35*C35*E35*F35*G35</f>
        <v>0</v>
      </c>
      <c r="I35" s="93"/>
      <c r="J35" s="93"/>
      <c r="K35" s="93"/>
      <c r="L35" s="93"/>
    </row>
    <row r="36" spans="1:12" ht="18" hidden="1" customHeight="1" x14ac:dyDescent="0.2">
      <c r="A36" s="168"/>
      <c r="B36" s="168"/>
      <c r="C36" s="169"/>
      <c r="D36" s="168"/>
      <c r="E36" s="168"/>
      <c r="F36" s="170"/>
      <c r="G36" s="171"/>
      <c r="H36" s="170">
        <f t="shared" si="0"/>
        <v>0</v>
      </c>
      <c r="I36" s="93"/>
      <c r="J36" s="93"/>
      <c r="K36" s="93"/>
      <c r="L36" s="93"/>
    </row>
    <row r="37" spans="1:12" ht="18" hidden="1" customHeight="1" x14ac:dyDescent="0.2">
      <c r="A37" s="168"/>
      <c r="B37" s="168"/>
      <c r="C37" s="169"/>
      <c r="D37" s="168"/>
      <c r="E37" s="168"/>
      <c r="F37" s="170"/>
      <c r="G37" s="171"/>
      <c r="H37" s="170">
        <f t="shared" si="0"/>
        <v>0</v>
      </c>
      <c r="I37" s="93"/>
      <c r="J37" s="93"/>
      <c r="K37" s="93"/>
      <c r="L37" s="93"/>
    </row>
    <row r="38" spans="1:12" ht="18" hidden="1" customHeight="1" x14ac:dyDescent="0.2">
      <c r="A38" s="168"/>
      <c r="B38" s="168"/>
      <c r="C38" s="169"/>
      <c r="D38" s="168"/>
      <c r="E38" s="168"/>
      <c r="F38" s="170"/>
      <c r="G38" s="171"/>
      <c r="H38" s="170">
        <f t="shared" si="0"/>
        <v>0</v>
      </c>
      <c r="I38" s="93"/>
      <c r="J38" s="93"/>
      <c r="K38" s="93"/>
      <c r="L38" s="93"/>
    </row>
    <row r="39" spans="1:12" ht="18" hidden="1" customHeight="1" x14ac:dyDescent="0.2">
      <c r="A39" s="168"/>
      <c r="B39" s="168"/>
      <c r="C39" s="169"/>
      <c r="D39" s="168"/>
      <c r="E39" s="168"/>
      <c r="F39" s="170"/>
      <c r="G39" s="168"/>
      <c r="H39" s="170">
        <f t="shared" si="0"/>
        <v>0</v>
      </c>
      <c r="I39" s="167"/>
      <c r="J39" s="93"/>
      <c r="K39" s="93"/>
      <c r="L39" s="93"/>
    </row>
    <row r="40" spans="1:12" ht="18" hidden="1" customHeight="1" x14ac:dyDescent="0.2">
      <c r="A40" s="168"/>
      <c r="B40" s="168"/>
      <c r="C40" s="169"/>
      <c r="D40" s="168"/>
      <c r="E40" s="168"/>
      <c r="F40" s="170"/>
      <c r="G40" s="168"/>
      <c r="H40" s="170">
        <f t="shared" si="0"/>
        <v>0</v>
      </c>
      <c r="I40" s="167"/>
      <c r="J40" s="93"/>
      <c r="K40" s="93"/>
      <c r="L40" s="93"/>
    </row>
    <row r="41" spans="1:12" ht="18" customHeight="1" x14ac:dyDescent="0.2">
      <c r="A41" s="1315" t="s">
        <v>604</v>
      </c>
      <c r="B41" s="1315"/>
      <c r="C41" s="1315"/>
      <c r="D41" s="1315"/>
      <c r="E41" s="1315"/>
      <c r="F41" s="1315"/>
      <c r="G41" s="1315"/>
      <c r="H41" s="172">
        <f>SUM(H16:H40)</f>
        <v>0</v>
      </c>
      <c r="I41" s="172">
        <f>SUM(I16:I40)</f>
        <v>0</v>
      </c>
      <c r="J41" s="172">
        <f t="shared" ref="J41:L41" si="2">SUM(J16:J40)</f>
        <v>0</v>
      </c>
      <c r="K41" s="172">
        <f>SUM(K16:K40)</f>
        <v>0</v>
      </c>
      <c r="L41" s="172">
        <f t="shared" si="2"/>
        <v>0</v>
      </c>
    </row>
    <row r="42" spans="1:12" ht="27" customHeight="1" x14ac:dyDescent="0.2">
      <c r="A42" s="1147" t="s">
        <v>370</v>
      </c>
      <c r="B42" s="1147"/>
      <c r="C42" s="1147"/>
      <c r="D42" s="108" t="s">
        <v>119</v>
      </c>
      <c r="E42" s="108" t="s">
        <v>373</v>
      </c>
      <c r="F42" s="1147" t="s">
        <v>384</v>
      </c>
      <c r="G42" s="1147"/>
      <c r="H42" s="165" t="s">
        <v>605</v>
      </c>
      <c r="I42" s="166" t="s">
        <v>407</v>
      </c>
      <c r="J42" s="166" t="s">
        <v>408</v>
      </c>
      <c r="K42" s="166" t="s">
        <v>407</v>
      </c>
      <c r="L42" s="166" t="s">
        <v>408</v>
      </c>
    </row>
    <row r="43" spans="1:12" ht="18" customHeight="1" x14ac:dyDescent="0.2">
      <c r="A43" s="1328" t="s">
        <v>606</v>
      </c>
      <c r="B43" s="1329"/>
      <c r="C43" s="1329"/>
      <c r="D43" s="1329"/>
      <c r="E43" s="1329"/>
      <c r="F43" s="1329"/>
      <c r="G43" s="1329"/>
      <c r="H43" s="1329"/>
      <c r="I43" s="1329"/>
      <c r="J43" s="1329"/>
      <c r="K43" s="1329"/>
      <c r="L43" s="1330"/>
    </row>
    <row r="44" spans="1:12" ht="18" customHeight="1" x14ac:dyDescent="0.2">
      <c r="A44" s="1313"/>
      <c r="B44" s="1313"/>
      <c r="C44" s="1313"/>
      <c r="D44" s="173"/>
      <c r="E44" s="173"/>
      <c r="F44" s="1314"/>
      <c r="G44" s="1314"/>
      <c r="H44" s="174">
        <f>E44*F44</f>
        <v>0</v>
      </c>
      <c r="I44" s="167"/>
      <c r="J44" s="93"/>
      <c r="K44" s="93"/>
      <c r="L44" s="93"/>
    </row>
    <row r="45" spans="1:12" ht="18" customHeight="1" x14ac:dyDescent="0.2">
      <c r="A45" s="1313"/>
      <c r="B45" s="1313"/>
      <c r="C45" s="1313"/>
      <c r="D45" s="173"/>
      <c r="E45" s="173"/>
      <c r="F45" s="1314"/>
      <c r="G45" s="1314"/>
      <c r="H45" s="174">
        <f t="shared" ref="H45:H116" si="3">E45*F45</f>
        <v>0</v>
      </c>
      <c r="I45" s="167"/>
      <c r="J45" s="93"/>
      <c r="K45" s="93"/>
      <c r="L45" s="93"/>
    </row>
    <row r="46" spans="1:12" ht="18" customHeight="1" x14ac:dyDescent="0.2">
      <c r="A46" s="1313"/>
      <c r="B46" s="1313"/>
      <c r="C46" s="1313"/>
      <c r="D46" s="173"/>
      <c r="E46" s="173"/>
      <c r="F46" s="1314"/>
      <c r="G46" s="1314"/>
      <c r="H46" s="174">
        <f t="shared" ref="H46:H105" si="4">E46*F46</f>
        <v>0</v>
      </c>
      <c r="I46" s="167"/>
      <c r="J46" s="93"/>
      <c r="K46" s="93"/>
      <c r="L46" s="93"/>
    </row>
    <row r="47" spans="1:12" ht="18" hidden="1" customHeight="1" x14ac:dyDescent="0.2">
      <c r="A47" s="1313"/>
      <c r="B47" s="1313"/>
      <c r="C47" s="1313"/>
      <c r="D47" s="173"/>
      <c r="E47" s="173"/>
      <c r="F47" s="1314"/>
      <c r="G47" s="1314"/>
      <c r="H47" s="174">
        <f t="shared" si="4"/>
        <v>0</v>
      </c>
      <c r="I47" s="167"/>
      <c r="J47" s="93"/>
      <c r="K47" s="93"/>
      <c r="L47" s="93"/>
    </row>
    <row r="48" spans="1:12" ht="18" hidden="1" customHeight="1" x14ac:dyDescent="0.2">
      <c r="A48" s="1313"/>
      <c r="B48" s="1313"/>
      <c r="C48" s="1313"/>
      <c r="D48" s="173"/>
      <c r="E48" s="173"/>
      <c r="F48" s="1314"/>
      <c r="G48" s="1314"/>
      <c r="H48" s="174">
        <f t="shared" si="4"/>
        <v>0</v>
      </c>
      <c r="I48" s="167"/>
      <c r="J48" s="93"/>
      <c r="K48" s="93"/>
      <c r="L48" s="93"/>
    </row>
    <row r="49" spans="1:12" ht="18" hidden="1" customHeight="1" x14ac:dyDescent="0.2">
      <c r="A49" s="1313"/>
      <c r="B49" s="1313"/>
      <c r="C49" s="1313"/>
      <c r="D49" s="173"/>
      <c r="E49" s="173"/>
      <c r="F49" s="1314"/>
      <c r="G49" s="1314"/>
      <c r="H49" s="174">
        <f t="shared" si="4"/>
        <v>0</v>
      </c>
      <c r="I49" s="167"/>
      <c r="J49" s="93"/>
      <c r="K49" s="93"/>
      <c r="L49" s="93"/>
    </row>
    <row r="50" spans="1:12" ht="18" hidden="1" customHeight="1" x14ac:dyDescent="0.2">
      <c r="A50" s="1313"/>
      <c r="B50" s="1313"/>
      <c r="C50" s="1313"/>
      <c r="D50" s="173"/>
      <c r="E50" s="173"/>
      <c r="F50" s="1314"/>
      <c r="G50" s="1314"/>
      <c r="H50" s="174">
        <f t="shared" si="4"/>
        <v>0</v>
      </c>
      <c r="I50" s="167"/>
      <c r="J50" s="93"/>
      <c r="K50" s="93"/>
      <c r="L50" s="93"/>
    </row>
    <row r="51" spans="1:12" ht="18" hidden="1" customHeight="1" x14ac:dyDescent="0.2">
      <c r="A51" s="1313"/>
      <c r="B51" s="1313"/>
      <c r="C51" s="1313"/>
      <c r="D51" s="173"/>
      <c r="E51" s="173"/>
      <c r="F51" s="1314"/>
      <c r="G51" s="1314"/>
      <c r="H51" s="174">
        <f t="shared" si="4"/>
        <v>0</v>
      </c>
      <c r="I51" s="167"/>
      <c r="J51" s="93"/>
      <c r="K51" s="93"/>
      <c r="L51" s="93"/>
    </row>
    <row r="52" spans="1:12" ht="18" hidden="1" customHeight="1" x14ac:dyDescent="0.2">
      <c r="A52" s="1313"/>
      <c r="B52" s="1313"/>
      <c r="C52" s="1313"/>
      <c r="D52" s="173"/>
      <c r="E52" s="173"/>
      <c r="F52" s="1314"/>
      <c r="G52" s="1314"/>
      <c r="H52" s="174">
        <f t="shared" si="4"/>
        <v>0</v>
      </c>
      <c r="I52" s="167"/>
      <c r="J52" s="93"/>
      <c r="K52" s="93"/>
      <c r="L52" s="93"/>
    </row>
    <row r="53" spans="1:12" ht="18" hidden="1" customHeight="1" x14ac:dyDescent="0.2">
      <c r="A53" s="1313"/>
      <c r="B53" s="1313"/>
      <c r="C53" s="1313"/>
      <c r="D53" s="173"/>
      <c r="E53" s="173"/>
      <c r="F53" s="1314"/>
      <c r="G53" s="1314"/>
      <c r="H53" s="174">
        <f t="shared" si="4"/>
        <v>0</v>
      </c>
      <c r="I53" s="167"/>
      <c r="J53" s="93"/>
      <c r="K53" s="93"/>
      <c r="L53" s="93"/>
    </row>
    <row r="54" spans="1:12" ht="18" hidden="1" customHeight="1" x14ac:dyDescent="0.2">
      <c r="A54" s="1313"/>
      <c r="B54" s="1313"/>
      <c r="C54" s="1313"/>
      <c r="D54" s="173"/>
      <c r="E54" s="173"/>
      <c r="F54" s="1314"/>
      <c r="G54" s="1314"/>
      <c r="H54" s="174">
        <f t="shared" si="4"/>
        <v>0</v>
      </c>
      <c r="I54" s="167"/>
      <c r="J54" s="93"/>
      <c r="K54" s="93"/>
      <c r="L54" s="93"/>
    </row>
    <row r="55" spans="1:12" ht="18" hidden="1" customHeight="1" x14ac:dyDescent="0.2">
      <c r="A55" s="1313"/>
      <c r="B55" s="1313"/>
      <c r="C55" s="1313"/>
      <c r="D55" s="173"/>
      <c r="E55" s="173"/>
      <c r="F55" s="1314"/>
      <c r="G55" s="1314"/>
      <c r="H55" s="174">
        <f t="shared" si="4"/>
        <v>0</v>
      </c>
      <c r="I55" s="167"/>
      <c r="J55" s="93"/>
      <c r="K55" s="93"/>
      <c r="L55" s="93"/>
    </row>
    <row r="56" spans="1:12" ht="18" hidden="1" customHeight="1" x14ac:dyDescent="0.2">
      <c r="A56" s="1313"/>
      <c r="B56" s="1313"/>
      <c r="C56" s="1313"/>
      <c r="D56" s="173"/>
      <c r="E56" s="173"/>
      <c r="F56" s="1314"/>
      <c r="G56" s="1314"/>
      <c r="H56" s="174">
        <f t="shared" si="4"/>
        <v>0</v>
      </c>
      <c r="I56" s="167"/>
      <c r="J56" s="93"/>
      <c r="K56" s="93"/>
      <c r="L56" s="93"/>
    </row>
    <row r="57" spans="1:12" ht="18" hidden="1" customHeight="1" x14ac:dyDescent="0.2">
      <c r="A57" s="1313"/>
      <c r="B57" s="1313"/>
      <c r="C57" s="1313"/>
      <c r="D57" s="173"/>
      <c r="E57" s="173"/>
      <c r="F57" s="1314"/>
      <c r="G57" s="1314"/>
      <c r="H57" s="174">
        <f t="shared" si="4"/>
        <v>0</v>
      </c>
      <c r="I57" s="167"/>
      <c r="J57" s="93"/>
      <c r="K57" s="93"/>
      <c r="L57" s="93"/>
    </row>
    <row r="58" spans="1:12" ht="18" hidden="1" customHeight="1" x14ac:dyDescent="0.2">
      <c r="A58" s="1313"/>
      <c r="B58" s="1313"/>
      <c r="C58" s="1313"/>
      <c r="D58" s="173"/>
      <c r="E58" s="173"/>
      <c r="F58" s="1314"/>
      <c r="G58" s="1314"/>
      <c r="H58" s="174">
        <f t="shared" si="4"/>
        <v>0</v>
      </c>
      <c r="I58" s="167"/>
      <c r="J58" s="93"/>
      <c r="K58" s="93"/>
      <c r="L58" s="93"/>
    </row>
    <row r="59" spans="1:12" ht="18" hidden="1" customHeight="1" x14ac:dyDescent="0.2">
      <c r="A59" s="1313"/>
      <c r="B59" s="1313"/>
      <c r="C59" s="1313"/>
      <c r="D59" s="173"/>
      <c r="E59" s="173"/>
      <c r="F59" s="1314"/>
      <c r="G59" s="1314"/>
      <c r="H59" s="174">
        <f t="shared" si="4"/>
        <v>0</v>
      </c>
      <c r="I59" s="167"/>
      <c r="J59" s="93"/>
      <c r="K59" s="93"/>
      <c r="L59" s="93"/>
    </row>
    <row r="60" spans="1:12" ht="18" hidden="1" customHeight="1" x14ac:dyDescent="0.2">
      <c r="A60" s="1313"/>
      <c r="B60" s="1313"/>
      <c r="C60" s="1313"/>
      <c r="D60" s="173"/>
      <c r="E60" s="173"/>
      <c r="F60" s="1314"/>
      <c r="G60" s="1314"/>
      <c r="H60" s="174">
        <f t="shared" si="4"/>
        <v>0</v>
      </c>
      <c r="I60" s="167"/>
      <c r="J60" s="93"/>
      <c r="K60" s="93"/>
      <c r="L60" s="93"/>
    </row>
    <row r="61" spans="1:12" ht="18" hidden="1" customHeight="1" x14ac:dyDescent="0.2">
      <c r="A61" s="1313"/>
      <c r="B61" s="1313"/>
      <c r="C61" s="1313"/>
      <c r="D61" s="173"/>
      <c r="E61" s="173"/>
      <c r="F61" s="1314"/>
      <c r="G61" s="1314"/>
      <c r="H61" s="174">
        <f t="shared" si="4"/>
        <v>0</v>
      </c>
      <c r="I61" s="167"/>
      <c r="J61" s="93"/>
      <c r="K61" s="93"/>
      <c r="L61" s="93"/>
    </row>
    <row r="62" spans="1:12" ht="18" hidden="1" customHeight="1" x14ac:dyDescent="0.2">
      <c r="A62" s="1313"/>
      <c r="B62" s="1313"/>
      <c r="C62" s="1313"/>
      <c r="D62" s="173"/>
      <c r="E62" s="173"/>
      <c r="F62" s="1314"/>
      <c r="G62" s="1314"/>
      <c r="H62" s="174">
        <f t="shared" si="4"/>
        <v>0</v>
      </c>
      <c r="I62" s="167"/>
      <c r="J62" s="93"/>
      <c r="K62" s="93"/>
      <c r="L62" s="93"/>
    </row>
    <row r="63" spans="1:12" ht="18" hidden="1" customHeight="1" x14ac:dyDescent="0.2">
      <c r="A63" s="1313"/>
      <c r="B63" s="1313"/>
      <c r="C63" s="1313"/>
      <c r="D63" s="173"/>
      <c r="E63" s="173"/>
      <c r="F63" s="1314"/>
      <c r="G63" s="1314"/>
      <c r="H63" s="174">
        <f t="shared" si="4"/>
        <v>0</v>
      </c>
      <c r="I63" s="167"/>
      <c r="J63" s="93"/>
      <c r="K63" s="93"/>
      <c r="L63" s="93"/>
    </row>
    <row r="64" spans="1:12" ht="18" hidden="1" customHeight="1" x14ac:dyDescent="0.2">
      <c r="A64" s="1313"/>
      <c r="B64" s="1313"/>
      <c r="C64" s="1313"/>
      <c r="D64" s="173"/>
      <c r="E64" s="173"/>
      <c r="F64" s="1314"/>
      <c r="G64" s="1314"/>
      <c r="H64" s="174">
        <f t="shared" si="4"/>
        <v>0</v>
      </c>
      <c r="I64" s="167"/>
      <c r="J64" s="93"/>
      <c r="K64" s="93"/>
      <c r="L64" s="93"/>
    </row>
    <row r="65" spans="1:12" ht="18" hidden="1" customHeight="1" x14ac:dyDescent="0.2">
      <c r="A65" s="1313"/>
      <c r="B65" s="1313"/>
      <c r="C65" s="1313"/>
      <c r="D65" s="173"/>
      <c r="E65" s="173"/>
      <c r="F65" s="1314"/>
      <c r="G65" s="1314"/>
      <c r="H65" s="174">
        <f t="shared" si="4"/>
        <v>0</v>
      </c>
      <c r="I65" s="167"/>
      <c r="J65" s="93"/>
      <c r="K65" s="93"/>
      <c r="L65" s="93"/>
    </row>
    <row r="66" spans="1:12" ht="18" hidden="1" customHeight="1" x14ac:dyDescent="0.2">
      <c r="A66" s="1313"/>
      <c r="B66" s="1313"/>
      <c r="C66" s="1313"/>
      <c r="D66" s="173"/>
      <c r="E66" s="173"/>
      <c r="F66" s="1314"/>
      <c r="G66" s="1314"/>
      <c r="H66" s="174">
        <f t="shared" si="4"/>
        <v>0</v>
      </c>
      <c r="I66" s="167"/>
      <c r="J66" s="93"/>
      <c r="K66" s="93"/>
      <c r="L66" s="93"/>
    </row>
    <row r="67" spans="1:12" ht="18" hidden="1" customHeight="1" x14ac:dyDescent="0.2">
      <c r="A67" s="1313"/>
      <c r="B67" s="1313"/>
      <c r="C67" s="1313"/>
      <c r="D67" s="173"/>
      <c r="E67" s="173"/>
      <c r="F67" s="1314"/>
      <c r="G67" s="1314"/>
      <c r="H67" s="174">
        <f t="shared" si="4"/>
        <v>0</v>
      </c>
      <c r="I67" s="167"/>
      <c r="J67" s="93"/>
      <c r="K67" s="93"/>
      <c r="L67" s="93"/>
    </row>
    <row r="68" spans="1:12" ht="18" hidden="1" customHeight="1" x14ac:dyDescent="0.2">
      <c r="A68" s="1313"/>
      <c r="B68" s="1313"/>
      <c r="C68" s="1313"/>
      <c r="D68" s="173"/>
      <c r="E68" s="173"/>
      <c r="F68" s="1314"/>
      <c r="G68" s="1314"/>
      <c r="H68" s="174">
        <f t="shared" si="4"/>
        <v>0</v>
      </c>
      <c r="I68" s="167"/>
      <c r="J68" s="93"/>
      <c r="K68" s="93"/>
      <c r="L68" s="93"/>
    </row>
    <row r="69" spans="1:12" ht="18" hidden="1" customHeight="1" x14ac:dyDescent="0.2">
      <c r="A69" s="1313"/>
      <c r="B69" s="1313"/>
      <c r="C69" s="1313"/>
      <c r="D69" s="173"/>
      <c r="E69" s="173"/>
      <c r="F69" s="1314"/>
      <c r="G69" s="1314"/>
      <c r="H69" s="174">
        <f t="shared" si="4"/>
        <v>0</v>
      </c>
      <c r="I69" s="167"/>
      <c r="J69" s="93"/>
      <c r="K69" s="93"/>
      <c r="L69" s="93"/>
    </row>
    <row r="70" spans="1:12" ht="18" hidden="1" customHeight="1" x14ac:dyDescent="0.2">
      <c r="A70" s="1313"/>
      <c r="B70" s="1313"/>
      <c r="C70" s="1313"/>
      <c r="D70" s="173"/>
      <c r="E70" s="173"/>
      <c r="F70" s="1314"/>
      <c r="G70" s="1314"/>
      <c r="H70" s="174">
        <f t="shared" si="4"/>
        <v>0</v>
      </c>
      <c r="I70" s="167"/>
      <c r="J70" s="93"/>
      <c r="K70" s="93"/>
      <c r="L70" s="93"/>
    </row>
    <row r="71" spans="1:12" ht="18" hidden="1" customHeight="1" x14ac:dyDescent="0.2">
      <c r="A71" s="1313"/>
      <c r="B71" s="1313"/>
      <c r="C71" s="1313"/>
      <c r="D71" s="173"/>
      <c r="E71" s="173"/>
      <c r="F71" s="1314"/>
      <c r="G71" s="1314"/>
      <c r="H71" s="174">
        <f t="shared" si="4"/>
        <v>0</v>
      </c>
      <c r="I71" s="167"/>
      <c r="J71" s="93"/>
      <c r="K71" s="93"/>
      <c r="L71" s="93"/>
    </row>
    <row r="72" spans="1:12" ht="18" hidden="1" customHeight="1" x14ac:dyDescent="0.2">
      <c r="A72" s="1313"/>
      <c r="B72" s="1313"/>
      <c r="C72" s="1313"/>
      <c r="D72" s="173"/>
      <c r="E72" s="173"/>
      <c r="F72" s="1314"/>
      <c r="G72" s="1314"/>
      <c r="H72" s="174">
        <f t="shared" si="4"/>
        <v>0</v>
      </c>
      <c r="I72" s="167"/>
      <c r="J72" s="93"/>
      <c r="K72" s="93"/>
      <c r="L72" s="93"/>
    </row>
    <row r="73" spans="1:12" ht="18" hidden="1" customHeight="1" x14ac:dyDescent="0.2">
      <c r="A73" s="1313"/>
      <c r="B73" s="1313"/>
      <c r="C73" s="1313"/>
      <c r="D73" s="173"/>
      <c r="E73" s="173"/>
      <c r="F73" s="1314"/>
      <c r="G73" s="1314"/>
      <c r="H73" s="174">
        <f t="shared" si="4"/>
        <v>0</v>
      </c>
      <c r="I73" s="167"/>
      <c r="J73" s="93"/>
      <c r="K73" s="93"/>
      <c r="L73" s="93"/>
    </row>
    <row r="74" spans="1:12" ht="18" hidden="1" customHeight="1" x14ac:dyDescent="0.2">
      <c r="A74" s="1313"/>
      <c r="B74" s="1313"/>
      <c r="C74" s="1313"/>
      <c r="D74" s="173"/>
      <c r="E74" s="173"/>
      <c r="F74" s="1314"/>
      <c r="G74" s="1314"/>
      <c r="H74" s="174">
        <f t="shared" si="4"/>
        <v>0</v>
      </c>
      <c r="I74" s="167"/>
      <c r="J74" s="93"/>
      <c r="K74" s="93"/>
      <c r="L74" s="93"/>
    </row>
    <row r="75" spans="1:12" ht="18" hidden="1" customHeight="1" x14ac:dyDescent="0.2">
      <c r="A75" s="1313"/>
      <c r="B75" s="1313"/>
      <c r="C75" s="1313"/>
      <c r="D75" s="173"/>
      <c r="E75" s="173"/>
      <c r="F75" s="1314"/>
      <c r="G75" s="1314"/>
      <c r="H75" s="174">
        <f t="shared" si="4"/>
        <v>0</v>
      </c>
      <c r="I75" s="167"/>
      <c r="J75" s="93"/>
      <c r="K75" s="93"/>
      <c r="L75" s="93"/>
    </row>
    <row r="76" spans="1:12" ht="18" hidden="1" customHeight="1" x14ac:dyDescent="0.2">
      <c r="A76" s="1313"/>
      <c r="B76" s="1313"/>
      <c r="C76" s="1313"/>
      <c r="D76" s="173"/>
      <c r="E76" s="173"/>
      <c r="F76" s="1314"/>
      <c r="G76" s="1314"/>
      <c r="H76" s="174">
        <f t="shared" si="4"/>
        <v>0</v>
      </c>
      <c r="I76" s="167"/>
      <c r="J76" s="93"/>
      <c r="K76" s="93"/>
      <c r="L76" s="93"/>
    </row>
    <row r="77" spans="1:12" ht="18" hidden="1" customHeight="1" x14ac:dyDescent="0.2">
      <c r="A77" s="1313"/>
      <c r="B77" s="1313"/>
      <c r="C77" s="1313"/>
      <c r="D77" s="173"/>
      <c r="E77" s="173"/>
      <c r="F77" s="1314"/>
      <c r="G77" s="1314"/>
      <c r="H77" s="174">
        <f t="shared" si="4"/>
        <v>0</v>
      </c>
      <c r="I77" s="167"/>
      <c r="J77" s="93"/>
      <c r="K77" s="93"/>
      <c r="L77" s="93"/>
    </row>
    <row r="78" spans="1:12" ht="18" hidden="1" customHeight="1" x14ac:dyDescent="0.2">
      <c r="A78" s="1313"/>
      <c r="B78" s="1313"/>
      <c r="C78" s="1313"/>
      <c r="D78" s="173"/>
      <c r="E78" s="173"/>
      <c r="F78" s="1314"/>
      <c r="G78" s="1314"/>
      <c r="H78" s="174">
        <f t="shared" si="4"/>
        <v>0</v>
      </c>
      <c r="I78" s="167"/>
      <c r="J78" s="93"/>
      <c r="K78" s="93"/>
      <c r="L78" s="93"/>
    </row>
    <row r="79" spans="1:12" ht="18" hidden="1" customHeight="1" x14ac:dyDescent="0.2">
      <c r="A79" s="1313"/>
      <c r="B79" s="1313"/>
      <c r="C79" s="1313"/>
      <c r="D79" s="173"/>
      <c r="E79" s="173"/>
      <c r="F79" s="1314"/>
      <c r="G79" s="1314"/>
      <c r="H79" s="174">
        <f t="shared" si="4"/>
        <v>0</v>
      </c>
      <c r="I79" s="167"/>
      <c r="J79" s="93"/>
      <c r="K79" s="93"/>
      <c r="L79" s="93"/>
    </row>
    <row r="80" spans="1:12" ht="18" hidden="1" customHeight="1" x14ac:dyDescent="0.2">
      <c r="A80" s="1313"/>
      <c r="B80" s="1313"/>
      <c r="C80" s="1313"/>
      <c r="D80" s="173"/>
      <c r="E80" s="173"/>
      <c r="F80" s="1314"/>
      <c r="G80" s="1314"/>
      <c r="H80" s="174">
        <f t="shared" si="4"/>
        <v>0</v>
      </c>
      <c r="I80" s="167"/>
      <c r="J80" s="93"/>
      <c r="K80" s="93"/>
      <c r="L80" s="93"/>
    </row>
    <row r="81" spans="1:12" ht="18" hidden="1" customHeight="1" x14ac:dyDescent="0.2">
      <c r="A81" s="1313"/>
      <c r="B81" s="1313"/>
      <c r="C81" s="1313"/>
      <c r="D81" s="173"/>
      <c r="E81" s="173"/>
      <c r="F81" s="1314"/>
      <c r="G81" s="1314"/>
      <c r="H81" s="174">
        <f t="shared" si="4"/>
        <v>0</v>
      </c>
      <c r="I81" s="167"/>
      <c r="J81" s="93"/>
      <c r="K81" s="93"/>
      <c r="L81" s="93"/>
    </row>
    <row r="82" spans="1:12" ht="18" hidden="1" customHeight="1" x14ac:dyDescent="0.2">
      <c r="A82" s="1313"/>
      <c r="B82" s="1313"/>
      <c r="C82" s="1313"/>
      <c r="D82" s="173"/>
      <c r="E82" s="173"/>
      <c r="F82" s="1314"/>
      <c r="G82" s="1314"/>
      <c r="H82" s="174">
        <f t="shared" si="4"/>
        <v>0</v>
      </c>
      <c r="I82" s="167"/>
      <c r="J82" s="93"/>
      <c r="K82" s="93"/>
      <c r="L82" s="93"/>
    </row>
    <row r="83" spans="1:12" ht="18" hidden="1" customHeight="1" x14ac:dyDescent="0.2">
      <c r="A83" s="1313"/>
      <c r="B83" s="1313"/>
      <c r="C83" s="1313"/>
      <c r="D83" s="173"/>
      <c r="E83" s="173"/>
      <c r="F83" s="1314"/>
      <c r="G83" s="1314"/>
      <c r="H83" s="174">
        <f t="shared" si="4"/>
        <v>0</v>
      </c>
      <c r="I83" s="167"/>
      <c r="J83" s="93"/>
      <c r="K83" s="93"/>
      <c r="L83" s="93"/>
    </row>
    <row r="84" spans="1:12" ht="18" hidden="1" customHeight="1" x14ac:dyDescent="0.2">
      <c r="A84" s="1313"/>
      <c r="B84" s="1313"/>
      <c r="C84" s="1313"/>
      <c r="D84" s="173"/>
      <c r="E84" s="173"/>
      <c r="F84" s="1314"/>
      <c r="G84" s="1314"/>
      <c r="H84" s="174">
        <f t="shared" si="4"/>
        <v>0</v>
      </c>
      <c r="I84" s="167"/>
      <c r="J84" s="93"/>
      <c r="K84" s="93"/>
      <c r="L84" s="93"/>
    </row>
    <row r="85" spans="1:12" ht="18" hidden="1" customHeight="1" x14ac:dyDescent="0.2">
      <c r="A85" s="1313"/>
      <c r="B85" s="1313"/>
      <c r="C85" s="1313"/>
      <c r="D85" s="173"/>
      <c r="E85" s="173"/>
      <c r="F85" s="1314"/>
      <c r="G85" s="1314"/>
      <c r="H85" s="174">
        <f t="shared" si="4"/>
        <v>0</v>
      </c>
      <c r="I85" s="167"/>
      <c r="J85" s="93"/>
      <c r="K85" s="93"/>
      <c r="L85" s="93"/>
    </row>
    <row r="86" spans="1:12" ht="18" hidden="1" customHeight="1" x14ac:dyDescent="0.2">
      <c r="A86" s="1313"/>
      <c r="B86" s="1313"/>
      <c r="C86" s="1313"/>
      <c r="D86" s="173"/>
      <c r="E86" s="173"/>
      <c r="F86" s="1314"/>
      <c r="G86" s="1314"/>
      <c r="H86" s="174">
        <f t="shared" si="4"/>
        <v>0</v>
      </c>
      <c r="I86" s="167"/>
      <c r="J86" s="93"/>
      <c r="K86" s="93"/>
      <c r="L86" s="93"/>
    </row>
    <row r="87" spans="1:12" ht="18" hidden="1" customHeight="1" x14ac:dyDescent="0.2">
      <c r="A87" s="1313"/>
      <c r="B87" s="1313"/>
      <c r="C87" s="1313"/>
      <c r="D87" s="173"/>
      <c r="E87" s="173"/>
      <c r="F87" s="1314"/>
      <c r="G87" s="1314"/>
      <c r="H87" s="174">
        <f t="shared" si="4"/>
        <v>0</v>
      </c>
      <c r="I87" s="167"/>
      <c r="J87" s="93"/>
      <c r="K87" s="93"/>
      <c r="L87" s="93"/>
    </row>
    <row r="88" spans="1:12" ht="18" hidden="1" customHeight="1" x14ac:dyDescent="0.2">
      <c r="A88" s="1313"/>
      <c r="B88" s="1313"/>
      <c r="C88" s="1313"/>
      <c r="D88" s="173"/>
      <c r="E88" s="173"/>
      <c r="F88" s="1314"/>
      <c r="G88" s="1314"/>
      <c r="H88" s="174">
        <f t="shared" si="4"/>
        <v>0</v>
      </c>
      <c r="I88" s="167"/>
      <c r="J88" s="93"/>
      <c r="K88" s="93"/>
      <c r="L88" s="93"/>
    </row>
    <row r="89" spans="1:12" ht="18" hidden="1" customHeight="1" x14ac:dyDescent="0.2">
      <c r="A89" s="1313"/>
      <c r="B89" s="1313"/>
      <c r="C89" s="1313"/>
      <c r="D89" s="173"/>
      <c r="E89" s="173"/>
      <c r="F89" s="1314"/>
      <c r="G89" s="1314"/>
      <c r="H89" s="174">
        <f t="shared" si="4"/>
        <v>0</v>
      </c>
      <c r="I89" s="167"/>
      <c r="J89" s="93"/>
      <c r="K89" s="93"/>
      <c r="L89" s="93"/>
    </row>
    <row r="90" spans="1:12" ht="18" hidden="1" customHeight="1" x14ac:dyDescent="0.2">
      <c r="A90" s="1313"/>
      <c r="B90" s="1313"/>
      <c r="C90" s="1313"/>
      <c r="D90" s="173"/>
      <c r="E90" s="173"/>
      <c r="F90" s="1314"/>
      <c r="G90" s="1314"/>
      <c r="H90" s="174">
        <f t="shared" si="4"/>
        <v>0</v>
      </c>
      <c r="I90" s="167"/>
      <c r="J90" s="93"/>
      <c r="K90" s="93"/>
      <c r="L90" s="93"/>
    </row>
    <row r="91" spans="1:12" ht="18" hidden="1" customHeight="1" x14ac:dyDescent="0.2">
      <c r="A91" s="1313"/>
      <c r="B91" s="1313"/>
      <c r="C91" s="1313"/>
      <c r="D91" s="173"/>
      <c r="E91" s="173"/>
      <c r="F91" s="1314"/>
      <c r="G91" s="1314"/>
      <c r="H91" s="174">
        <f t="shared" si="4"/>
        <v>0</v>
      </c>
      <c r="I91" s="167"/>
      <c r="J91" s="93"/>
      <c r="K91" s="93"/>
      <c r="L91" s="93"/>
    </row>
    <row r="92" spans="1:12" ht="18" hidden="1" customHeight="1" x14ac:dyDescent="0.2">
      <c r="A92" s="1313"/>
      <c r="B92" s="1313"/>
      <c r="C92" s="1313"/>
      <c r="D92" s="173"/>
      <c r="E92" s="173"/>
      <c r="F92" s="1314"/>
      <c r="G92" s="1314"/>
      <c r="H92" s="174">
        <f t="shared" si="4"/>
        <v>0</v>
      </c>
      <c r="I92" s="167"/>
      <c r="J92" s="93"/>
      <c r="K92" s="93"/>
      <c r="L92" s="93"/>
    </row>
    <row r="93" spans="1:12" ht="18" hidden="1" customHeight="1" x14ac:dyDescent="0.2">
      <c r="A93" s="1313"/>
      <c r="B93" s="1313"/>
      <c r="C93" s="1313"/>
      <c r="D93" s="173"/>
      <c r="E93" s="173"/>
      <c r="F93" s="1314"/>
      <c r="G93" s="1314"/>
      <c r="H93" s="174">
        <f t="shared" si="4"/>
        <v>0</v>
      </c>
      <c r="I93" s="167"/>
      <c r="J93" s="93"/>
      <c r="K93" s="93"/>
      <c r="L93" s="93"/>
    </row>
    <row r="94" spans="1:12" ht="18" hidden="1" customHeight="1" x14ac:dyDescent="0.2">
      <c r="A94" s="1313"/>
      <c r="B94" s="1313"/>
      <c r="C94" s="1313"/>
      <c r="D94" s="173"/>
      <c r="E94" s="173"/>
      <c r="F94" s="1314"/>
      <c r="G94" s="1314"/>
      <c r="H94" s="174">
        <f t="shared" si="4"/>
        <v>0</v>
      </c>
      <c r="I94" s="167"/>
      <c r="J94" s="93"/>
      <c r="K94" s="93"/>
      <c r="L94" s="93"/>
    </row>
    <row r="95" spans="1:12" ht="18" hidden="1" customHeight="1" x14ac:dyDescent="0.2">
      <c r="A95" s="1313"/>
      <c r="B95" s="1313"/>
      <c r="C95" s="1313"/>
      <c r="D95" s="173"/>
      <c r="E95" s="173"/>
      <c r="F95" s="1314"/>
      <c r="G95" s="1314"/>
      <c r="H95" s="174">
        <f t="shared" si="4"/>
        <v>0</v>
      </c>
      <c r="I95" s="167"/>
      <c r="J95" s="93"/>
      <c r="K95" s="93"/>
      <c r="L95" s="93"/>
    </row>
    <row r="96" spans="1:12" ht="18" hidden="1" customHeight="1" x14ac:dyDescent="0.2">
      <c r="A96" s="1313"/>
      <c r="B96" s="1313"/>
      <c r="C96" s="1313"/>
      <c r="D96" s="173"/>
      <c r="E96" s="173"/>
      <c r="F96" s="1314"/>
      <c r="G96" s="1314"/>
      <c r="H96" s="174">
        <f t="shared" si="4"/>
        <v>0</v>
      </c>
      <c r="I96" s="167"/>
      <c r="J96" s="93"/>
      <c r="K96" s="93"/>
      <c r="L96" s="93"/>
    </row>
    <row r="97" spans="1:12" ht="18" hidden="1" customHeight="1" x14ac:dyDescent="0.2">
      <c r="A97" s="1313"/>
      <c r="B97" s="1313"/>
      <c r="C97" s="1313"/>
      <c r="D97" s="173"/>
      <c r="E97" s="173"/>
      <c r="F97" s="1314"/>
      <c r="G97" s="1314"/>
      <c r="H97" s="174">
        <f t="shared" si="4"/>
        <v>0</v>
      </c>
      <c r="I97" s="167"/>
      <c r="J97" s="93"/>
      <c r="K97" s="93"/>
      <c r="L97" s="93"/>
    </row>
    <row r="98" spans="1:12" ht="18" hidden="1" customHeight="1" x14ac:dyDescent="0.2">
      <c r="A98" s="1313"/>
      <c r="B98" s="1313"/>
      <c r="C98" s="1313"/>
      <c r="D98" s="173"/>
      <c r="E98" s="173"/>
      <c r="F98" s="1314"/>
      <c r="G98" s="1314"/>
      <c r="H98" s="174">
        <f t="shared" si="4"/>
        <v>0</v>
      </c>
      <c r="I98" s="167"/>
      <c r="J98" s="93"/>
      <c r="K98" s="93"/>
      <c r="L98" s="93"/>
    </row>
    <row r="99" spans="1:12" ht="18" hidden="1" customHeight="1" x14ac:dyDescent="0.2">
      <c r="A99" s="1313"/>
      <c r="B99" s="1313"/>
      <c r="C99" s="1313"/>
      <c r="D99" s="173"/>
      <c r="E99" s="173"/>
      <c r="F99" s="1314"/>
      <c r="G99" s="1314"/>
      <c r="H99" s="174">
        <f t="shared" si="4"/>
        <v>0</v>
      </c>
      <c r="I99" s="167"/>
      <c r="J99" s="93"/>
      <c r="K99" s="93"/>
      <c r="L99" s="93"/>
    </row>
    <row r="100" spans="1:12" ht="18" hidden="1" customHeight="1" x14ac:dyDescent="0.2">
      <c r="A100" s="1313"/>
      <c r="B100" s="1313"/>
      <c r="C100" s="1313"/>
      <c r="D100" s="173"/>
      <c r="E100" s="173"/>
      <c r="F100" s="1314"/>
      <c r="G100" s="1314"/>
      <c r="H100" s="174">
        <f t="shared" si="4"/>
        <v>0</v>
      </c>
      <c r="I100" s="167"/>
      <c r="J100" s="93"/>
      <c r="K100" s="93"/>
      <c r="L100" s="93"/>
    </row>
    <row r="101" spans="1:12" ht="18" hidden="1" customHeight="1" x14ac:dyDescent="0.2">
      <c r="A101" s="1313"/>
      <c r="B101" s="1313"/>
      <c r="C101" s="1313"/>
      <c r="D101" s="173"/>
      <c r="E101" s="173"/>
      <c r="F101" s="1314"/>
      <c r="G101" s="1314"/>
      <c r="H101" s="174">
        <f t="shared" si="4"/>
        <v>0</v>
      </c>
      <c r="I101" s="167"/>
      <c r="J101" s="93"/>
      <c r="K101" s="93"/>
      <c r="L101" s="93"/>
    </row>
    <row r="102" spans="1:12" ht="18" hidden="1" customHeight="1" x14ac:dyDescent="0.2">
      <c r="A102" s="1313"/>
      <c r="B102" s="1313"/>
      <c r="C102" s="1313"/>
      <c r="D102" s="173"/>
      <c r="E102" s="173"/>
      <c r="F102" s="1314"/>
      <c r="G102" s="1314"/>
      <c r="H102" s="174">
        <f t="shared" si="4"/>
        <v>0</v>
      </c>
      <c r="I102" s="167"/>
      <c r="J102" s="93"/>
      <c r="K102" s="93"/>
      <c r="L102" s="93"/>
    </row>
    <row r="103" spans="1:12" ht="18" hidden="1" customHeight="1" x14ac:dyDescent="0.2">
      <c r="A103" s="1313"/>
      <c r="B103" s="1313"/>
      <c r="C103" s="1313"/>
      <c r="D103" s="173"/>
      <c r="E103" s="173"/>
      <c r="F103" s="1314"/>
      <c r="G103" s="1314"/>
      <c r="H103" s="174">
        <f t="shared" si="4"/>
        <v>0</v>
      </c>
      <c r="I103" s="167"/>
      <c r="J103" s="93"/>
      <c r="K103" s="93"/>
      <c r="L103" s="93"/>
    </row>
    <row r="104" spans="1:12" ht="18" hidden="1" customHeight="1" x14ac:dyDescent="0.2">
      <c r="A104" s="1313"/>
      <c r="B104" s="1313"/>
      <c r="C104" s="1313"/>
      <c r="D104" s="173"/>
      <c r="E104" s="173"/>
      <c r="F104" s="1314"/>
      <c r="G104" s="1314"/>
      <c r="H104" s="174">
        <f t="shared" si="4"/>
        <v>0</v>
      </c>
      <c r="I104" s="167"/>
      <c r="J104" s="93"/>
      <c r="K104" s="93"/>
      <c r="L104" s="93"/>
    </row>
    <row r="105" spans="1:12" ht="18" hidden="1" customHeight="1" x14ac:dyDescent="0.2">
      <c r="A105" s="1313"/>
      <c r="B105" s="1313"/>
      <c r="C105" s="1313"/>
      <c r="D105" s="173"/>
      <c r="E105" s="173"/>
      <c r="F105" s="1314"/>
      <c r="G105" s="1314"/>
      <c r="H105" s="174">
        <f t="shared" si="4"/>
        <v>0</v>
      </c>
      <c r="I105" s="167"/>
      <c r="J105" s="93"/>
      <c r="K105" s="93"/>
      <c r="L105" s="93"/>
    </row>
    <row r="106" spans="1:12" ht="18" hidden="1" customHeight="1" x14ac:dyDescent="0.2">
      <c r="A106" s="1313"/>
      <c r="B106" s="1313"/>
      <c r="C106" s="1313"/>
      <c r="D106" s="173"/>
      <c r="E106" s="173"/>
      <c r="F106" s="1314"/>
      <c r="G106" s="1314"/>
      <c r="H106" s="174">
        <f t="shared" si="3"/>
        <v>0</v>
      </c>
      <c r="I106" s="167"/>
      <c r="J106" s="93"/>
      <c r="K106" s="93"/>
      <c r="L106" s="93"/>
    </row>
    <row r="107" spans="1:12" ht="18" hidden="1" customHeight="1" x14ac:dyDescent="0.2">
      <c r="A107" s="1313"/>
      <c r="B107" s="1313"/>
      <c r="C107" s="1313"/>
      <c r="D107" s="173"/>
      <c r="E107" s="173"/>
      <c r="F107" s="1314"/>
      <c r="G107" s="1314"/>
      <c r="H107" s="174">
        <f t="shared" si="3"/>
        <v>0</v>
      </c>
      <c r="I107" s="167"/>
      <c r="J107" s="93"/>
      <c r="K107" s="93"/>
      <c r="L107" s="93"/>
    </row>
    <row r="108" spans="1:12" ht="18" hidden="1" customHeight="1" x14ac:dyDescent="0.2">
      <c r="A108" s="1313"/>
      <c r="B108" s="1313"/>
      <c r="C108" s="1313"/>
      <c r="D108" s="173"/>
      <c r="E108" s="173"/>
      <c r="F108" s="1316"/>
      <c r="G108" s="1316"/>
      <c r="H108" s="174">
        <f t="shared" si="3"/>
        <v>0</v>
      </c>
      <c r="I108" s="167"/>
      <c r="J108" s="93"/>
      <c r="K108" s="93"/>
      <c r="L108" s="93"/>
    </row>
    <row r="109" spans="1:12" ht="18" hidden="1" customHeight="1" x14ac:dyDescent="0.2">
      <c r="A109" s="1313"/>
      <c r="B109" s="1313"/>
      <c r="C109" s="1313"/>
      <c r="D109" s="173"/>
      <c r="E109" s="173"/>
      <c r="F109" s="1316"/>
      <c r="G109" s="1316"/>
      <c r="H109" s="174">
        <f t="shared" si="3"/>
        <v>0</v>
      </c>
      <c r="I109" s="167"/>
      <c r="J109" s="93"/>
      <c r="K109" s="93"/>
      <c r="L109" s="93"/>
    </row>
    <row r="110" spans="1:12" ht="18" hidden="1" customHeight="1" x14ac:dyDescent="0.2">
      <c r="A110" s="1313"/>
      <c r="B110" s="1313"/>
      <c r="C110" s="1313"/>
      <c r="D110" s="173"/>
      <c r="E110" s="173"/>
      <c r="F110" s="1316"/>
      <c r="G110" s="1316"/>
      <c r="H110" s="174">
        <f t="shared" si="3"/>
        <v>0</v>
      </c>
      <c r="I110" s="167"/>
      <c r="J110" s="93"/>
      <c r="K110" s="93"/>
      <c r="L110" s="93"/>
    </row>
    <row r="111" spans="1:12" ht="18" hidden="1" customHeight="1" x14ac:dyDescent="0.2">
      <c r="A111" s="1313"/>
      <c r="B111" s="1313"/>
      <c r="C111" s="1313"/>
      <c r="D111" s="173"/>
      <c r="E111" s="173"/>
      <c r="F111" s="1316"/>
      <c r="G111" s="1316"/>
      <c r="H111" s="174">
        <f t="shared" si="3"/>
        <v>0</v>
      </c>
      <c r="I111" s="167"/>
      <c r="J111" s="93"/>
      <c r="K111" s="93"/>
      <c r="L111" s="93"/>
    </row>
    <row r="112" spans="1:12" ht="18" hidden="1" customHeight="1" x14ac:dyDescent="0.2">
      <c r="A112" s="1313"/>
      <c r="B112" s="1313"/>
      <c r="C112" s="1313"/>
      <c r="D112" s="173"/>
      <c r="E112" s="173"/>
      <c r="F112" s="1316"/>
      <c r="G112" s="1316"/>
      <c r="H112" s="174">
        <f t="shared" si="3"/>
        <v>0</v>
      </c>
      <c r="I112" s="167"/>
      <c r="J112" s="93"/>
      <c r="K112" s="93"/>
      <c r="L112" s="93"/>
    </row>
    <row r="113" spans="1:12" ht="18" hidden="1" customHeight="1" x14ac:dyDescent="0.2">
      <c r="A113" s="1313"/>
      <c r="B113" s="1313"/>
      <c r="C113" s="1313"/>
      <c r="D113" s="173"/>
      <c r="E113" s="173"/>
      <c r="F113" s="1316"/>
      <c r="G113" s="1316"/>
      <c r="H113" s="174">
        <f t="shared" si="3"/>
        <v>0</v>
      </c>
      <c r="I113" s="167"/>
      <c r="J113" s="93"/>
      <c r="K113" s="93"/>
      <c r="L113" s="93"/>
    </row>
    <row r="114" spans="1:12" ht="18" hidden="1" customHeight="1" x14ac:dyDescent="0.2">
      <c r="A114" s="1313"/>
      <c r="B114" s="1313"/>
      <c r="C114" s="1313"/>
      <c r="D114" s="173"/>
      <c r="E114" s="173"/>
      <c r="F114" s="1316"/>
      <c r="G114" s="1316"/>
      <c r="H114" s="174">
        <f t="shared" si="3"/>
        <v>0</v>
      </c>
      <c r="I114" s="167"/>
      <c r="J114" s="93"/>
      <c r="K114" s="93"/>
      <c r="L114" s="93"/>
    </row>
    <row r="115" spans="1:12" ht="18" hidden="1" customHeight="1" x14ac:dyDescent="0.2">
      <c r="A115" s="1313"/>
      <c r="B115" s="1313"/>
      <c r="C115" s="1313"/>
      <c r="D115" s="173"/>
      <c r="E115" s="173"/>
      <c r="F115" s="1316"/>
      <c r="G115" s="1316"/>
      <c r="H115" s="174">
        <f t="shared" si="3"/>
        <v>0</v>
      </c>
      <c r="I115" s="167"/>
      <c r="J115" s="93"/>
      <c r="K115" s="93"/>
      <c r="L115" s="93"/>
    </row>
    <row r="116" spans="1:12" ht="18" hidden="1" customHeight="1" x14ac:dyDescent="0.2">
      <c r="A116" s="1313"/>
      <c r="B116" s="1313"/>
      <c r="C116" s="1313"/>
      <c r="D116" s="173"/>
      <c r="E116" s="173"/>
      <c r="F116" s="1316"/>
      <c r="G116" s="1316"/>
      <c r="H116" s="174">
        <f t="shared" si="3"/>
        <v>0</v>
      </c>
      <c r="I116" s="167"/>
      <c r="J116" s="93"/>
      <c r="K116" s="93"/>
      <c r="L116" s="93"/>
    </row>
    <row r="117" spans="1:12" ht="18" hidden="1" customHeight="1" x14ac:dyDescent="0.2">
      <c r="A117" s="1313"/>
      <c r="B117" s="1313"/>
      <c r="C117" s="1313"/>
      <c r="D117" s="173"/>
      <c r="E117" s="173"/>
      <c r="F117" s="1316"/>
      <c r="G117" s="1316"/>
      <c r="H117" s="174">
        <f>E117*F117</f>
        <v>0</v>
      </c>
      <c r="I117" s="167"/>
      <c r="J117" s="93"/>
      <c r="K117" s="93"/>
      <c r="L117" s="93"/>
    </row>
    <row r="118" spans="1:12" ht="18" hidden="1" customHeight="1" x14ac:dyDescent="0.2">
      <c r="A118" s="1313"/>
      <c r="B118" s="1313"/>
      <c r="C118" s="1313"/>
      <c r="D118" s="173"/>
      <c r="E118" s="173"/>
      <c r="F118" s="1316"/>
      <c r="G118" s="1316"/>
      <c r="H118" s="174">
        <f>E118*F118</f>
        <v>0</v>
      </c>
      <c r="I118" s="167"/>
      <c r="J118" s="93"/>
      <c r="K118" s="93"/>
      <c r="L118" s="93"/>
    </row>
    <row r="119" spans="1:12" ht="18" hidden="1" customHeight="1" x14ac:dyDescent="0.2">
      <c r="A119" s="1313"/>
      <c r="B119" s="1313"/>
      <c r="C119" s="1313"/>
      <c r="D119" s="173"/>
      <c r="E119" s="173"/>
      <c r="F119" s="1316"/>
      <c r="G119" s="1316"/>
      <c r="H119" s="174">
        <f>E119*F119</f>
        <v>0</v>
      </c>
      <c r="I119" s="167"/>
      <c r="J119" s="93"/>
      <c r="K119" s="93"/>
      <c r="L119" s="93"/>
    </row>
    <row r="120" spans="1:12" ht="18" customHeight="1" x14ac:dyDescent="0.2">
      <c r="A120" s="1315" t="s">
        <v>607</v>
      </c>
      <c r="B120" s="1315"/>
      <c r="C120" s="1315"/>
      <c r="D120" s="1315"/>
      <c r="E120" s="1315"/>
      <c r="F120" s="1315"/>
      <c r="G120" s="1315"/>
      <c r="H120" s="175">
        <f>SUM(H44:H119)</f>
        <v>0</v>
      </c>
      <c r="I120" s="175">
        <f>SUM(I44:I119)</f>
        <v>0</v>
      </c>
      <c r="J120" s="175">
        <f t="shared" ref="J120:K120" si="5">SUM(J44:J119)</f>
        <v>0</v>
      </c>
      <c r="K120" s="175">
        <f t="shared" si="5"/>
        <v>0</v>
      </c>
      <c r="L120" s="175">
        <f>SUM(L44:L119)</f>
        <v>0</v>
      </c>
    </row>
    <row r="121" spans="1:12" ht="18" customHeight="1" x14ac:dyDescent="0.2">
      <c r="A121" s="1328" t="s">
        <v>608</v>
      </c>
      <c r="B121" s="1329"/>
      <c r="C121" s="1329"/>
      <c r="D121" s="1329"/>
      <c r="E121" s="1329"/>
      <c r="F121" s="1329"/>
      <c r="G121" s="1329"/>
      <c r="H121" s="1329"/>
      <c r="I121" s="1329"/>
      <c r="J121" s="1329"/>
      <c r="K121" s="1329"/>
      <c r="L121" s="1330"/>
    </row>
    <row r="122" spans="1:12" ht="18" customHeight="1" x14ac:dyDescent="0.2">
      <c r="A122" s="1313"/>
      <c r="B122" s="1313"/>
      <c r="C122" s="1313"/>
      <c r="D122" s="173"/>
      <c r="E122" s="173"/>
      <c r="F122" s="1314"/>
      <c r="G122" s="1314"/>
      <c r="H122" s="174">
        <f>E122*F122</f>
        <v>0</v>
      </c>
      <c r="I122" s="167"/>
      <c r="J122" s="93"/>
      <c r="K122" s="93"/>
      <c r="L122" s="93"/>
    </row>
    <row r="123" spans="1:12" ht="18" customHeight="1" x14ac:dyDescent="0.2">
      <c r="A123" s="1313"/>
      <c r="B123" s="1313"/>
      <c r="C123" s="1313"/>
      <c r="D123" s="173"/>
      <c r="E123" s="173"/>
      <c r="F123" s="1314"/>
      <c r="G123" s="1314"/>
      <c r="H123" s="174">
        <f t="shared" ref="H123:H150" si="6">E123*F123</f>
        <v>0</v>
      </c>
      <c r="I123" s="167"/>
      <c r="J123" s="93"/>
      <c r="K123" s="93"/>
      <c r="L123" s="93"/>
    </row>
    <row r="124" spans="1:12" ht="18" customHeight="1" x14ac:dyDescent="0.2">
      <c r="A124" s="1313"/>
      <c r="B124" s="1313"/>
      <c r="C124" s="1313"/>
      <c r="D124" s="173"/>
      <c r="E124" s="173"/>
      <c r="F124" s="1314"/>
      <c r="G124" s="1314"/>
      <c r="H124" s="174">
        <f t="shared" si="6"/>
        <v>0</v>
      </c>
      <c r="I124" s="167"/>
      <c r="J124" s="93"/>
      <c r="K124" s="93"/>
      <c r="L124" s="93"/>
    </row>
    <row r="125" spans="1:12" ht="18" hidden="1" customHeight="1" x14ac:dyDescent="0.2">
      <c r="A125" s="1313"/>
      <c r="B125" s="1313"/>
      <c r="C125" s="1313"/>
      <c r="D125" s="173"/>
      <c r="E125" s="173"/>
      <c r="F125" s="1314"/>
      <c r="G125" s="1314"/>
      <c r="H125" s="174">
        <f t="shared" si="6"/>
        <v>0</v>
      </c>
      <c r="I125" s="167"/>
      <c r="J125" s="93"/>
      <c r="K125" s="93"/>
      <c r="L125" s="93"/>
    </row>
    <row r="126" spans="1:12" ht="18" hidden="1" customHeight="1" x14ac:dyDescent="0.2">
      <c r="A126" s="1313"/>
      <c r="B126" s="1313"/>
      <c r="C126" s="1313"/>
      <c r="D126" s="173"/>
      <c r="E126" s="173"/>
      <c r="F126" s="1314"/>
      <c r="G126" s="1314"/>
      <c r="H126" s="174">
        <f t="shared" si="6"/>
        <v>0</v>
      </c>
      <c r="I126" s="167"/>
      <c r="J126" s="93"/>
      <c r="K126" s="93"/>
      <c r="L126" s="93"/>
    </row>
    <row r="127" spans="1:12" ht="18" hidden="1" customHeight="1" x14ac:dyDescent="0.2">
      <c r="A127" s="1313"/>
      <c r="B127" s="1313"/>
      <c r="C127" s="1313"/>
      <c r="D127" s="173"/>
      <c r="E127" s="173"/>
      <c r="F127" s="1314"/>
      <c r="G127" s="1314"/>
      <c r="H127" s="174">
        <f t="shared" si="6"/>
        <v>0</v>
      </c>
      <c r="I127" s="167"/>
      <c r="J127" s="93"/>
      <c r="K127" s="93"/>
      <c r="L127" s="93"/>
    </row>
    <row r="128" spans="1:12" ht="18" hidden="1" customHeight="1" x14ac:dyDescent="0.2">
      <c r="A128" s="1313"/>
      <c r="B128" s="1313"/>
      <c r="C128" s="1313"/>
      <c r="D128" s="173"/>
      <c r="E128" s="173"/>
      <c r="F128" s="1314"/>
      <c r="G128" s="1314"/>
      <c r="H128" s="174">
        <f t="shared" si="6"/>
        <v>0</v>
      </c>
      <c r="I128" s="167"/>
      <c r="J128" s="93"/>
      <c r="K128" s="93"/>
      <c r="L128" s="93"/>
    </row>
    <row r="129" spans="1:12" ht="18" hidden="1" customHeight="1" x14ac:dyDescent="0.2">
      <c r="A129" s="1313"/>
      <c r="B129" s="1313"/>
      <c r="C129" s="1313"/>
      <c r="D129" s="173"/>
      <c r="E129" s="173"/>
      <c r="F129" s="1314"/>
      <c r="G129" s="1314"/>
      <c r="H129" s="174">
        <f t="shared" si="6"/>
        <v>0</v>
      </c>
      <c r="I129" s="167"/>
      <c r="J129" s="93"/>
      <c r="K129" s="93"/>
      <c r="L129" s="93"/>
    </row>
    <row r="130" spans="1:12" ht="18" hidden="1" customHeight="1" x14ac:dyDescent="0.2">
      <c r="A130" s="1313"/>
      <c r="B130" s="1313"/>
      <c r="C130" s="1313"/>
      <c r="D130" s="173"/>
      <c r="E130" s="173"/>
      <c r="F130" s="1314"/>
      <c r="G130" s="1314"/>
      <c r="H130" s="174">
        <f t="shared" si="6"/>
        <v>0</v>
      </c>
      <c r="I130" s="167"/>
      <c r="J130" s="93"/>
      <c r="K130" s="93"/>
      <c r="L130" s="93"/>
    </row>
    <row r="131" spans="1:12" ht="18" hidden="1" customHeight="1" x14ac:dyDescent="0.2">
      <c r="A131" s="1313"/>
      <c r="B131" s="1313"/>
      <c r="C131" s="1313"/>
      <c r="D131" s="173"/>
      <c r="E131" s="173"/>
      <c r="F131" s="1314"/>
      <c r="G131" s="1314"/>
      <c r="H131" s="174">
        <f t="shared" si="6"/>
        <v>0</v>
      </c>
      <c r="I131" s="167"/>
      <c r="J131" s="93"/>
      <c r="K131" s="93"/>
      <c r="L131" s="93"/>
    </row>
    <row r="132" spans="1:12" ht="18" hidden="1" customHeight="1" x14ac:dyDescent="0.2">
      <c r="A132" s="1313"/>
      <c r="B132" s="1313"/>
      <c r="C132" s="1313"/>
      <c r="D132" s="173"/>
      <c r="E132" s="173"/>
      <c r="F132" s="1314"/>
      <c r="G132" s="1314"/>
      <c r="H132" s="174">
        <f t="shared" si="6"/>
        <v>0</v>
      </c>
      <c r="I132" s="167"/>
      <c r="J132" s="93"/>
      <c r="K132" s="93"/>
      <c r="L132" s="93"/>
    </row>
    <row r="133" spans="1:12" ht="18" hidden="1" customHeight="1" x14ac:dyDescent="0.2">
      <c r="A133" s="1313"/>
      <c r="B133" s="1313"/>
      <c r="C133" s="1313"/>
      <c r="D133" s="173"/>
      <c r="E133" s="173"/>
      <c r="F133" s="1314"/>
      <c r="G133" s="1314"/>
      <c r="H133" s="174">
        <f t="shared" si="6"/>
        <v>0</v>
      </c>
      <c r="I133" s="167"/>
      <c r="J133" s="93"/>
      <c r="K133" s="93"/>
      <c r="L133" s="93"/>
    </row>
    <row r="134" spans="1:12" ht="18" hidden="1" customHeight="1" x14ac:dyDescent="0.2">
      <c r="A134" s="1313"/>
      <c r="B134" s="1313"/>
      <c r="C134" s="1313"/>
      <c r="D134" s="173"/>
      <c r="E134" s="173"/>
      <c r="F134" s="1314"/>
      <c r="G134" s="1314"/>
      <c r="H134" s="174">
        <f t="shared" si="6"/>
        <v>0</v>
      </c>
      <c r="I134" s="167"/>
      <c r="J134" s="93"/>
      <c r="K134" s="93"/>
      <c r="L134" s="93"/>
    </row>
    <row r="135" spans="1:12" ht="18" hidden="1" customHeight="1" x14ac:dyDescent="0.2">
      <c r="A135" s="1313"/>
      <c r="B135" s="1313"/>
      <c r="C135" s="1313"/>
      <c r="D135" s="173"/>
      <c r="E135" s="173"/>
      <c r="F135" s="1314"/>
      <c r="G135" s="1314"/>
      <c r="H135" s="174">
        <f t="shared" si="6"/>
        <v>0</v>
      </c>
      <c r="I135" s="167"/>
      <c r="J135" s="93"/>
      <c r="K135" s="93"/>
      <c r="L135" s="93"/>
    </row>
    <row r="136" spans="1:12" ht="18" hidden="1" customHeight="1" x14ac:dyDescent="0.2">
      <c r="A136" s="1313"/>
      <c r="B136" s="1313"/>
      <c r="C136" s="1313"/>
      <c r="D136" s="173"/>
      <c r="E136" s="173"/>
      <c r="F136" s="1314"/>
      <c r="G136" s="1314"/>
      <c r="H136" s="174">
        <f t="shared" si="6"/>
        <v>0</v>
      </c>
      <c r="I136" s="167"/>
      <c r="J136" s="93"/>
      <c r="K136" s="93"/>
      <c r="L136" s="93"/>
    </row>
    <row r="137" spans="1:12" ht="18" hidden="1" customHeight="1" x14ac:dyDescent="0.2">
      <c r="A137" s="1313"/>
      <c r="B137" s="1313"/>
      <c r="C137" s="1313"/>
      <c r="D137" s="173"/>
      <c r="E137" s="173"/>
      <c r="F137" s="1314"/>
      <c r="G137" s="1314"/>
      <c r="H137" s="174">
        <f t="shared" si="6"/>
        <v>0</v>
      </c>
      <c r="I137" s="167"/>
      <c r="J137" s="93"/>
      <c r="K137" s="93"/>
      <c r="L137" s="93"/>
    </row>
    <row r="138" spans="1:12" ht="18" hidden="1" customHeight="1" x14ac:dyDescent="0.2">
      <c r="A138" s="1313"/>
      <c r="B138" s="1313"/>
      <c r="C138" s="1313"/>
      <c r="D138" s="173"/>
      <c r="E138" s="173"/>
      <c r="F138" s="1314"/>
      <c r="G138" s="1314"/>
      <c r="H138" s="174">
        <f t="shared" si="6"/>
        <v>0</v>
      </c>
      <c r="I138" s="167"/>
      <c r="J138" s="93"/>
      <c r="K138" s="93"/>
      <c r="L138" s="93"/>
    </row>
    <row r="139" spans="1:12" ht="18" hidden="1" customHeight="1" x14ac:dyDescent="0.2">
      <c r="A139" s="1313"/>
      <c r="B139" s="1313"/>
      <c r="C139" s="1313"/>
      <c r="D139" s="173"/>
      <c r="E139" s="173"/>
      <c r="F139" s="1314"/>
      <c r="G139" s="1314"/>
      <c r="H139" s="174">
        <f t="shared" si="6"/>
        <v>0</v>
      </c>
      <c r="I139" s="167"/>
      <c r="J139" s="93"/>
      <c r="K139" s="93"/>
      <c r="L139" s="93"/>
    </row>
    <row r="140" spans="1:12" ht="18" hidden="1" customHeight="1" x14ac:dyDescent="0.2">
      <c r="A140" s="1313"/>
      <c r="B140" s="1313"/>
      <c r="C140" s="1313"/>
      <c r="D140" s="173"/>
      <c r="E140" s="173"/>
      <c r="F140" s="1314"/>
      <c r="G140" s="1314"/>
      <c r="H140" s="174">
        <f t="shared" si="6"/>
        <v>0</v>
      </c>
      <c r="I140" s="167"/>
      <c r="J140" s="93"/>
      <c r="K140" s="93"/>
      <c r="L140" s="93"/>
    </row>
    <row r="141" spans="1:12" ht="18" hidden="1" customHeight="1" x14ac:dyDescent="0.2">
      <c r="A141" s="1313"/>
      <c r="B141" s="1313"/>
      <c r="C141" s="1313"/>
      <c r="D141" s="173"/>
      <c r="E141" s="173"/>
      <c r="F141" s="1314"/>
      <c r="G141" s="1314"/>
      <c r="H141" s="174">
        <f t="shared" si="6"/>
        <v>0</v>
      </c>
      <c r="I141" s="167"/>
      <c r="J141" s="93"/>
      <c r="K141" s="93"/>
      <c r="L141" s="93"/>
    </row>
    <row r="142" spans="1:12" ht="18" hidden="1" customHeight="1" x14ac:dyDescent="0.2">
      <c r="A142" s="1313"/>
      <c r="B142" s="1313"/>
      <c r="C142" s="1313"/>
      <c r="D142" s="173"/>
      <c r="E142" s="173"/>
      <c r="F142" s="1314"/>
      <c r="G142" s="1314"/>
      <c r="H142" s="174">
        <f t="shared" si="6"/>
        <v>0</v>
      </c>
      <c r="I142" s="167"/>
      <c r="J142" s="93"/>
      <c r="K142" s="93"/>
      <c r="L142" s="93"/>
    </row>
    <row r="143" spans="1:12" ht="18" hidden="1" customHeight="1" x14ac:dyDescent="0.2">
      <c r="A143" s="1313"/>
      <c r="B143" s="1313"/>
      <c r="C143" s="1313"/>
      <c r="D143" s="173"/>
      <c r="E143" s="173"/>
      <c r="F143" s="1314"/>
      <c r="G143" s="1314"/>
      <c r="H143" s="174">
        <f t="shared" si="6"/>
        <v>0</v>
      </c>
      <c r="I143" s="167"/>
      <c r="J143" s="93"/>
      <c r="K143" s="93"/>
      <c r="L143" s="93"/>
    </row>
    <row r="144" spans="1:12" ht="18" hidden="1" customHeight="1" x14ac:dyDescent="0.2">
      <c r="A144" s="1313"/>
      <c r="B144" s="1313"/>
      <c r="C144" s="1313"/>
      <c r="D144" s="173"/>
      <c r="E144" s="173"/>
      <c r="F144" s="1314"/>
      <c r="G144" s="1314"/>
      <c r="H144" s="174">
        <f t="shared" si="6"/>
        <v>0</v>
      </c>
      <c r="I144" s="167"/>
      <c r="J144" s="93"/>
      <c r="K144" s="93"/>
      <c r="L144" s="93"/>
    </row>
    <row r="145" spans="1:12" ht="18" hidden="1" customHeight="1" x14ac:dyDescent="0.2">
      <c r="A145" s="1313"/>
      <c r="B145" s="1313"/>
      <c r="C145" s="1313"/>
      <c r="D145" s="173"/>
      <c r="E145" s="173"/>
      <c r="F145" s="1314"/>
      <c r="G145" s="1314"/>
      <c r="H145" s="174">
        <f t="shared" si="6"/>
        <v>0</v>
      </c>
      <c r="I145" s="167"/>
      <c r="J145" s="93"/>
      <c r="K145" s="93"/>
      <c r="L145" s="93"/>
    </row>
    <row r="146" spans="1:12" ht="18" hidden="1" customHeight="1" x14ac:dyDescent="0.2">
      <c r="A146" s="1313"/>
      <c r="B146" s="1313"/>
      <c r="C146" s="1313"/>
      <c r="D146" s="173"/>
      <c r="E146" s="173"/>
      <c r="F146" s="1314"/>
      <c r="G146" s="1314"/>
      <c r="H146" s="174">
        <f t="shared" si="6"/>
        <v>0</v>
      </c>
      <c r="I146" s="167"/>
      <c r="J146" s="93"/>
      <c r="K146" s="93"/>
      <c r="L146" s="93"/>
    </row>
    <row r="147" spans="1:12" ht="18" hidden="1" customHeight="1" x14ac:dyDescent="0.2">
      <c r="A147" s="1313"/>
      <c r="B147" s="1313"/>
      <c r="C147" s="1313"/>
      <c r="D147" s="173"/>
      <c r="E147" s="173"/>
      <c r="F147" s="1314"/>
      <c r="G147" s="1314"/>
      <c r="H147" s="174">
        <f t="shared" si="6"/>
        <v>0</v>
      </c>
      <c r="I147" s="167"/>
      <c r="J147" s="93"/>
      <c r="K147" s="93"/>
      <c r="L147" s="93"/>
    </row>
    <row r="148" spans="1:12" ht="18" hidden="1" customHeight="1" x14ac:dyDescent="0.2">
      <c r="A148" s="1313"/>
      <c r="B148" s="1313"/>
      <c r="C148" s="1313"/>
      <c r="D148" s="173"/>
      <c r="E148" s="173"/>
      <c r="F148" s="1314"/>
      <c r="G148" s="1314"/>
      <c r="H148" s="174">
        <f t="shared" si="6"/>
        <v>0</v>
      </c>
      <c r="I148" s="167"/>
      <c r="J148" s="93"/>
      <c r="K148" s="93"/>
      <c r="L148" s="93"/>
    </row>
    <row r="149" spans="1:12" ht="18" hidden="1" customHeight="1" x14ac:dyDescent="0.2">
      <c r="A149" s="1313"/>
      <c r="B149" s="1313"/>
      <c r="C149" s="1313"/>
      <c r="D149" s="173"/>
      <c r="E149" s="173"/>
      <c r="F149" s="1314"/>
      <c r="G149" s="1314"/>
      <c r="H149" s="174">
        <f t="shared" si="6"/>
        <v>0</v>
      </c>
      <c r="I149" s="167"/>
      <c r="J149" s="93"/>
      <c r="K149" s="93"/>
      <c r="L149" s="93"/>
    </row>
    <row r="150" spans="1:12" ht="18" hidden="1" customHeight="1" x14ac:dyDescent="0.2">
      <c r="A150" s="1313"/>
      <c r="B150" s="1313"/>
      <c r="C150" s="1313"/>
      <c r="D150" s="173"/>
      <c r="E150" s="173"/>
      <c r="F150" s="1314"/>
      <c r="G150" s="1314"/>
      <c r="H150" s="174">
        <f t="shared" si="6"/>
        <v>0</v>
      </c>
      <c r="I150" s="167"/>
      <c r="J150" s="93"/>
      <c r="K150" s="93"/>
      <c r="L150" s="93"/>
    </row>
    <row r="151" spans="1:12" ht="18" hidden="1" customHeight="1" x14ac:dyDescent="0.2">
      <c r="A151" s="1313"/>
      <c r="B151" s="1313"/>
      <c r="C151" s="1313"/>
      <c r="D151" s="173"/>
      <c r="E151" s="173"/>
      <c r="F151" s="1314"/>
      <c r="G151" s="1314"/>
      <c r="H151" s="174">
        <f t="shared" ref="H151:H176" si="7">E151*F151</f>
        <v>0</v>
      </c>
      <c r="I151" s="167"/>
      <c r="J151" s="93"/>
      <c r="K151" s="93"/>
      <c r="L151" s="93"/>
    </row>
    <row r="152" spans="1:12" ht="18" hidden="1" customHeight="1" x14ac:dyDescent="0.2">
      <c r="A152" s="1313"/>
      <c r="B152" s="1313"/>
      <c r="C152" s="1313"/>
      <c r="D152" s="173"/>
      <c r="E152" s="173"/>
      <c r="F152" s="1314"/>
      <c r="G152" s="1314"/>
      <c r="H152" s="174">
        <f t="shared" ref="H152:H164" si="8">E152*F152</f>
        <v>0</v>
      </c>
      <c r="I152" s="167"/>
      <c r="J152" s="93"/>
      <c r="K152" s="93"/>
      <c r="L152" s="93"/>
    </row>
    <row r="153" spans="1:12" ht="18" hidden="1" customHeight="1" x14ac:dyDescent="0.2">
      <c r="A153" s="1313"/>
      <c r="B153" s="1313"/>
      <c r="C153" s="1313"/>
      <c r="D153" s="173"/>
      <c r="E153" s="173"/>
      <c r="F153" s="1314"/>
      <c r="G153" s="1314"/>
      <c r="H153" s="174">
        <f t="shared" si="8"/>
        <v>0</v>
      </c>
      <c r="I153" s="167"/>
      <c r="J153" s="93"/>
      <c r="K153" s="93"/>
      <c r="L153" s="93"/>
    </row>
    <row r="154" spans="1:12" ht="18" hidden="1" customHeight="1" x14ac:dyDescent="0.2">
      <c r="A154" s="1313"/>
      <c r="B154" s="1313"/>
      <c r="C154" s="1313"/>
      <c r="D154" s="173"/>
      <c r="E154" s="173"/>
      <c r="F154" s="1314"/>
      <c r="G154" s="1314"/>
      <c r="H154" s="174">
        <f t="shared" si="8"/>
        <v>0</v>
      </c>
      <c r="I154" s="167"/>
      <c r="J154" s="93"/>
      <c r="K154" s="93"/>
      <c r="L154" s="93"/>
    </row>
    <row r="155" spans="1:12" ht="18" hidden="1" customHeight="1" x14ac:dyDescent="0.2">
      <c r="A155" s="1313"/>
      <c r="B155" s="1313"/>
      <c r="C155" s="1313"/>
      <c r="D155" s="173"/>
      <c r="E155" s="173"/>
      <c r="F155" s="1314"/>
      <c r="G155" s="1314"/>
      <c r="H155" s="174">
        <f t="shared" si="8"/>
        <v>0</v>
      </c>
      <c r="I155" s="167"/>
      <c r="J155" s="93"/>
      <c r="K155" s="93"/>
      <c r="L155" s="93"/>
    </row>
    <row r="156" spans="1:12" ht="18" hidden="1" customHeight="1" x14ac:dyDescent="0.2">
      <c r="A156" s="1313"/>
      <c r="B156" s="1313"/>
      <c r="C156" s="1313"/>
      <c r="D156" s="173"/>
      <c r="E156" s="173"/>
      <c r="F156" s="1314"/>
      <c r="G156" s="1314"/>
      <c r="H156" s="174">
        <f t="shared" si="8"/>
        <v>0</v>
      </c>
      <c r="I156" s="167"/>
      <c r="J156" s="93"/>
      <c r="K156" s="93"/>
      <c r="L156" s="93"/>
    </row>
    <row r="157" spans="1:12" ht="18" hidden="1" customHeight="1" x14ac:dyDescent="0.2">
      <c r="A157" s="1313"/>
      <c r="B157" s="1313"/>
      <c r="C157" s="1313"/>
      <c r="D157" s="173"/>
      <c r="E157" s="173"/>
      <c r="F157" s="1314"/>
      <c r="G157" s="1314"/>
      <c r="H157" s="174">
        <f t="shared" si="8"/>
        <v>0</v>
      </c>
      <c r="I157" s="167"/>
      <c r="J157" s="93"/>
      <c r="K157" s="93"/>
      <c r="L157" s="93"/>
    </row>
    <row r="158" spans="1:12" ht="18" hidden="1" customHeight="1" x14ac:dyDescent="0.2">
      <c r="A158" s="1313"/>
      <c r="B158" s="1313"/>
      <c r="C158" s="1313"/>
      <c r="D158" s="173"/>
      <c r="E158" s="173"/>
      <c r="F158" s="1314"/>
      <c r="G158" s="1314"/>
      <c r="H158" s="174">
        <f t="shared" si="8"/>
        <v>0</v>
      </c>
      <c r="I158" s="167"/>
      <c r="J158" s="93"/>
      <c r="K158" s="93"/>
      <c r="L158" s="93"/>
    </row>
    <row r="159" spans="1:12" ht="18" hidden="1" customHeight="1" x14ac:dyDescent="0.2">
      <c r="A159" s="1313"/>
      <c r="B159" s="1313"/>
      <c r="C159" s="1313"/>
      <c r="D159" s="173"/>
      <c r="E159" s="173"/>
      <c r="F159" s="1314"/>
      <c r="G159" s="1314"/>
      <c r="H159" s="174">
        <f t="shared" si="8"/>
        <v>0</v>
      </c>
      <c r="I159" s="167"/>
      <c r="J159" s="93"/>
      <c r="K159" s="93"/>
      <c r="L159" s="93"/>
    </row>
    <row r="160" spans="1:12" ht="18" hidden="1" customHeight="1" x14ac:dyDescent="0.2">
      <c r="A160" s="1313"/>
      <c r="B160" s="1313"/>
      <c r="C160" s="1313"/>
      <c r="D160" s="173"/>
      <c r="E160" s="173"/>
      <c r="F160" s="1314"/>
      <c r="G160" s="1314"/>
      <c r="H160" s="174">
        <f t="shared" si="8"/>
        <v>0</v>
      </c>
      <c r="I160" s="167"/>
      <c r="J160" s="93"/>
      <c r="K160" s="93"/>
      <c r="L160" s="93"/>
    </row>
    <row r="161" spans="1:13" ht="18" hidden="1" customHeight="1" x14ac:dyDescent="0.2">
      <c r="A161" s="1313"/>
      <c r="B161" s="1313"/>
      <c r="C161" s="1313"/>
      <c r="D161" s="173"/>
      <c r="E161" s="173"/>
      <c r="F161" s="1314"/>
      <c r="G161" s="1314"/>
      <c r="H161" s="174">
        <f t="shared" si="8"/>
        <v>0</v>
      </c>
      <c r="I161" s="167"/>
      <c r="J161" s="93"/>
      <c r="K161" s="93"/>
      <c r="L161" s="93"/>
    </row>
    <row r="162" spans="1:13" ht="18" hidden="1" customHeight="1" x14ac:dyDescent="0.2">
      <c r="A162" s="1313"/>
      <c r="B162" s="1313"/>
      <c r="C162" s="1313"/>
      <c r="D162" s="173"/>
      <c r="E162" s="173"/>
      <c r="F162" s="1314"/>
      <c r="G162" s="1314"/>
      <c r="H162" s="174">
        <f t="shared" si="8"/>
        <v>0</v>
      </c>
      <c r="I162" s="167"/>
      <c r="J162" s="93"/>
      <c r="K162" s="93"/>
      <c r="L162" s="93"/>
    </row>
    <row r="163" spans="1:13" ht="18" hidden="1" customHeight="1" x14ac:dyDescent="0.2">
      <c r="A163" s="1313"/>
      <c r="B163" s="1313"/>
      <c r="C163" s="1313"/>
      <c r="D163" s="173"/>
      <c r="E163" s="173"/>
      <c r="F163" s="1314"/>
      <c r="G163" s="1314"/>
      <c r="H163" s="174">
        <f t="shared" si="8"/>
        <v>0</v>
      </c>
      <c r="I163" s="167"/>
      <c r="J163" s="93"/>
      <c r="K163" s="93"/>
      <c r="L163" s="93"/>
    </row>
    <row r="164" spans="1:13" ht="18" hidden="1" customHeight="1" x14ac:dyDescent="0.2">
      <c r="A164" s="1313"/>
      <c r="B164" s="1313"/>
      <c r="C164" s="1313"/>
      <c r="D164" s="173"/>
      <c r="E164" s="173"/>
      <c r="F164" s="1314"/>
      <c r="G164" s="1314"/>
      <c r="H164" s="174">
        <f t="shared" si="8"/>
        <v>0</v>
      </c>
      <c r="I164" s="167"/>
      <c r="J164" s="93"/>
      <c r="K164" s="93"/>
      <c r="L164" s="93"/>
    </row>
    <row r="165" spans="1:13" ht="18" hidden="1" customHeight="1" x14ac:dyDescent="0.2">
      <c r="A165" s="1313"/>
      <c r="B165" s="1313"/>
      <c r="C165" s="1313"/>
      <c r="D165" s="173"/>
      <c r="E165" s="173"/>
      <c r="F165" s="1314"/>
      <c r="G165" s="1314"/>
      <c r="H165" s="174">
        <f t="shared" si="7"/>
        <v>0</v>
      </c>
      <c r="I165" s="167"/>
      <c r="J165" s="93"/>
      <c r="K165" s="93"/>
      <c r="L165" s="93"/>
    </row>
    <row r="166" spans="1:13" ht="18" hidden="1" customHeight="1" x14ac:dyDescent="0.2">
      <c r="A166" s="1313"/>
      <c r="B166" s="1313"/>
      <c r="C166" s="1313"/>
      <c r="D166" s="173"/>
      <c r="E166" s="173"/>
      <c r="F166" s="1314"/>
      <c r="G166" s="1314"/>
      <c r="H166" s="174">
        <f t="shared" si="7"/>
        <v>0</v>
      </c>
      <c r="I166" s="167"/>
      <c r="J166" s="93"/>
      <c r="K166" s="93"/>
      <c r="L166" s="93"/>
    </row>
    <row r="167" spans="1:13" ht="18" hidden="1" customHeight="1" x14ac:dyDescent="0.2">
      <c r="A167" s="1313"/>
      <c r="B167" s="1313"/>
      <c r="C167" s="1313"/>
      <c r="D167" s="173"/>
      <c r="E167" s="173"/>
      <c r="F167" s="1314"/>
      <c r="G167" s="1314"/>
      <c r="H167" s="174">
        <f t="shared" si="7"/>
        <v>0</v>
      </c>
      <c r="I167" s="167"/>
      <c r="J167" s="93"/>
      <c r="K167" s="93"/>
      <c r="L167" s="93"/>
    </row>
    <row r="168" spans="1:13" ht="18" hidden="1" customHeight="1" x14ac:dyDescent="0.2">
      <c r="A168" s="1313"/>
      <c r="B168" s="1313"/>
      <c r="C168" s="1313"/>
      <c r="D168" s="173"/>
      <c r="E168" s="173"/>
      <c r="F168" s="1314"/>
      <c r="G168" s="1314"/>
      <c r="H168" s="174">
        <f t="shared" si="7"/>
        <v>0</v>
      </c>
      <c r="I168" s="167"/>
      <c r="J168" s="93"/>
      <c r="K168" s="93"/>
      <c r="L168" s="93"/>
    </row>
    <row r="169" spans="1:13" ht="18" hidden="1" customHeight="1" x14ac:dyDescent="0.2">
      <c r="A169" s="1313"/>
      <c r="B169" s="1313"/>
      <c r="C169" s="1313"/>
      <c r="D169" s="173"/>
      <c r="E169" s="173"/>
      <c r="F169" s="1314"/>
      <c r="G169" s="1314"/>
      <c r="H169" s="174">
        <f t="shared" si="7"/>
        <v>0</v>
      </c>
      <c r="I169" s="167"/>
      <c r="J169" s="93"/>
      <c r="K169" s="93"/>
      <c r="L169" s="93"/>
    </row>
    <row r="170" spans="1:13" ht="18" hidden="1" customHeight="1" x14ac:dyDescent="0.2">
      <c r="A170" s="1313"/>
      <c r="B170" s="1313"/>
      <c r="C170" s="1313"/>
      <c r="D170" s="173"/>
      <c r="E170" s="173"/>
      <c r="F170" s="1314"/>
      <c r="G170" s="1314"/>
      <c r="H170" s="174">
        <f t="shared" si="7"/>
        <v>0</v>
      </c>
      <c r="I170" s="167"/>
      <c r="J170" s="93"/>
      <c r="K170" s="93"/>
      <c r="L170" s="93"/>
    </row>
    <row r="171" spans="1:13" ht="18" hidden="1" customHeight="1" x14ac:dyDescent="0.2">
      <c r="A171" s="1313"/>
      <c r="B171" s="1313"/>
      <c r="C171" s="1313"/>
      <c r="D171" s="173"/>
      <c r="E171" s="173"/>
      <c r="F171" s="1314"/>
      <c r="G171" s="1314"/>
      <c r="H171" s="174">
        <f t="shared" si="7"/>
        <v>0</v>
      </c>
      <c r="I171" s="167"/>
      <c r="J171" s="93"/>
      <c r="K171" s="93"/>
      <c r="L171" s="93"/>
    </row>
    <row r="172" spans="1:13" ht="18" hidden="1" customHeight="1" x14ac:dyDescent="0.2">
      <c r="A172" s="1313"/>
      <c r="B172" s="1313"/>
      <c r="C172" s="1313"/>
      <c r="D172" s="173"/>
      <c r="E172" s="173"/>
      <c r="F172" s="1314"/>
      <c r="G172" s="1314"/>
      <c r="H172" s="174">
        <f t="shared" si="7"/>
        <v>0</v>
      </c>
      <c r="I172" s="167"/>
      <c r="J172" s="93"/>
      <c r="K172" s="93"/>
      <c r="L172" s="93"/>
      <c r="M172" s="382"/>
    </row>
    <row r="173" spans="1:13" ht="18" hidden="1" customHeight="1" x14ac:dyDescent="0.2">
      <c r="A173" s="1313"/>
      <c r="B173" s="1313"/>
      <c r="C173" s="1313"/>
      <c r="D173" s="173"/>
      <c r="E173" s="173"/>
      <c r="F173" s="1314"/>
      <c r="G173" s="1314"/>
      <c r="H173" s="174">
        <f t="shared" si="7"/>
        <v>0</v>
      </c>
      <c r="I173" s="167"/>
      <c r="J173" s="93"/>
      <c r="K173" s="93"/>
      <c r="L173" s="93"/>
    </row>
    <row r="174" spans="1:13" ht="18" hidden="1" customHeight="1" x14ac:dyDescent="0.2">
      <c r="A174" s="1313"/>
      <c r="B174" s="1313"/>
      <c r="C174" s="1313"/>
      <c r="D174" s="173"/>
      <c r="E174" s="173"/>
      <c r="F174" s="1314"/>
      <c r="G174" s="1314"/>
      <c r="H174" s="174">
        <f t="shared" si="7"/>
        <v>0</v>
      </c>
      <c r="I174" s="167"/>
      <c r="J174" s="93"/>
      <c r="K174" s="93"/>
      <c r="L174" s="93"/>
    </row>
    <row r="175" spans="1:13" ht="18" hidden="1" customHeight="1" x14ac:dyDescent="0.2">
      <c r="A175" s="1313"/>
      <c r="B175" s="1313"/>
      <c r="C175" s="1313"/>
      <c r="D175" s="173"/>
      <c r="E175" s="173"/>
      <c r="F175" s="1314"/>
      <c r="G175" s="1314"/>
      <c r="H175" s="174">
        <f t="shared" si="7"/>
        <v>0</v>
      </c>
      <c r="I175" s="167"/>
      <c r="J175" s="93"/>
      <c r="K175" s="93"/>
      <c r="L175" s="93"/>
    </row>
    <row r="176" spans="1:13" ht="18" hidden="1" customHeight="1" x14ac:dyDescent="0.2">
      <c r="A176" s="1313"/>
      <c r="B176" s="1313"/>
      <c r="C176" s="1313"/>
      <c r="D176" s="173"/>
      <c r="E176" s="173"/>
      <c r="F176" s="1314"/>
      <c r="G176" s="1314"/>
      <c r="H176" s="174">
        <f t="shared" si="7"/>
        <v>0</v>
      </c>
      <c r="I176" s="167"/>
      <c r="J176" s="93"/>
      <c r="K176" s="93"/>
      <c r="L176" s="93"/>
    </row>
    <row r="177" spans="1:12" ht="18" customHeight="1" x14ac:dyDescent="0.2">
      <c r="A177" s="1315" t="s">
        <v>609</v>
      </c>
      <c r="B177" s="1315"/>
      <c r="C177" s="1315"/>
      <c r="D177" s="1315"/>
      <c r="E177" s="1315"/>
      <c r="F177" s="1315"/>
      <c r="G177" s="1315"/>
      <c r="H177" s="175">
        <f>SUM(H122:H176)</f>
        <v>0</v>
      </c>
      <c r="I177" s="175">
        <f>SUM(I122:I176)</f>
        <v>0</v>
      </c>
      <c r="J177" s="175">
        <f>SUM(J122:J176)</f>
        <v>0</v>
      </c>
      <c r="K177" s="175">
        <f>SUM(K122:K176)</f>
        <v>0</v>
      </c>
      <c r="L177" s="175">
        <f>SUM(L122:L176)</f>
        <v>0</v>
      </c>
    </row>
    <row r="178" spans="1:12" ht="18" customHeight="1" x14ac:dyDescent="0.2">
      <c r="A178" s="1328" t="s">
        <v>610</v>
      </c>
      <c r="B178" s="1329"/>
      <c r="C178" s="1329"/>
      <c r="D178" s="1329"/>
      <c r="E178" s="1329"/>
      <c r="F178" s="1329"/>
      <c r="G178" s="1329"/>
      <c r="H178" s="1329"/>
      <c r="I178" s="1329"/>
      <c r="J178" s="1329"/>
      <c r="K178" s="1329"/>
      <c r="L178" s="1330"/>
    </row>
    <row r="179" spans="1:12" ht="18" customHeight="1" x14ac:dyDescent="0.2">
      <c r="A179" s="1313"/>
      <c r="B179" s="1313"/>
      <c r="C179" s="1313"/>
      <c r="D179" s="38"/>
      <c r="E179" s="38"/>
      <c r="F179" s="1314"/>
      <c r="G179" s="1314"/>
      <c r="H179" s="174">
        <f>E179*F179</f>
        <v>0</v>
      </c>
      <c r="I179" s="167"/>
      <c r="J179" s="93"/>
      <c r="K179" s="93"/>
      <c r="L179" s="93"/>
    </row>
    <row r="180" spans="1:12" ht="18" customHeight="1" x14ac:dyDescent="0.2">
      <c r="A180" s="1313"/>
      <c r="B180" s="1313"/>
      <c r="C180" s="1313"/>
      <c r="D180" s="38"/>
      <c r="E180" s="38"/>
      <c r="F180" s="1314"/>
      <c r="G180" s="1314"/>
      <c r="H180" s="174">
        <f t="shared" ref="H180:H219" si="9">E180*F180</f>
        <v>0</v>
      </c>
      <c r="I180" s="167"/>
      <c r="J180" s="93"/>
      <c r="K180" s="93"/>
      <c r="L180" s="93"/>
    </row>
    <row r="181" spans="1:12" ht="18" customHeight="1" x14ac:dyDescent="0.2">
      <c r="A181" s="1313"/>
      <c r="B181" s="1313"/>
      <c r="C181" s="1313"/>
      <c r="D181" s="38"/>
      <c r="E181" s="38"/>
      <c r="F181" s="1314"/>
      <c r="G181" s="1314"/>
      <c r="H181" s="174">
        <f t="shared" si="9"/>
        <v>0</v>
      </c>
      <c r="I181" s="167"/>
      <c r="J181" s="93"/>
      <c r="K181" s="93"/>
      <c r="L181" s="93"/>
    </row>
    <row r="182" spans="1:12" ht="18" hidden="1" customHeight="1" x14ac:dyDescent="0.2">
      <c r="A182" s="1313"/>
      <c r="B182" s="1313"/>
      <c r="C182" s="1313"/>
      <c r="D182" s="38"/>
      <c r="E182" s="38"/>
      <c r="F182" s="1314"/>
      <c r="G182" s="1314"/>
      <c r="H182" s="174">
        <f t="shared" si="9"/>
        <v>0</v>
      </c>
      <c r="I182" s="167"/>
      <c r="J182" s="93"/>
      <c r="K182" s="93"/>
      <c r="L182" s="93"/>
    </row>
    <row r="183" spans="1:12" ht="18" hidden="1" customHeight="1" x14ac:dyDescent="0.2">
      <c r="A183" s="1313"/>
      <c r="B183" s="1313"/>
      <c r="C183" s="1313"/>
      <c r="D183" s="38"/>
      <c r="E183" s="38"/>
      <c r="F183" s="1314"/>
      <c r="G183" s="1314"/>
      <c r="H183" s="174">
        <f t="shared" si="9"/>
        <v>0</v>
      </c>
      <c r="I183" s="167"/>
      <c r="J183" s="93"/>
      <c r="K183" s="93"/>
      <c r="L183" s="93"/>
    </row>
    <row r="184" spans="1:12" ht="18" hidden="1" customHeight="1" x14ac:dyDescent="0.2">
      <c r="A184" s="1313"/>
      <c r="B184" s="1313"/>
      <c r="C184" s="1313"/>
      <c r="D184" s="38"/>
      <c r="E184" s="38"/>
      <c r="F184" s="1314"/>
      <c r="G184" s="1314"/>
      <c r="H184" s="174">
        <f t="shared" si="9"/>
        <v>0</v>
      </c>
      <c r="I184" s="167"/>
      <c r="J184" s="93"/>
      <c r="K184" s="93"/>
      <c r="L184" s="93"/>
    </row>
    <row r="185" spans="1:12" ht="18" hidden="1" customHeight="1" x14ac:dyDescent="0.2">
      <c r="A185" s="1313"/>
      <c r="B185" s="1313"/>
      <c r="C185" s="1313"/>
      <c r="D185" s="38"/>
      <c r="E185" s="38"/>
      <c r="F185" s="1314"/>
      <c r="G185" s="1314"/>
      <c r="H185" s="174">
        <f t="shared" si="9"/>
        <v>0</v>
      </c>
      <c r="I185" s="167"/>
      <c r="J185" s="93"/>
      <c r="K185" s="93"/>
      <c r="L185" s="93"/>
    </row>
    <row r="186" spans="1:12" ht="18" hidden="1" customHeight="1" x14ac:dyDescent="0.2">
      <c r="A186" s="1313"/>
      <c r="B186" s="1313"/>
      <c r="C186" s="1313"/>
      <c r="D186" s="38"/>
      <c r="E186" s="38"/>
      <c r="F186" s="1314"/>
      <c r="G186" s="1314"/>
      <c r="H186" s="174">
        <f t="shared" si="9"/>
        <v>0</v>
      </c>
      <c r="I186" s="167"/>
      <c r="J186" s="93"/>
      <c r="K186" s="93"/>
      <c r="L186" s="93"/>
    </row>
    <row r="187" spans="1:12" ht="18" hidden="1" customHeight="1" x14ac:dyDescent="0.2">
      <c r="A187" s="1313"/>
      <c r="B187" s="1313"/>
      <c r="C187" s="1313"/>
      <c r="D187" s="38"/>
      <c r="E187" s="38"/>
      <c r="F187" s="1314"/>
      <c r="G187" s="1314"/>
      <c r="H187" s="174">
        <f t="shared" si="9"/>
        <v>0</v>
      </c>
      <c r="I187" s="167"/>
      <c r="J187" s="93"/>
      <c r="K187" s="93"/>
      <c r="L187" s="93"/>
    </row>
    <row r="188" spans="1:12" ht="18" hidden="1" customHeight="1" x14ac:dyDescent="0.2">
      <c r="A188" s="1313"/>
      <c r="B188" s="1313"/>
      <c r="C188" s="1313"/>
      <c r="D188" s="38"/>
      <c r="E188" s="38"/>
      <c r="F188" s="1314"/>
      <c r="G188" s="1314"/>
      <c r="H188" s="174">
        <f t="shared" si="9"/>
        <v>0</v>
      </c>
      <c r="I188" s="167"/>
      <c r="J188" s="93"/>
      <c r="K188" s="93"/>
      <c r="L188" s="93"/>
    </row>
    <row r="189" spans="1:12" ht="18" hidden="1" customHeight="1" x14ac:dyDescent="0.2">
      <c r="A189" s="1313"/>
      <c r="B189" s="1313"/>
      <c r="C189" s="1313"/>
      <c r="D189" s="38"/>
      <c r="E189" s="38"/>
      <c r="F189" s="1314"/>
      <c r="G189" s="1314"/>
      <c r="H189" s="174">
        <f t="shared" si="9"/>
        <v>0</v>
      </c>
      <c r="I189" s="167"/>
      <c r="J189" s="93"/>
      <c r="K189" s="93"/>
      <c r="L189" s="93"/>
    </row>
    <row r="190" spans="1:12" ht="18" hidden="1" customHeight="1" x14ac:dyDescent="0.2">
      <c r="A190" s="1313"/>
      <c r="B190" s="1313"/>
      <c r="C190" s="1313"/>
      <c r="D190" s="38"/>
      <c r="E190" s="38"/>
      <c r="F190" s="1314"/>
      <c r="G190" s="1314"/>
      <c r="H190" s="174">
        <f t="shared" si="9"/>
        <v>0</v>
      </c>
      <c r="I190" s="167"/>
      <c r="J190" s="93"/>
      <c r="K190" s="93"/>
      <c r="L190" s="93"/>
    </row>
    <row r="191" spans="1:12" ht="18" hidden="1" customHeight="1" x14ac:dyDescent="0.2">
      <c r="A191" s="1313"/>
      <c r="B191" s="1313"/>
      <c r="C191" s="1313"/>
      <c r="D191" s="38"/>
      <c r="E191" s="38"/>
      <c r="F191" s="1314"/>
      <c r="G191" s="1314"/>
      <c r="H191" s="174">
        <f t="shared" si="9"/>
        <v>0</v>
      </c>
      <c r="I191" s="167"/>
      <c r="J191" s="93"/>
      <c r="K191" s="93"/>
      <c r="L191" s="93"/>
    </row>
    <row r="192" spans="1:12" ht="18" hidden="1" customHeight="1" x14ac:dyDescent="0.2">
      <c r="A192" s="1313"/>
      <c r="B192" s="1313"/>
      <c r="C192" s="1313"/>
      <c r="D192" s="38"/>
      <c r="E192" s="38"/>
      <c r="F192" s="1314"/>
      <c r="G192" s="1314"/>
      <c r="H192" s="174">
        <f t="shared" si="9"/>
        <v>0</v>
      </c>
      <c r="I192" s="167"/>
      <c r="J192" s="93"/>
      <c r="K192" s="93"/>
      <c r="L192" s="93"/>
    </row>
    <row r="193" spans="1:12" ht="18" hidden="1" customHeight="1" x14ac:dyDescent="0.2">
      <c r="A193" s="1313"/>
      <c r="B193" s="1313"/>
      <c r="C193" s="1313"/>
      <c r="D193" s="38"/>
      <c r="E193" s="38"/>
      <c r="F193" s="1314"/>
      <c r="G193" s="1314"/>
      <c r="H193" s="174">
        <f t="shared" si="9"/>
        <v>0</v>
      </c>
      <c r="I193" s="167"/>
      <c r="J193" s="93"/>
      <c r="K193" s="93"/>
      <c r="L193" s="93"/>
    </row>
    <row r="194" spans="1:12" ht="18" hidden="1" customHeight="1" x14ac:dyDescent="0.2">
      <c r="A194" s="1313"/>
      <c r="B194" s="1313"/>
      <c r="C194" s="1313"/>
      <c r="D194" s="38"/>
      <c r="E194" s="38"/>
      <c r="F194" s="1314"/>
      <c r="G194" s="1314"/>
      <c r="H194" s="174">
        <f t="shared" si="9"/>
        <v>0</v>
      </c>
      <c r="I194" s="167"/>
      <c r="J194" s="93"/>
      <c r="K194" s="93"/>
      <c r="L194" s="93"/>
    </row>
    <row r="195" spans="1:12" ht="18" hidden="1" customHeight="1" x14ac:dyDescent="0.2">
      <c r="A195" s="1313"/>
      <c r="B195" s="1313"/>
      <c r="C195" s="1313"/>
      <c r="D195" s="38"/>
      <c r="E195" s="38"/>
      <c r="F195" s="1314"/>
      <c r="G195" s="1314"/>
      <c r="H195" s="174">
        <f t="shared" si="9"/>
        <v>0</v>
      </c>
      <c r="I195" s="167"/>
      <c r="J195" s="93"/>
      <c r="K195" s="93"/>
      <c r="L195" s="93"/>
    </row>
    <row r="196" spans="1:12" ht="18" hidden="1" customHeight="1" x14ac:dyDescent="0.2">
      <c r="A196" s="1313"/>
      <c r="B196" s="1313"/>
      <c r="C196" s="1313"/>
      <c r="D196" s="38"/>
      <c r="E196" s="38"/>
      <c r="F196" s="1314"/>
      <c r="G196" s="1314"/>
      <c r="H196" s="174">
        <f t="shared" si="9"/>
        <v>0</v>
      </c>
      <c r="I196" s="167"/>
      <c r="J196" s="93"/>
      <c r="K196" s="93"/>
      <c r="L196" s="93"/>
    </row>
    <row r="197" spans="1:12" ht="18" hidden="1" customHeight="1" x14ac:dyDescent="0.2">
      <c r="A197" s="1313"/>
      <c r="B197" s="1313"/>
      <c r="C197" s="1313"/>
      <c r="D197" s="38"/>
      <c r="E197" s="38"/>
      <c r="F197" s="1314"/>
      <c r="G197" s="1314"/>
      <c r="H197" s="174">
        <f t="shared" si="9"/>
        <v>0</v>
      </c>
      <c r="I197" s="167"/>
      <c r="J197" s="93"/>
      <c r="K197" s="93"/>
      <c r="L197" s="93"/>
    </row>
    <row r="198" spans="1:12" ht="18" hidden="1" customHeight="1" x14ac:dyDescent="0.2">
      <c r="A198" s="1313"/>
      <c r="B198" s="1313"/>
      <c r="C198" s="1313"/>
      <c r="D198" s="38"/>
      <c r="E198" s="38"/>
      <c r="F198" s="1314"/>
      <c r="G198" s="1314"/>
      <c r="H198" s="174">
        <f t="shared" si="9"/>
        <v>0</v>
      </c>
      <c r="I198" s="167"/>
      <c r="J198" s="93"/>
      <c r="K198" s="93"/>
      <c r="L198" s="93"/>
    </row>
    <row r="199" spans="1:12" ht="18" hidden="1" customHeight="1" x14ac:dyDescent="0.2">
      <c r="A199" s="1313"/>
      <c r="B199" s="1313"/>
      <c r="C199" s="1313"/>
      <c r="D199" s="38"/>
      <c r="E199" s="38"/>
      <c r="F199" s="1314"/>
      <c r="G199" s="1314"/>
      <c r="H199" s="174">
        <f t="shared" si="9"/>
        <v>0</v>
      </c>
      <c r="I199" s="167"/>
      <c r="J199" s="93"/>
      <c r="K199" s="93"/>
      <c r="L199" s="93"/>
    </row>
    <row r="200" spans="1:12" ht="18" hidden="1" customHeight="1" x14ac:dyDescent="0.2">
      <c r="A200" s="1313"/>
      <c r="B200" s="1313"/>
      <c r="C200" s="1313"/>
      <c r="D200" s="38"/>
      <c r="E200" s="38"/>
      <c r="F200" s="1314"/>
      <c r="G200" s="1314"/>
      <c r="H200" s="174">
        <f t="shared" si="9"/>
        <v>0</v>
      </c>
      <c r="I200" s="167"/>
      <c r="J200" s="93"/>
      <c r="K200" s="93"/>
      <c r="L200" s="93"/>
    </row>
    <row r="201" spans="1:12" ht="18" hidden="1" customHeight="1" x14ac:dyDescent="0.2">
      <c r="A201" s="1313"/>
      <c r="B201" s="1313"/>
      <c r="C201" s="1313"/>
      <c r="D201" s="38"/>
      <c r="E201" s="38"/>
      <c r="F201" s="1314"/>
      <c r="G201" s="1314"/>
      <c r="H201" s="174">
        <f t="shared" si="9"/>
        <v>0</v>
      </c>
      <c r="I201" s="167"/>
      <c r="J201" s="93"/>
      <c r="K201" s="93"/>
      <c r="L201" s="93"/>
    </row>
    <row r="202" spans="1:12" ht="18" hidden="1" customHeight="1" x14ac:dyDescent="0.2">
      <c r="A202" s="1313"/>
      <c r="B202" s="1313"/>
      <c r="C202" s="1313"/>
      <c r="D202" s="38"/>
      <c r="E202" s="38"/>
      <c r="F202" s="1314"/>
      <c r="G202" s="1314"/>
      <c r="H202" s="174">
        <f t="shared" si="9"/>
        <v>0</v>
      </c>
      <c r="I202" s="167"/>
      <c r="J202" s="93"/>
      <c r="K202" s="93"/>
      <c r="L202" s="93"/>
    </row>
    <row r="203" spans="1:12" ht="18" hidden="1" customHeight="1" x14ac:dyDescent="0.2">
      <c r="A203" s="1313"/>
      <c r="B203" s="1313"/>
      <c r="C203" s="1313"/>
      <c r="D203" s="38"/>
      <c r="E203" s="38"/>
      <c r="F203" s="1314"/>
      <c r="G203" s="1314"/>
      <c r="H203" s="174">
        <f t="shared" si="9"/>
        <v>0</v>
      </c>
      <c r="I203" s="167"/>
      <c r="J203" s="93"/>
      <c r="K203" s="93"/>
      <c r="L203" s="93"/>
    </row>
    <row r="204" spans="1:12" ht="18" hidden="1" customHeight="1" x14ac:dyDescent="0.2">
      <c r="A204" s="1313"/>
      <c r="B204" s="1313"/>
      <c r="C204" s="1313"/>
      <c r="D204" s="38"/>
      <c r="E204" s="38"/>
      <c r="F204" s="1314"/>
      <c r="G204" s="1314"/>
      <c r="H204" s="174">
        <f t="shared" si="9"/>
        <v>0</v>
      </c>
      <c r="I204" s="167"/>
      <c r="J204" s="93"/>
      <c r="K204" s="93"/>
      <c r="L204" s="93"/>
    </row>
    <row r="205" spans="1:12" ht="18" hidden="1" customHeight="1" x14ac:dyDescent="0.2">
      <c r="A205" s="1313"/>
      <c r="B205" s="1313"/>
      <c r="C205" s="1313"/>
      <c r="D205" s="38"/>
      <c r="E205" s="38"/>
      <c r="F205" s="1314"/>
      <c r="G205" s="1314"/>
      <c r="H205" s="174">
        <f t="shared" si="9"/>
        <v>0</v>
      </c>
      <c r="I205" s="167"/>
      <c r="J205" s="93"/>
      <c r="K205" s="93"/>
      <c r="L205" s="93"/>
    </row>
    <row r="206" spans="1:12" ht="18" hidden="1" customHeight="1" x14ac:dyDescent="0.2">
      <c r="A206" s="1313"/>
      <c r="B206" s="1313"/>
      <c r="C206" s="1313"/>
      <c r="D206" s="38"/>
      <c r="E206" s="38"/>
      <c r="F206" s="1314"/>
      <c r="G206" s="1314"/>
      <c r="H206" s="174">
        <f t="shared" si="9"/>
        <v>0</v>
      </c>
      <c r="I206" s="167"/>
      <c r="J206" s="93"/>
      <c r="K206" s="93"/>
      <c r="L206" s="93"/>
    </row>
    <row r="207" spans="1:12" ht="18" hidden="1" customHeight="1" x14ac:dyDescent="0.2">
      <c r="A207" s="1313"/>
      <c r="B207" s="1313"/>
      <c r="C207" s="1313"/>
      <c r="D207" s="38"/>
      <c r="E207" s="38"/>
      <c r="F207" s="1314"/>
      <c r="G207" s="1314"/>
      <c r="H207" s="174">
        <f t="shared" si="9"/>
        <v>0</v>
      </c>
      <c r="I207" s="167"/>
      <c r="J207" s="93"/>
      <c r="K207" s="93"/>
      <c r="L207" s="93"/>
    </row>
    <row r="208" spans="1:12" ht="18" hidden="1" customHeight="1" x14ac:dyDescent="0.2">
      <c r="A208" s="1313"/>
      <c r="B208" s="1313"/>
      <c r="C208" s="1313"/>
      <c r="D208" s="38"/>
      <c r="E208" s="38"/>
      <c r="F208" s="1314"/>
      <c r="G208" s="1314"/>
      <c r="H208" s="174">
        <f t="shared" si="9"/>
        <v>0</v>
      </c>
      <c r="I208" s="167"/>
      <c r="J208" s="93"/>
      <c r="K208" s="93"/>
      <c r="L208" s="93"/>
    </row>
    <row r="209" spans="1:12" ht="18" hidden="1" customHeight="1" x14ac:dyDescent="0.2">
      <c r="A209" s="1313"/>
      <c r="B209" s="1313"/>
      <c r="C209" s="1313"/>
      <c r="D209" s="38"/>
      <c r="E209" s="38"/>
      <c r="F209" s="1314"/>
      <c r="G209" s="1314"/>
      <c r="H209" s="174">
        <f t="shared" si="9"/>
        <v>0</v>
      </c>
      <c r="I209" s="167"/>
      <c r="J209" s="93"/>
      <c r="K209" s="93"/>
      <c r="L209" s="93"/>
    </row>
    <row r="210" spans="1:12" ht="18" hidden="1" customHeight="1" x14ac:dyDescent="0.2">
      <c r="A210" s="1313"/>
      <c r="B210" s="1313"/>
      <c r="C210" s="1313"/>
      <c r="D210" s="38"/>
      <c r="E210" s="38"/>
      <c r="F210" s="1314"/>
      <c r="G210" s="1314"/>
      <c r="H210" s="174">
        <f t="shared" si="9"/>
        <v>0</v>
      </c>
      <c r="I210" s="167"/>
      <c r="J210" s="93"/>
      <c r="K210" s="93"/>
      <c r="L210" s="93"/>
    </row>
    <row r="211" spans="1:12" ht="18" hidden="1" customHeight="1" x14ac:dyDescent="0.2">
      <c r="A211" s="1313"/>
      <c r="B211" s="1313"/>
      <c r="C211" s="1313"/>
      <c r="D211" s="38"/>
      <c r="E211" s="38"/>
      <c r="F211" s="1314"/>
      <c r="G211" s="1314"/>
      <c r="H211" s="174">
        <f t="shared" si="9"/>
        <v>0</v>
      </c>
      <c r="I211" s="167"/>
      <c r="J211" s="93"/>
      <c r="K211" s="93"/>
      <c r="L211" s="93"/>
    </row>
    <row r="212" spans="1:12" ht="18" hidden="1" customHeight="1" x14ac:dyDescent="0.2">
      <c r="A212" s="1313"/>
      <c r="B212" s="1313"/>
      <c r="C212" s="1313"/>
      <c r="D212" s="38"/>
      <c r="E212" s="38"/>
      <c r="F212" s="1314"/>
      <c r="G212" s="1314"/>
      <c r="H212" s="174">
        <f t="shared" si="9"/>
        <v>0</v>
      </c>
      <c r="I212" s="167"/>
      <c r="J212" s="93"/>
      <c r="K212" s="93"/>
      <c r="L212" s="93"/>
    </row>
    <row r="213" spans="1:12" ht="18" hidden="1" customHeight="1" x14ac:dyDescent="0.2">
      <c r="A213" s="1313"/>
      <c r="B213" s="1313"/>
      <c r="C213" s="1313"/>
      <c r="D213" s="38"/>
      <c r="E213" s="38"/>
      <c r="F213" s="1314"/>
      <c r="G213" s="1314"/>
      <c r="H213" s="174">
        <f t="shared" si="9"/>
        <v>0</v>
      </c>
      <c r="I213" s="167"/>
      <c r="J213" s="93"/>
      <c r="K213" s="93"/>
      <c r="L213" s="93"/>
    </row>
    <row r="214" spans="1:12" ht="18" hidden="1" customHeight="1" x14ac:dyDescent="0.2">
      <c r="A214" s="1313"/>
      <c r="B214" s="1313"/>
      <c r="C214" s="1313"/>
      <c r="D214" s="38"/>
      <c r="E214" s="38"/>
      <c r="F214" s="1314"/>
      <c r="G214" s="1314"/>
      <c r="H214" s="174">
        <f t="shared" si="9"/>
        <v>0</v>
      </c>
      <c r="I214" s="167"/>
      <c r="J214" s="93"/>
      <c r="K214" s="93"/>
      <c r="L214" s="93"/>
    </row>
    <row r="215" spans="1:12" ht="18" hidden="1" customHeight="1" x14ac:dyDescent="0.2">
      <c r="A215" s="1313"/>
      <c r="B215" s="1313"/>
      <c r="C215" s="1313"/>
      <c r="D215" s="38"/>
      <c r="E215" s="38"/>
      <c r="F215" s="1314"/>
      <c r="G215" s="1314"/>
      <c r="H215" s="174">
        <f t="shared" si="9"/>
        <v>0</v>
      </c>
      <c r="I215" s="167"/>
      <c r="J215" s="93"/>
      <c r="K215" s="93"/>
      <c r="L215" s="93"/>
    </row>
    <row r="216" spans="1:12" ht="18" hidden="1" customHeight="1" x14ac:dyDescent="0.2">
      <c r="A216" s="1313"/>
      <c r="B216" s="1313"/>
      <c r="C216" s="1313"/>
      <c r="D216" s="38"/>
      <c r="E216" s="38"/>
      <c r="F216" s="1314"/>
      <c r="G216" s="1314"/>
      <c r="H216" s="174">
        <f t="shared" si="9"/>
        <v>0</v>
      </c>
      <c r="I216" s="167"/>
      <c r="J216" s="93"/>
      <c r="K216" s="93"/>
      <c r="L216" s="93"/>
    </row>
    <row r="217" spans="1:12" ht="18" hidden="1" customHeight="1" x14ac:dyDescent="0.2">
      <c r="A217" s="1313"/>
      <c r="B217" s="1313"/>
      <c r="C217" s="1313"/>
      <c r="D217" s="38"/>
      <c r="E217" s="38"/>
      <c r="F217" s="1314"/>
      <c r="G217" s="1314"/>
      <c r="H217" s="174">
        <f t="shared" si="9"/>
        <v>0</v>
      </c>
      <c r="I217" s="167"/>
      <c r="J217" s="93"/>
      <c r="K217" s="93"/>
      <c r="L217" s="93"/>
    </row>
    <row r="218" spans="1:12" ht="18" hidden="1" customHeight="1" x14ac:dyDescent="0.2">
      <c r="A218" s="1313"/>
      <c r="B218" s="1313"/>
      <c r="C218" s="1313"/>
      <c r="D218" s="38"/>
      <c r="E218" s="38"/>
      <c r="F218" s="1314"/>
      <c r="G218" s="1314"/>
      <c r="H218" s="174">
        <f t="shared" si="9"/>
        <v>0</v>
      </c>
      <c r="I218" s="167"/>
      <c r="J218" s="93"/>
      <c r="K218" s="93"/>
      <c r="L218" s="93"/>
    </row>
    <row r="219" spans="1:12" ht="18" hidden="1" customHeight="1" x14ac:dyDescent="0.2">
      <c r="A219" s="1313"/>
      <c r="B219" s="1313"/>
      <c r="C219" s="1313"/>
      <c r="D219" s="38"/>
      <c r="E219" s="38"/>
      <c r="F219" s="1314"/>
      <c r="G219" s="1314"/>
      <c r="H219" s="174">
        <f t="shared" si="9"/>
        <v>0</v>
      </c>
      <c r="I219" s="167"/>
      <c r="J219" s="93"/>
      <c r="K219" s="93"/>
      <c r="L219" s="93"/>
    </row>
    <row r="220" spans="1:12" ht="18" hidden="1" customHeight="1" x14ac:dyDescent="0.2">
      <c r="A220" s="1313"/>
      <c r="B220" s="1313"/>
      <c r="C220" s="1313"/>
      <c r="D220" s="38"/>
      <c r="E220" s="38"/>
      <c r="F220" s="1314"/>
      <c r="G220" s="1314"/>
      <c r="H220" s="174">
        <f t="shared" ref="H220:H232" si="10">E220*F220</f>
        <v>0</v>
      </c>
      <c r="I220" s="167"/>
      <c r="J220" s="93"/>
      <c r="K220" s="93"/>
      <c r="L220" s="93"/>
    </row>
    <row r="221" spans="1:12" ht="18" hidden="1" customHeight="1" x14ac:dyDescent="0.2">
      <c r="A221" s="1313"/>
      <c r="B221" s="1313"/>
      <c r="C221" s="1313"/>
      <c r="D221" s="38"/>
      <c r="E221" s="38"/>
      <c r="F221" s="1314"/>
      <c r="G221" s="1314"/>
      <c r="H221" s="174">
        <f t="shared" si="10"/>
        <v>0</v>
      </c>
      <c r="I221" s="167"/>
      <c r="J221" s="93"/>
      <c r="K221" s="93"/>
      <c r="L221" s="93"/>
    </row>
    <row r="222" spans="1:12" ht="18" hidden="1" customHeight="1" x14ac:dyDescent="0.2">
      <c r="A222" s="1313"/>
      <c r="B222" s="1313"/>
      <c r="C222" s="1313"/>
      <c r="D222" s="38"/>
      <c r="E222" s="38"/>
      <c r="F222" s="1314"/>
      <c r="G222" s="1314"/>
      <c r="H222" s="174">
        <f t="shared" si="10"/>
        <v>0</v>
      </c>
      <c r="I222" s="167"/>
      <c r="J222" s="93"/>
      <c r="K222" s="93"/>
      <c r="L222" s="93"/>
    </row>
    <row r="223" spans="1:12" ht="18" hidden="1" customHeight="1" x14ac:dyDescent="0.2">
      <c r="A223" s="1313"/>
      <c r="B223" s="1313"/>
      <c r="C223" s="1313"/>
      <c r="D223" s="38"/>
      <c r="E223" s="38"/>
      <c r="F223" s="1314"/>
      <c r="G223" s="1314"/>
      <c r="H223" s="174">
        <f t="shared" si="10"/>
        <v>0</v>
      </c>
      <c r="I223" s="167"/>
      <c r="J223" s="93"/>
      <c r="K223" s="93"/>
      <c r="L223" s="93"/>
    </row>
    <row r="224" spans="1:12" ht="18" hidden="1" customHeight="1" x14ac:dyDescent="0.2">
      <c r="A224" s="1313"/>
      <c r="B224" s="1313"/>
      <c r="C224" s="1313"/>
      <c r="D224" s="38"/>
      <c r="E224" s="38"/>
      <c r="F224" s="1314"/>
      <c r="G224" s="1314"/>
      <c r="H224" s="174">
        <f t="shared" si="10"/>
        <v>0</v>
      </c>
      <c r="I224" s="167"/>
      <c r="J224" s="93"/>
      <c r="K224" s="93"/>
      <c r="L224" s="93"/>
    </row>
    <row r="225" spans="1:13" ht="18" hidden="1" customHeight="1" x14ac:dyDescent="0.2">
      <c r="A225" s="1313"/>
      <c r="B225" s="1313"/>
      <c r="C225" s="1313"/>
      <c r="D225" s="38"/>
      <c r="E225" s="38"/>
      <c r="F225" s="1314"/>
      <c r="G225" s="1314"/>
      <c r="H225" s="174">
        <f t="shared" si="10"/>
        <v>0</v>
      </c>
      <c r="I225" s="167"/>
      <c r="J225" s="93"/>
      <c r="K225" s="93"/>
      <c r="L225" s="93"/>
    </row>
    <row r="226" spans="1:13" ht="18" hidden="1" customHeight="1" x14ac:dyDescent="0.2">
      <c r="A226" s="1313"/>
      <c r="B226" s="1313"/>
      <c r="C226" s="1313"/>
      <c r="D226" s="38"/>
      <c r="E226" s="38"/>
      <c r="F226" s="1314"/>
      <c r="G226" s="1314"/>
      <c r="H226" s="174">
        <f t="shared" si="10"/>
        <v>0</v>
      </c>
      <c r="I226" s="167"/>
      <c r="J226" s="93"/>
      <c r="K226" s="93"/>
      <c r="L226" s="93"/>
    </row>
    <row r="227" spans="1:13" ht="18" hidden="1" customHeight="1" x14ac:dyDescent="0.2">
      <c r="A227" s="1313"/>
      <c r="B227" s="1313"/>
      <c r="C227" s="1313"/>
      <c r="D227" s="38"/>
      <c r="E227" s="38"/>
      <c r="F227" s="1314"/>
      <c r="G227" s="1314"/>
      <c r="H227" s="174">
        <f t="shared" si="10"/>
        <v>0</v>
      </c>
      <c r="I227" s="167"/>
      <c r="J227" s="93"/>
      <c r="K227" s="93"/>
      <c r="L227" s="93"/>
    </row>
    <row r="228" spans="1:13" ht="18" hidden="1" customHeight="1" x14ac:dyDescent="0.2">
      <c r="A228" s="1313"/>
      <c r="B228" s="1313"/>
      <c r="C228" s="1313"/>
      <c r="D228" s="38"/>
      <c r="E228" s="38"/>
      <c r="F228" s="1314"/>
      <c r="G228" s="1314"/>
      <c r="H228" s="174">
        <f t="shared" si="10"/>
        <v>0</v>
      </c>
      <c r="I228" s="167"/>
      <c r="J228" s="93"/>
      <c r="K228" s="93"/>
      <c r="L228" s="93"/>
    </row>
    <row r="229" spans="1:13" ht="18" hidden="1" customHeight="1" x14ac:dyDescent="0.2">
      <c r="A229" s="1313"/>
      <c r="B229" s="1313"/>
      <c r="C229" s="1313"/>
      <c r="D229" s="38"/>
      <c r="E229" s="38"/>
      <c r="F229" s="1314"/>
      <c r="G229" s="1314"/>
      <c r="H229" s="174">
        <f t="shared" si="10"/>
        <v>0</v>
      </c>
      <c r="I229" s="167"/>
      <c r="J229" s="93"/>
      <c r="K229" s="93"/>
      <c r="L229" s="93"/>
    </row>
    <row r="230" spans="1:13" ht="18" hidden="1" customHeight="1" x14ac:dyDescent="0.2">
      <c r="A230" s="1313"/>
      <c r="B230" s="1313"/>
      <c r="C230" s="1313"/>
      <c r="D230" s="38"/>
      <c r="E230" s="38"/>
      <c r="F230" s="1314"/>
      <c r="G230" s="1314"/>
      <c r="H230" s="174">
        <f t="shared" si="10"/>
        <v>0</v>
      </c>
      <c r="I230" s="167"/>
      <c r="J230" s="93"/>
      <c r="K230" s="93"/>
      <c r="L230" s="93"/>
    </row>
    <row r="231" spans="1:13" ht="18" hidden="1" customHeight="1" x14ac:dyDescent="0.2">
      <c r="A231" s="1313"/>
      <c r="B231" s="1313"/>
      <c r="C231" s="1313"/>
      <c r="D231" s="38"/>
      <c r="E231" s="38"/>
      <c r="F231" s="1314"/>
      <c r="G231" s="1314"/>
      <c r="H231" s="174">
        <f t="shared" si="10"/>
        <v>0</v>
      </c>
      <c r="I231" s="167"/>
      <c r="J231" s="93"/>
      <c r="K231" s="93"/>
      <c r="L231" s="93"/>
    </row>
    <row r="232" spans="1:13" ht="18" hidden="1" customHeight="1" x14ac:dyDescent="0.2">
      <c r="A232" s="1313"/>
      <c r="B232" s="1313"/>
      <c r="C232" s="1313"/>
      <c r="D232" s="38"/>
      <c r="E232" s="38"/>
      <c r="F232" s="1314"/>
      <c r="G232" s="1314"/>
      <c r="H232" s="174">
        <f t="shared" si="10"/>
        <v>0</v>
      </c>
      <c r="I232" s="167"/>
      <c r="J232" s="93"/>
      <c r="K232" s="93"/>
      <c r="L232" s="93"/>
    </row>
    <row r="233" spans="1:13" ht="18" customHeight="1" x14ac:dyDescent="0.2">
      <c r="A233" s="1315" t="s">
        <v>611</v>
      </c>
      <c r="B233" s="1315"/>
      <c r="C233" s="1315"/>
      <c r="D233" s="1315"/>
      <c r="E233" s="1315"/>
      <c r="F233" s="1315"/>
      <c r="G233" s="1315"/>
      <c r="H233" s="175">
        <f>SUM(H179:H232)</f>
        <v>0</v>
      </c>
      <c r="I233" s="175">
        <f>SUM(I179:I232)</f>
        <v>0</v>
      </c>
      <c r="J233" s="175">
        <f t="shared" ref="J233:L233" si="11">SUM(J179:J232)</f>
        <v>0</v>
      </c>
      <c r="K233" s="175">
        <f>SUM(K179:K232)</f>
        <v>0</v>
      </c>
      <c r="L233" s="175">
        <f t="shared" si="11"/>
        <v>0</v>
      </c>
    </row>
    <row r="234" spans="1:13" ht="18" customHeight="1" thickBot="1" x14ac:dyDescent="0.25">
      <c r="A234" s="1345"/>
      <c r="B234" s="1346"/>
      <c r="C234" s="1346"/>
      <c r="D234" s="1346"/>
      <c r="E234" s="1346"/>
      <c r="F234" s="1346"/>
      <c r="G234" s="1346"/>
      <c r="H234" s="1346"/>
    </row>
    <row r="235" spans="1:13" ht="18" customHeight="1" thickBot="1" x14ac:dyDescent="0.25">
      <c r="A235" s="1339" t="s">
        <v>612</v>
      </c>
      <c r="B235" s="1340"/>
      <c r="C235" s="1340"/>
      <c r="D235" s="1340"/>
      <c r="E235" s="1340"/>
      <c r="F235" s="1340"/>
      <c r="G235" s="1341"/>
      <c r="H235" s="430" t="s">
        <v>613</v>
      </c>
      <c r="I235" s="1331"/>
      <c r="J235" s="1331"/>
      <c r="K235" s="1331"/>
      <c r="L235" s="1332"/>
    </row>
    <row r="236" spans="1:13" ht="18" customHeight="1" x14ac:dyDescent="0.2">
      <c r="A236" s="1342" t="str">
        <f>IF(H235="Si","SUBTOTAL (antes de AU e IVA)", "SUBTOTAL (antes de administración)")</f>
        <v>SUBTOTAL (antes de administración)</v>
      </c>
      <c r="B236" s="1343"/>
      <c r="C236" s="1343"/>
      <c r="D236" s="1343"/>
      <c r="E236" s="1343"/>
      <c r="F236" s="1343"/>
      <c r="G236" s="1344"/>
      <c r="H236" s="176">
        <f>H41+H120+H177+H233</f>
        <v>0</v>
      </c>
      <c r="I236" s="176">
        <f>I41+I120+I177+I233</f>
        <v>0</v>
      </c>
      <c r="J236" s="176">
        <f>J41+J120+J177+J233</f>
        <v>0</v>
      </c>
      <c r="K236" s="176">
        <f>K41+K120+K177+K233</f>
        <v>0</v>
      </c>
      <c r="L236" s="177">
        <f>L41+L120+L177+L233</f>
        <v>0</v>
      </c>
    </row>
    <row r="237" spans="1:13" ht="18" customHeight="1" x14ac:dyDescent="0.2">
      <c r="A237" s="1333" t="str">
        <f>IF(H235="Si","Administración","Gastos de administración")</f>
        <v>Gastos de administración</v>
      </c>
      <c r="B237" s="1334"/>
      <c r="C237" s="1334"/>
      <c r="D237" s="1334"/>
      <c r="E237" s="1334"/>
      <c r="F237" s="1335"/>
      <c r="G237" s="178"/>
      <c r="H237" s="170">
        <f>H236*G237</f>
        <v>0</v>
      </c>
      <c r="I237" s="349"/>
      <c r="J237" s="349"/>
      <c r="K237" s="349"/>
      <c r="L237" s="179"/>
      <c r="M237" s="382" t="s">
        <v>391</v>
      </c>
    </row>
    <row r="238" spans="1:13" ht="18" customHeight="1" x14ac:dyDescent="0.2">
      <c r="A238" s="1333" t="str">
        <f>IF(H235="Si","Utilidad","")</f>
        <v/>
      </c>
      <c r="B238" s="1334"/>
      <c r="C238" s="1334"/>
      <c r="D238" s="1334"/>
      <c r="E238" s="1334"/>
      <c r="F238" s="1335"/>
      <c r="G238" s="178"/>
      <c r="H238" s="170">
        <f>H236*G238</f>
        <v>0</v>
      </c>
      <c r="I238" s="349"/>
      <c r="J238" s="349"/>
      <c r="K238" s="349"/>
      <c r="L238" s="179"/>
    </row>
    <row r="239" spans="1:13" ht="18" customHeight="1" x14ac:dyDescent="0.2">
      <c r="A239" s="1333" t="str">
        <f>IF(H235="Si","IVA","")</f>
        <v/>
      </c>
      <c r="B239" s="1334"/>
      <c r="C239" s="1334"/>
      <c r="D239" s="1334"/>
      <c r="E239" s="1334"/>
      <c r="F239" s="1335"/>
      <c r="G239" s="178"/>
      <c r="H239" s="170">
        <f>G239*(H236+H237+H238)</f>
        <v>0</v>
      </c>
      <c r="I239" s="349"/>
      <c r="J239" s="349"/>
      <c r="K239" s="349"/>
      <c r="L239" s="179"/>
      <c r="M239" s="378" t="s">
        <v>393</v>
      </c>
    </row>
    <row r="240" spans="1:13" ht="18" customHeight="1" x14ac:dyDescent="0.2">
      <c r="A240" s="1336" t="str">
        <f>IF(H235="Si","TOTAL (incluido AU e IVA)", "TOTAL (incluido administración)")</f>
        <v>TOTAL (incluido administración)</v>
      </c>
      <c r="B240" s="1337"/>
      <c r="C240" s="1337"/>
      <c r="D240" s="1337"/>
      <c r="E240" s="1337"/>
      <c r="F240" s="1337"/>
      <c r="G240" s="1338"/>
      <c r="H240" s="180">
        <f>SUM(H236:H239)</f>
        <v>0</v>
      </c>
      <c r="I240" s="181">
        <f>SUM(I236:I239)</f>
        <v>0</v>
      </c>
      <c r="J240" s="181">
        <f t="shared" ref="J240:L240" si="12">SUM(J236:J239)</f>
        <v>0</v>
      </c>
      <c r="K240" s="181">
        <f t="shared" si="12"/>
        <v>0</v>
      </c>
      <c r="L240" s="182">
        <f t="shared" si="12"/>
        <v>0</v>
      </c>
    </row>
    <row r="241" spans="1:12" ht="42" customHeight="1" x14ac:dyDescent="0.2">
      <c r="A241" s="183" t="s">
        <v>614</v>
      </c>
      <c r="B241" s="654"/>
      <c r="C241" s="184" t="s">
        <v>119</v>
      </c>
      <c r="D241" s="654"/>
      <c r="E241" s="184" t="str">
        <f>IF(H235="Si","Costo unitario (antes de AU e IVA)", "Costo unitario (antes de administración)")</f>
        <v>Costo unitario (antes de administración)</v>
      </c>
      <c r="F241" s="1356">
        <f>IFERROR(H236/B241,0)</f>
        <v>0</v>
      </c>
      <c r="G241" s="1357"/>
      <c r="H241" s="1358" t="s">
        <v>615</v>
      </c>
      <c r="I241" s="1358"/>
      <c r="J241" s="1358"/>
      <c r="K241" s="1358"/>
      <c r="L241" s="1359"/>
    </row>
    <row r="242" spans="1:12" ht="42" customHeight="1" thickBot="1" x14ac:dyDescent="0.25">
      <c r="A242" s="185" t="s">
        <v>614</v>
      </c>
      <c r="B242" s="655"/>
      <c r="C242" s="186" t="s">
        <v>119</v>
      </c>
      <c r="D242" s="655"/>
      <c r="E242" s="186" t="str">
        <f>IF(H235="Si","Costo unitario (AU e IVA incluido)", "Costo unitario (administración incluida)")</f>
        <v>Costo unitario (administración incluida)</v>
      </c>
      <c r="F242" s="1326">
        <f>IFERROR(H240/B242,0)</f>
        <v>0</v>
      </c>
      <c r="G242" s="1327"/>
      <c r="H242" s="1351"/>
      <c r="I242" s="1351"/>
      <c r="J242" s="1351"/>
      <c r="K242" s="1351"/>
      <c r="L242" s="1352"/>
    </row>
    <row r="243" spans="1:12" ht="18" customHeight="1" thickBot="1" x14ac:dyDescent="0.25">
      <c r="A243" s="1353"/>
      <c r="B243" s="1354"/>
      <c r="C243" s="1354"/>
      <c r="D243" s="1354"/>
      <c r="E243" s="1354"/>
      <c r="F243" s="1354"/>
      <c r="G243" s="1354"/>
      <c r="H243" s="1354"/>
      <c r="I243" s="1354"/>
      <c r="J243" s="1354"/>
      <c r="K243" s="1354"/>
      <c r="L243" s="1355"/>
    </row>
    <row r="244" spans="1:12" ht="42.75" customHeight="1" x14ac:dyDescent="0.2">
      <c r="A244" s="652" t="s">
        <v>614</v>
      </c>
      <c r="B244" s="656"/>
      <c r="C244" s="653" t="s">
        <v>119</v>
      </c>
      <c r="D244" s="656"/>
      <c r="E244" s="653" t="str">
        <f>IF(H235="Si","Costo unitario sin MO (antes de AU e IVA)", "Costo unitario sin MO (antes de administración)")</f>
        <v>Costo unitario sin MO (antes de administración)</v>
      </c>
      <c r="F244" s="1347">
        <f>IFERROR((H236-H41)/B244,0)</f>
        <v>0</v>
      </c>
      <c r="G244" s="1348"/>
      <c r="H244" s="1349" t="s">
        <v>615</v>
      </c>
      <c r="I244" s="1349"/>
      <c r="J244" s="1349"/>
      <c r="K244" s="1349"/>
      <c r="L244" s="1350"/>
    </row>
    <row r="245" spans="1:12" ht="43.5" customHeight="1" thickBot="1" x14ac:dyDescent="0.25">
      <c r="A245" s="185" t="s">
        <v>614</v>
      </c>
      <c r="B245" s="655"/>
      <c r="C245" s="186" t="s">
        <v>119</v>
      </c>
      <c r="D245" s="655"/>
      <c r="E245" s="186" t="str">
        <f>IF(H235="Si","Costo unitario sin MO (AU e IVA incluido)", "Costo unitario sin MO(administración incluida)")</f>
        <v>Costo unitario sin MO(administración incluida)</v>
      </c>
      <c r="F245" s="1326">
        <f>IFERROR((H240-H41)/B245,0)</f>
        <v>0</v>
      </c>
      <c r="G245" s="1327"/>
      <c r="H245" s="1351"/>
      <c r="I245" s="1351"/>
      <c r="J245" s="1351"/>
      <c r="K245" s="1351"/>
      <c r="L245" s="1352"/>
    </row>
  </sheetData>
  <sheetProtection formatCells="0" formatColumns="0" formatRows="0" insertColumns="0" insertRows="0" insertHyperlinks="0" deleteColumns="0" deleteRows="0" sort="0" autoFilter="0" pivotTables="0"/>
  <mergeCells count="414">
    <mergeCell ref="A215:C215"/>
    <mergeCell ref="F215:G215"/>
    <mergeCell ref="A216:C216"/>
    <mergeCell ref="F216:G216"/>
    <mergeCell ref="A217:C217"/>
    <mergeCell ref="F217:G217"/>
    <mergeCell ref="A218:C218"/>
    <mergeCell ref="F218:G218"/>
    <mergeCell ref="A219:C219"/>
    <mergeCell ref="F219:G219"/>
    <mergeCell ref="A210:C210"/>
    <mergeCell ref="F210:G210"/>
    <mergeCell ref="A211:C211"/>
    <mergeCell ref="F211:G211"/>
    <mergeCell ref="A212:C212"/>
    <mergeCell ref="F212:G212"/>
    <mergeCell ref="A213:C213"/>
    <mergeCell ref="F213:G213"/>
    <mergeCell ref="A214:C214"/>
    <mergeCell ref="F214:G214"/>
    <mergeCell ref="A205:C205"/>
    <mergeCell ref="F205:G205"/>
    <mergeCell ref="A206:C206"/>
    <mergeCell ref="F206:G206"/>
    <mergeCell ref="A207:C207"/>
    <mergeCell ref="F207:G207"/>
    <mergeCell ref="A208:C208"/>
    <mergeCell ref="F208:G208"/>
    <mergeCell ref="A209:C209"/>
    <mergeCell ref="F209:G209"/>
    <mergeCell ref="A200:C200"/>
    <mergeCell ref="F200:G200"/>
    <mergeCell ref="A201:C201"/>
    <mergeCell ref="F201:G201"/>
    <mergeCell ref="A202:C202"/>
    <mergeCell ref="F202:G202"/>
    <mergeCell ref="A203:C203"/>
    <mergeCell ref="F203:G203"/>
    <mergeCell ref="A204:C204"/>
    <mergeCell ref="F204:G204"/>
    <mergeCell ref="A195:C195"/>
    <mergeCell ref="F195:G195"/>
    <mergeCell ref="A196:C196"/>
    <mergeCell ref="F196:G196"/>
    <mergeCell ref="A197:C197"/>
    <mergeCell ref="F197:G197"/>
    <mergeCell ref="A198:C198"/>
    <mergeCell ref="F198:G198"/>
    <mergeCell ref="A199:C199"/>
    <mergeCell ref="F199:G199"/>
    <mergeCell ref="A190:C190"/>
    <mergeCell ref="F190:G190"/>
    <mergeCell ref="A191:C191"/>
    <mergeCell ref="F191:G191"/>
    <mergeCell ref="A192:C192"/>
    <mergeCell ref="F192:G192"/>
    <mergeCell ref="A193:C193"/>
    <mergeCell ref="F193:G193"/>
    <mergeCell ref="A194:C194"/>
    <mergeCell ref="F194:G194"/>
    <mergeCell ref="A185:C185"/>
    <mergeCell ref="F185:G185"/>
    <mergeCell ref="A186:C186"/>
    <mergeCell ref="F186:G186"/>
    <mergeCell ref="A187:C187"/>
    <mergeCell ref="F187:G187"/>
    <mergeCell ref="A188:C188"/>
    <mergeCell ref="F188:G188"/>
    <mergeCell ref="A189:C189"/>
    <mergeCell ref="F189:G189"/>
    <mergeCell ref="A180:C180"/>
    <mergeCell ref="F180:G180"/>
    <mergeCell ref="A181:C181"/>
    <mergeCell ref="F181:G181"/>
    <mergeCell ref="A182:C182"/>
    <mergeCell ref="F182:G182"/>
    <mergeCell ref="A183:C183"/>
    <mergeCell ref="F183:G183"/>
    <mergeCell ref="A184:C184"/>
    <mergeCell ref="F184:G184"/>
    <mergeCell ref="A146:C146"/>
    <mergeCell ref="F146:G146"/>
    <mergeCell ref="A147:C147"/>
    <mergeCell ref="F147:G147"/>
    <mergeCell ref="A148:C148"/>
    <mergeCell ref="F148:G148"/>
    <mergeCell ref="A149:C149"/>
    <mergeCell ref="F149:G149"/>
    <mergeCell ref="A150:C150"/>
    <mergeCell ref="F150:G150"/>
    <mergeCell ref="A141:C141"/>
    <mergeCell ref="F141:G141"/>
    <mergeCell ref="A142:C142"/>
    <mergeCell ref="F142:G142"/>
    <mergeCell ref="A143:C143"/>
    <mergeCell ref="F143:G143"/>
    <mergeCell ref="A144:C144"/>
    <mergeCell ref="F144:G144"/>
    <mergeCell ref="A145:C145"/>
    <mergeCell ref="F145:G145"/>
    <mergeCell ref="A164:C164"/>
    <mergeCell ref="F164:G164"/>
    <mergeCell ref="A123:C123"/>
    <mergeCell ref="F123:G123"/>
    <mergeCell ref="A124:C124"/>
    <mergeCell ref="F124:G124"/>
    <mergeCell ref="A125:C125"/>
    <mergeCell ref="F125:G125"/>
    <mergeCell ref="A126:C126"/>
    <mergeCell ref="F126:G126"/>
    <mergeCell ref="A127:C127"/>
    <mergeCell ref="F127:G127"/>
    <mergeCell ref="A128:C128"/>
    <mergeCell ref="F128:G128"/>
    <mergeCell ref="A129:C129"/>
    <mergeCell ref="F129:G129"/>
    <mergeCell ref="A130:C130"/>
    <mergeCell ref="F130:G130"/>
    <mergeCell ref="A131:C131"/>
    <mergeCell ref="F131:G131"/>
    <mergeCell ref="A132:C132"/>
    <mergeCell ref="F132:G132"/>
    <mergeCell ref="A133:C133"/>
    <mergeCell ref="F133:G133"/>
    <mergeCell ref="F159:G159"/>
    <mergeCell ref="A160:C160"/>
    <mergeCell ref="F160:G160"/>
    <mergeCell ref="A161:C161"/>
    <mergeCell ref="F161:G161"/>
    <mergeCell ref="A162:C162"/>
    <mergeCell ref="F162:G162"/>
    <mergeCell ref="A163:C163"/>
    <mergeCell ref="F163:G163"/>
    <mergeCell ref="A102:C102"/>
    <mergeCell ref="F102:G102"/>
    <mergeCell ref="A103:C103"/>
    <mergeCell ref="F103:G103"/>
    <mergeCell ref="A104:C104"/>
    <mergeCell ref="F104:G104"/>
    <mergeCell ref="A105:C105"/>
    <mergeCell ref="F105:G105"/>
    <mergeCell ref="A152:C152"/>
    <mergeCell ref="F152:G152"/>
    <mergeCell ref="A134:C134"/>
    <mergeCell ref="F134:G134"/>
    <mergeCell ref="A135:C135"/>
    <mergeCell ref="F135:G135"/>
    <mergeCell ref="A136:C136"/>
    <mergeCell ref="F136:G136"/>
    <mergeCell ref="A137:C137"/>
    <mergeCell ref="F137:G137"/>
    <mergeCell ref="A138:C138"/>
    <mergeCell ref="F138:G138"/>
    <mergeCell ref="A139:C139"/>
    <mergeCell ref="F139:G139"/>
    <mergeCell ref="A140:C140"/>
    <mergeCell ref="F140:G140"/>
    <mergeCell ref="A97:C97"/>
    <mergeCell ref="F97:G97"/>
    <mergeCell ref="A98:C98"/>
    <mergeCell ref="F98:G98"/>
    <mergeCell ref="A99:C99"/>
    <mergeCell ref="F99:G99"/>
    <mergeCell ref="A100:C100"/>
    <mergeCell ref="F100:G100"/>
    <mergeCell ref="A101:C101"/>
    <mergeCell ref="F101:G101"/>
    <mergeCell ref="A92:C92"/>
    <mergeCell ref="F92:G92"/>
    <mergeCell ref="A93:C93"/>
    <mergeCell ref="F93:G93"/>
    <mergeCell ref="A94:C94"/>
    <mergeCell ref="F94:G94"/>
    <mergeCell ref="A95:C95"/>
    <mergeCell ref="F95:G95"/>
    <mergeCell ref="A96:C96"/>
    <mergeCell ref="F96:G96"/>
    <mergeCell ref="A87:C87"/>
    <mergeCell ref="F87:G87"/>
    <mergeCell ref="A88:C88"/>
    <mergeCell ref="F88:G88"/>
    <mergeCell ref="A89:C89"/>
    <mergeCell ref="F89:G89"/>
    <mergeCell ref="A90:C90"/>
    <mergeCell ref="F90:G90"/>
    <mergeCell ref="A91:C91"/>
    <mergeCell ref="F91:G91"/>
    <mergeCell ref="A82:C82"/>
    <mergeCell ref="F82:G82"/>
    <mergeCell ref="A83:C83"/>
    <mergeCell ref="F83:G83"/>
    <mergeCell ref="A84:C84"/>
    <mergeCell ref="F84:G84"/>
    <mergeCell ref="A85:C85"/>
    <mergeCell ref="F85:G85"/>
    <mergeCell ref="A86:C86"/>
    <mergeCell ref="F86:G86"/>
    <mergeCell ref="A77:C77"/>
    <mergeCell ref="F77:G77"/>
    <mergeCell ref="A78:C78"/>
    <mergeCell ref="F78:G78"/>
    <mergeCell ref="A79:C79"/>
    <mergeCell ref="F79:G79"/>
    <mergeCell ref="A80:C80"/>
    <mergeCell ref="F80:G80"/>
    <mergeCell ref="A81:C81"/>
    <mergeCell ref="F81:G81"/>
    <mergeCell ref="A72:C72"/>
    <mergeCell ref="F72:G72"/>
    <mergeCell ref="A73:C73"/>
    <mergeCell ref="F73:G73"/>
    <mergeCell ref="A74:C74"/>
    <mergeCell ref="F74:G74"/>
    <mergeCell ref="A75:C75"/>
    <mergeCell ref="F75:G75"/>
    <mergeCell ref="A76:C76"/>
    <mergeCell ref="F76:G76"/>
    <mergeCell ref="A67:C67"/>
    <mergeCell ref="F67:G67"/>
    <mergeCell ref="A68:C68"/>
    <mergeCell ref="F68:G68"/>
    <mergeCell ref="A69:C69"/>
    <mergeCell ref="F69:G69"/>
    <mergeCell ref="A70:C70"/>
    <mergeCell ref="F70:G70"/>
    <mergeCell ref="A71:C71"/>
    <mergeCell ref="F71:G71"/>
    <mergeCell ref="A62:C62"/>
    <mergeCell ref="F62:G62"/>
    <mergeCell ref="A63:C63"/>
    <mergeCell ref="F63:G63"/>
    <mergeCell ref="A64:C64"/>
    <mergeCell ref="F64:G64"/>
    <mergeCell ref="A65:C65"/>
    <mergeCell ref="F65:G65"/>
    <mergeCell ref="A66:C66"/>
    <mergeCell ref="F66:G66"/>
    <mergeCell ref="A57:C57"/>
    <mergeCell ref="F57:G57"/>
    <mergeCell ref="A58:C58"/>
    <mergeCell ref="F58:G58"/>
    <mergeCell ref="A59:C59"/>
    <mergeCell ref="F59:G59"/>
    <mergeCell ref="A60:C60"/>
    <mergeCell ref="F60:G60"/>
    <mergeCell ref="A61:C61"/>
    <mergeCell ref="F61:G61"/>
    <mergeCell ref="F52:G52"/>
    <mergeCell ref="A53:C53"/>
    <mergeCell ref="F53:G53"/>
    <mergeCell ref="A54:C54"/>
    <mergeCell ref="F54:G54"/>
    <mergeCell ref="A55:C55"/>
    <mergeCell ref="F55:G55"/>
    <mergeCell ref="A56:C56"/>
    <mergeCell ref="F56:G56"/>
    <mergeCell ref="F244:G244"/>
    <mergeCell ref="H244:L245"/>
    <mergeCell ref="F245:G245"/>
    <mergeCell ref="A243:L243"/>
    <mergeCell ref="A230:C230"/>
    <mergeCell ref="F221:G221"/>
    <mergeCell ref="F222:G222"/>
    <mergeCell ref="F223:G223"/>
    <mergeCell ref="F224:G224"/>
    <mergeCell ref="F225:G225"/>
    <mergeCell ref="F226:G226"/>
    <mergeCell ref="F227:G227"/>
    <mergeCell ref="F228:G228"/>
    <mergeCell ref="F229:G229"/>
    <mergeCell ref="F230:G230"/>
    <mergeCell ref="A225:C225"/>
    <mergeCell ref="A226:C226"/>
    <mergeCell ref="A227:C227"/>
    <mergeCell ref="A228:C228"/>
    <mergeCell ref="A229:C229"/>
    <mergeCell ref="A231:C231"/>
    <mergeCell ref="F231:G231"/>
    <mergeCell ref="F241:G241"/>
    <mergeCell ref="H241:L242"/>
    <mergeCell ref="F174:G174"/>
    <mergeCell ref="A221:C221"/>
    <mergeCell ref="A222:C222"/>
    <mergeCell ref="A223:C223"/>
    <mergeCell ref="A224:C224"/>
    <mergeCell ref="F169:G169"/>
    <mergeCell ref="F170:G170"/>
    <mergeCell ref="F171:G171"/>
    <mergeCell ref="F172:G172"/>
    <mergeCell ref="F173:G173"/>
    <mergeCell ref="A170:C170"/>
    <mergeCell ref="A171:C171"/>
    <mergeCell ref="A172:C172"/>
    <mergeCell ref="A173:C173"/>
    <mergeCell ref="A174:C174"/>
    <mergeCell ref="A175:C175"/>
    <mergeCell ref="F175:G175"/>
    <mergeCell ref="A176:C176"/>
    <mergeCell ref="F176:G176"/>
    <mergeCell ref="A179:C179"/>
    <mergeCell ref="F179:G179"/>
    <mergeCell ref="A220:C220"/>
    <mergeCell ref="F220:G220"/>
    <mergeCell ref="A169:C169"/>
    <mergeCell ref="F165:G165"/>
    <mergeCell ref="F166:G166"/>
    <mergeCell ref="F167:G167"/>
    <mergeCell ref="F168:G168"/>
    <mergeCell ref="A151:C151"/>
    <mergeCell ref="F151:G151"/>
    <mergeCell ref="A119:C119"/>
    <mergeCell ref="F119:G119"/>
    <mergeCell ref="A120:G120"/>
    <mergeCell ref="A122:C122"/>
    <mergeCell ref="F122:G122"/>
    <mergeCell ref="A153:C153"/>
    <mergeCell ref="F153:G153"/>
    <mergeCell ref="A154:C154"/>
    <mergeCell ref="F154:G154"/>
    <mergeCell ref="A155:C155"/>
    <mergeCell ref="F155:G155"/>
    <mergeCell ref="A156:C156"/>
    <mergeCell ref="F156:G156"/>
    <mergeCell ref="A157:C157"/>
    <mergeCell ref="F157:G157"/>
    <mergeCell ref="A158:C158"/>
    <mergeCell ref="F158:G158"/>
    <mergeCell ref="A159:C159"/>
    <mergeCell ref="F242:G242"/>
    <mergeCell ref="A15:L15"/>
    <mergeCell ref="A43:L43"/>
    <mergeCell ref="A121:L121"/>
    <mergeCell ref="A178:L178"/>
    <mergeCell ref="I235:L235"/>
    <mergeCell ref="A237:F237"/>
    <mergeCell ref="A238:F238"/>
    <mergeCell ref="A239:F239"/>
    <mergeCell ref="A240:G240"/>
    <mergeCell ref="A235:G235"/>
    <mergeCell ref="A236:G236"/>
    <mergeCell ref="A234:H234"/>
    <mergeCell ref="A177:G177"/>
    <mergeCell ref="A232:C232"/>
    <mergeCell ref="F232:G232"/>
    <mergeCell ref="A233:G233"/>
    <mergeCell ref="F117:G117"/>
    <mergeCell ref="A165:C165"/>
    <mergeCell ref="A166:C166"/>
    <mergeCell ref="A167:C167"/>
    <mergeCell ref="A168:C168"/>
    <mergeCell ref="A108:C108"/>
    <mergeCell ref="F108:G108"/>
    <mergeCell ref="A12:H13"/>
    <mergeCell ref="I12:L12"/>
    <mergeCell ref="I13:J13"/>
    <mergeCell ref="K13:L13"/>
    <mergeCell ref="D1:L1"/>
    <mergeCell ref="D2:L2"/>
    <mergeCell ref="H3:L3"/>
    <mergeCell ref="F8:L8"/>
    <mergeCell ref="F9:L9"/>
    <mergeCell ref="F10:L10"/>
    <mergeCell ref="A8:E8"/>
    <mergeCell ref="A9:E9"/>
    <mergeCell ref="A10:E10"/>
    <mergeCell ref="A1:C3"/>
    <mergeCell ref="D3:G3"/>
    <mergeCell ref="A5:E5"/>
    <mergeCell ref="A6:E6"/>
    <mergeCell ref="F5:L5"/>
    <mergeCell ref="F6:L6"/>
    <mergeCell ref="A109:C109"/>
    <mergeCell ref="F109:G109"/>
    <mergeCell ref="A118:C118"/>
    <mergeCell ref="F118:G118"/>
    <mergeCell ref="A110:C110"/>
    <mergeCell ref="A111:C111"/>
    <mergeCell ref="A112:C112"/>
    <mergeCell ref="A113:C113"/>
    <mergeCell ref="A114:C114"/>
    <mergeCell ref="A115:C115"/>
    <mergeCell ref="A116:C116"/>
    <mergeCell ref="A117:C117"/>
    <mergeCell ref="F110:G110"/>
    <mergeCell ref="F111:G111"/>
    <mergeCell ref="F112:G112"/>
    <mergeCell ref="F113:G113"/>
    <mergeCell ref="F114:G114"/>
    <mergeCell ref="F115:G115"/>
    <mergeCell ref="F116:G116"/>
    <mergeCell ref="A45:C45"/>
    <mergeCell ref="F45:G45"/>
    <mergeCell ref="A106:C106"/>
    <mergeCell ref="F106:G106"/>
    <mergeCell ref="A107:C107"/>
    <mergeCell ref="F107:G107"/>
    <mergeCell ref="A41:G41"/>
    <mergeCell ref="A42:C42"/>
    <mergeCell ref="F42:G42"/>
    <mergeCell ref="A44:C44"/>
    <mergeCell ref="F44:G44"/>
    <mergeCell ref="A46:C46"/>
    <mergeCell ref="F46:G46"/>
    <mergeCell ref="A47:C47"/>
    <mergeCell ref="F47:G47"/>
    <mergeCell ref="A48:C48"/>
    <mergeCell ref="F48:G48"/>
    <mergeCell ref="A49:C49"/>
    <mergeCell ref="F49:G49"/>
    <mergeCell ref="A50:C50"/>
    <mergeCell ref="F50:G50"/>
    <mergeCell ref="A51:C51"/>
    <mergeCell ref="F51:G51"/>
    <mergeCell ref="A52:C52"/>
  </mergeCells>
  <dataValidations count="1">
    <dataValidation type="list" allowBlank="1" showInputMessage="1" showErrorMessage="1" sqref="H235" xr:uid="{00000000-0002-0000-0700-000000000000}">
      <formula1>"Si, No"</formula1>
    </dataValidation>
  </dataValidations>
  <hyperlinks>
    <hyperlink ref="M1" location="ins" display="Instructivo" xr:uid="{00000000-0004-0000-0700-000000000000}"/>
    <hyperlink ref="M239" location="IVA" display="Info IVA" xr:uid="{00000000-0004-0000-0700-000001000000}"/>
    <hyperlink ref="M237" location="gtosadm" display="Gastos de administración" xr:uid="{00000000-0004-0000-0700-000002000000}"/>
  </hyperlinks>
  <printOptions horizontalCentered="1"/>
  <pageMargins left="0" right="0" top="0" bottom="0" header="0" footer="0"/>
  <pageSetup scale="61" fitToHeight="0" orientation="landscape" horizontalDpi="4294967295" verticalDpi="4294967295"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25">
    <tabColor theme="5" tint="0.39997558519241921"/>
    <pageSetUpPr fitToPage="1"/>
  </sheetPr>
  <dimension ref="A1:O264"/>
  <sheetViews>
    <sheetView showGridLines="0" zoomScale="90" zoomScaleNormal="90" workbookViewId="0">
      <selection activeCell="A17" sqref="A17:E17"/>
    </sheetView>
  </sheetViews>
  <sheetFormatPr baseColWidth="10" defaultColWidth="11.5" defaultRowHeight="18" customHeight="1" x14ac:dyDescent="0.2"/>
  <cols>
    <col min="1" max="1" width="22.6640625" style="187" customWidth="1"/>
    <col min="2" max="2" width="11.83203125" style="187" customWidth="1"/>
    <col min="3" max="3" width="14.1640625" style="187" customWidth="1"/>
    <col min="4" max="4" width="18.83203125" style="187" customWidth="1"/>
    <col min="5" max="5" width="26.33203125" style="203" customWidth="1"/>
    <col min="6" max="12" width="18.83203125" style="71" customWidth="1"/>
    <col min="13" max="13" width="22.1640625" style="71" customWidth="1"/>
    <col min="14" max="14" width="16.1640625" style="71" bestFit="1" customWidth="1"/>
    <col min="15" max="15" width="14.83203125" style="71" bestFit="1" customWidth="1"/>
    <col min="16" max="16384" width="11.5" style="71"/>
  </cols>
  <sheetData>
    <row r="1" spans="1:14" ht="18" customHeight="1" x14ac:dyDescent="0.2">
      <c r="A1" s="1319"/>
      <c r="B1" s="1320"/>
      <c r="C1" s="1320"/>
      <c r="D1" s="1135" t="s">
        <v>0</v>
      </c>
      <c r="E1" s="1135"/>
      <c r="F1" s="1135"/>
      <c r="G1" s="1135"/>
      <c r="H1" s="1135"/>
      <c r="I1" s="1135"/>
      <c r="J1" s="1135"/>
      <c r="K1" s="1135"/>
      <c r="L1" s="1136"/>
      <c r="M1" s="339" t="s">
        <v>104</v>
      </c>
      <c r="N1" s="62"/>
    </row>
    <row r="2" spans="1:14" ht="18" customHeight="1" x14ac:dyDescent="0.2">
      <c r="A2" s="1321"/>
      <c r="B2" s="1322"/>
      <c r="C2" s="1322"/>
      <c r="D2" s="1137" t="s">
        <v>616</v>
      </c>
      <c r="E2" s="1137"/>
      <c r="F2" s="1137"/>
      <c r="G2" s="1137"/>
      <c r="H2" s="1137"/>
      <c r="I2" s="1137"/>
      <c r="J2" s="1137"/>
      <c r="K2" s="1137"/>
      <c r="L2" s="1138"/>
    </row>
    <row r="3" spans="1:14" ht="18" customHeight="1" thickBot="1" x14ac:dyDescent="0.25">
      <c r="A3" s="1323"/>
      <c r="B3" s="1324"/>
      <c r="C3" s="1324"/>
      <c r="D3" s="1139" t="s">
        <v>2</v>
      </c>
      <c r="E3" s="1139"/>
      <c r="F3" s="1139"/>
      <c r="G3" s="1139"/>
      <c r="H3" s="1139" t="str">
        <f>Instructivo!G3</f>
        <v>VERSIÓN: 04</v>
      </c>
      <c r="I3" s="1139"/>
      <c r="J3" s="1139"/>
      <c r="K3" s="1139"/>
      <c r="L3" s="1182"/>
    </row>
    <row r="4" spans="1:14" ht="18" customHeight="1" thickBot="1" x14ac:dyDescent="0.25">
      <c r="A4" s="241"/>
      <c r="B4" s="241"/>
      <c r="C4" s="241"/>
      <c r="D4" s="67"/>
      <c r="E4" s="67"/>
      <c r="F4" s="67"/>
      <c r="G4" s="67"/>
      <c r="H4" s="67"/>
      <c r="I4" s="67"/>
      <c r="J4" s="67"/>
      <c r="K4" s="67"/>
      <c r="L4" s="67"/>
    </row>
    <row r="5" spans="1:14" ht="24" customHeight="1" thickBot="1" x14ac:dyDescent="0.25">
      <c r="A5" s="1092" t="s">
        <v>106</v>
      </c>
      <c r="B5" s="1093"/>
      <c r="C5" s="1093"/>
      <c r="D5" s="1093"/>
      <c r="E5" s="1325"/>
      <c r="F5" s="956" t="str">
        <f>'Plan Ejecución'!AE5</f>
        <v>Licitación Pública</v>
      </c>
      <c r="G5" s="957"/>
      <c r="H5" s="957"/>
      <c r="I5" s="957"/>
      <c r="J5" s="957"/>
      <c r="K5" s="957"/>
      <c r="L5" s="958"/>
    </row>
    <row r="6" spans="1:14" ht="38.25" customHeight="1" thickBot="1" x14ac:dyDescent="0.25">
      <c r="A6" s="1092" t="s">
        <v>108</v>
      </c>
      <c r="B6" s="1093"/>
      <c r="C6" s="1093"/>
      <c r="D6" s="1093"/>
      <c r="E6" s="1325"/>
      <c r="F6" s="959" t="str">
        <f>'Plan Ejecución'!AE6</f>
        <v>“Adquirir el Programa de Seguros para la protección de los bienes e intereses, según los ramos y coberturas que requiera CORANTIOQUIA”.</v>
      </c>
      <c r="G6" s="960"/>
      <c r="H6" s="960"/>
      <c r="I6" s="960"/>
      <c r="J6" s="960"/>
      <c r="K6" s="960"/>
      <c r="L6" s="961"/>
    </row>
    <row r="7" spans="1:14" ht="18" customHeight="1" thickBot="1" x14ac:dyDescent="0.25">
      <c r="A7" s="61"/>
      <c r="B7" s="61"/>
      <c r="C7" s="61"/>
      <c r="D7" s="61"/>
      <c r="E7" s="61"/>
    </row>
    <row r="8" spans="1:14" s="67" customFormat="1" ht="18" customHeight="1" thickBot="1" x14ac:dyDescent="0.25">
      <c r="A8" s="1093" t="s">
        <v>428</v>
      </c>
      <c r="B8" s="1093"/>
      <c r="C8" s="1093"/>
      <c r="D8" s="1093"/>
      <c r="E8" s="1093"/>
      <c r="F8" s="1094"/>
      <c r="G8" s="1095"/>
      <c r="H8" s="1095"/>
      <c r="I8" s="1095"/>
      <c r="J8" s="1095"/>
      <c r="K8" s="1095"/>
      <c r="L8" s="1096"/>
    </row>
    <row r="9" spans="1:14" s="67" customFormat="1" ht="18" customHeight="1" thickBot="1" x14ac:dyDescent="0.25">
      <c r="A9" s="1093" t="s">
        <v>429</v>
      </c>
      <c r="B9" s="1093"/>
      <c r="C9" s="1093"/>
      <c r="D9" s="1093"/>
      <c r="E9" s="1093"/>
      <c r="F9" s="1094"/>
      <c r="G9" s="1095"/>
      <c r="H9" s="1095"/>
      <c r="I9" s="1095"/>
      <c r="J9" s="1095"/>
      <c r="K9" s="1095"/>
      <c r="L9" s="1096"/>
    </row>
    <row r="10" spans="1:14" ht="18" customHeight="1" thickBot="1" x14ac:dyDescent="0.25">
      <c r="A10" s="1093" t="s">
        <v>430</v>
      </c>
      <c r="B10" s="1093"/>
      <c r="C10" s="1093"/>
      <c r="D10" s="1093"/>
      <c r="E10" s="1093"/>
      <c r="F10" s="1094"/>
      <c r="G10" s="1095"/>
      <c r="H10" s="1095"/>
      <c r="I10" s="1095"/>
      <c r="J10" s="1095"/>
      <c r="K10" s="1095"/>
      <c r="L10" s="1096"/>
    </row>
    <row r="11" spans="1:14" ht="18" customHeight="1" thickBot="1" x14ac:dyDescent="0.25">
      <c r="A11" s="190"/>
      <c r="B11" s="190"/>
      <c r="C11" s="190"/>
      <c r="D11" s="190"/>
      <c r="E11" s="161"/>
      <c r="F11" s="162"/>
      <c r="G11" s="161"/>
      <c r="H11" s="162"/>
      <c r="I11" s="191"/>
      <c r="J11" s="191"/>
      <c r="K11" s="191"/>
      <c r="L11" s="191"/>
    </row>
    <row r="12" spans="1:14" ht="18" customHeight="1" x14ac:dyDescent="0.2">
      <c r="A12" s="1381" t="s">
        <v>603</v>
      </c>
      <c r="B12" s="1382"/>
      <c r="C12" s="1382"/>
      <c r="D12" s="1382"/>
      <c r="E12" s="1382"/>
      <c r="F12" s="1382"/>
      <c r="G12" s="1382"/>
      <c r="H12" s="1383"/>
      <c r="I12" s="1385" t="s">
        <v>403</v>
      </c>
      <c r="J12" s="1385"/>
      <c r="K12" s="1385"/>
      <c r="L12" s="1386"/>
    </row>
    <row r="13" spans="1:14" ht="18" customHeight="1" thickBot="1" x14ac:dyDescent="0.25">
      <c r="A13" s="1092"/>
      <c r="B13" s="1093"/>
      <c r="C13" s="1093"/>
      <c r="D13" s="1093"/>
      <c r="E13" s="1093"/>
      <c r="F13" s="1093"/>
      <c r="G13" s="1093"/>
      <c r="H13" s="1384"/>
      <c r="I13" s="1387" t="s">
        <v>405</v>
      </c>
      <c r="J13" s="1387"/>
      <c r="K13" s="1387" t="s">
        <v>406</v>
      </c>
      <c r="L13" s="1388"/>
    </row>
    <row r="14" spans="1:14" ht="18" customHeight="1" x14ac:dyDescent="0.2">
      <c r="A14" s="1375" t="s">
        <v>617</v>
      </c>
      <c r="B14" s="1376"/>
      <c r="C14" s="1376"/>
      <c r="D14" s="1376"/>
      <c r="E14" s="1376"/>
      <c r="F14" s="1376"/>
      <c r="G14" s="1376"/>
      <c r="H14" s="1376"/>
      <c r="I14" s="1376"/>
      <c r="J14" s="1376"/>
      <c r="K14" s="1376"/>
      <c r="L14" s="1377"/>
    </row>
    <row r="15" spans="1:14" ht="27" customHeight="1" x14ac:dyDescent="0.2">
      <c r="A15" s="348" t="s">
        <v>370</v>
      </c>
      <c r="B15" s="100" t="s">
        <v>371</v>
      </c>
      <c r="C15" s="100" t="s">
        <v>372</v>
      </c>
      <c r="D15" s="100" t="s">
        <v>119</v>
      </c>
      <c r="E15" s="100" t="s">
        <v>373</v>
      </c>
      <c r="F15" s="164" t="s">
        <v>374</v>
      </c>
      <c r="G15" s="100" t="s">
        <v>375</v>
      </c>
      <c r="H15" s="164" t="s">
        <v>376</v>
      </c>
      <c r="I15" s="166" t="s">
        <v>407</v>
      </c>
      <c r="J15" s="166" t="s">
        <v>408</v>
      </c>
      <c r="K15" s="166" t="s">
        <v>407</v>
      </c>
      <c r="L15" s="192" t="s">
        <v>408</v>
      </c>
    </row>
    <row r="16" spans="1:14" ht="18" customHeight="1" x14ac:dyDescent="0.2">
      <c r="A16" s="1378" t="s">
        <v>368</v>
      </c>
      <c r="B16" s="1379"/>
      <c r="C16" s="1379"/>
      <c r="D16" s="1379"/>
      <c r="E16" s="1379"/>
      <c r="F16" s="1379"/>
      <c r="G16" s="1379"/>
      <c r="H16" s="1379"/>
      <c r="I16" s="1379"/>
      <c r="J16" s="1379"/>
      <c r="K16" s="1379"/>
      <c r="L16" s="1380"/>
    </row>
    <row r="17" spans="1:15" ht="24" customHeight="1" x14ac:dyDescent="0.2">
      <c r="A17" s="350"/>
      <c r="B17" s="173"/>
      <c r="C17" s="169"/>
      <c r="D17" s="173"/>
      <c r="E17" s="173"/>
      <c r="F17" s="170"/>
      <c r="G17" s="194"/>
      <c r="H17" s="170">
        <f>B17*C17*E17*F17*G17</f>
        <v>0</v>
      </c>
      <c r="I17" s="170"/>
      <c r="J17" s="170"/>
      <c r="K17" s="170"/>
      <c r="L17" s="195"/>
      <c r="N17" s="193"/>
      <c r="O17" s="193"/>
    </row>
    <row r="18" spans="1:15" ht="18" customHeight="1" x14ac:dyDescent="0.2">
      <c r="A18" s="350"/>
      <c r="B18" s="173"/>
      <c r="C18" s="169"/>
      <c r="D18" s="173"/>
      <c r="E18" s="173"/>
      <c r="F18" s="170"/>
      <c r="G18" s="194"/>
      <c r="H18" s="170">
        <f>B18*C18*E18*F18*G18</f>
        <v>0</v>
      </c>
      <c r="I18" s="170"/>
      <c r="J18" s="170"/>
      <c r="K18" s="170"/>
      <c r="L18" s="195"/>
    </row>
    <row r="19" spans="1:15" ht="18" customHeight="1" x14ac:dyDescent="0.2">
      <c r="A19" s="350"/>
      <c r="B19" s="173"/>
      <c r="C19" s="169"/>
      <c r="D19" s="173"/>
      <c r="E19" s="173"/>
      <c r="F19" s="170"/>
      <c r="G19" s="194"/>
      <c r="H19" s="170">
        <f t="shared" ref="H19:H27" si="0">B19*C19*E19*F19*G19</f>
        <v>0</v>
      </c>
      <c r="I19" s="170"/>
      <c r="J19" s="170"/>
      <c r="K19" s="170"/>
      <c r="L19" s="195"/>
    </row>
    <row r="20" spans="1:15" ht="18" hidden="1" customHeight="1" x14ac:dyDescent="0.2">
      <c r="A20" s="350"/>
      <c r="B20" s="173"/>
      <c r="C20" s="169"/>
      <c r="D20" s="173"/>
      <c r="E20" s="173"/>
      <c r="F20" s="170"/>
      <c r="G20" s="194"/>
      <c r="H20" s="170">
        <f t="shared" si="0"/>
        <v>0</v>
      </c>
      <c r="I20" s="170"/>
      <c r="J20" s="170"/>
      <c r="K20" s="170"/>
      <c r="L20" s="195"/>
    </row>
    <row r="21" spans="1:15" ht="18" hidden="1" customHeight="1" x14ac:dyDescent="0.2">
      <c r="A21" s="350"/>
      <c r="B21" s="173"/>
      <c r="C21" s="169"/>
      <c r="D21" s="173"/>
      <c r="E21" s="173"/>
      <c r="F21" s="170"/>
      <c r="G21" s="194"/>
      <c r="H21" s="170">
        <f t="shared" si="0"/>
        <v>0</v>
      </c>
      <c r="I21" s="170"/>
      <c r="J21" s="170"/>
      <c r="K21" s="170"/>
      <c r="L21" s="195"/>
    </row>
    <row r="22" spans="1:15" ht="18" hidden="1" customHeight="1" x14ac:dyDescent="0.2">
      <c r="A22" s="350"/>
      <c r="B22" s="173"/>
      <c r="C22" s="169"/>
      <c r="D22" s="173"/>
      <c r="E22" s="173"/>
      <c r="F22" s="170"/>
      <c r="G22" s="194"/>
      <c r="H22" s="170">
        <f t="shared" si="0"/>
        <v>0</v>
      </c>
      <c r="I22" s="170"/>
      <c r="J22" s="170"/>
      <c r="K22" s="170"/>
      <c r="L22" s="195"/>
    </row>
    <row r="23" spans="1:15" ht="18" hidden="1" customHeight="1" x14ac:dyDescent="0.2">
      <c r="A23" s="350"/>
      <c r="B23" s="173"/>
      <c r="C23" s="169"/>
      <c r="D23" s="173"/>
      <c r="E23" s="173"/>
      <c r="F23" s="170"/>
      <c r="G23" s="194"/>
      <c r="H23" s="170">
        <f t="shared" si="0"/>
        <v>0</v>
      </c>
      <c r="I23" s="170"/>
      <c r="J23" s="170"/>
      <c r="K23" s="170"/>
      <c r="L23" s="195"/>
    </row>
    <row r="24" spans="1:15" ht="18" hidden="1" customHeight="1" x14ac:dyDescent="0.2">
      <c r="A24" s="350"/>
      <c r="B24" s="173"/>
      <c r="C24" s="169"/>
      <c r="D24" s="173"/>
      <c r="E24" s="173"/>
      <c r="F24" s="170"/>
      <c r="G24" s="194"/>
      <c r="H24" s="170">
        <f t="shared" si="0"/>
        <v>0</v>
      </c>
      <c r="I24" s="170"/>
      <c r="J24" s="170"/>
      <c r="K24" s="170"/>
      <c r="L24" s="195"/>
    </row>
    <row r="25" spans="1:15" ht="18" hidden="1" customHeight="1" x14ac:dyDescent="0.2">
      <c r="A25" s="196"/>
      <c r="B25" s="168"/>
      <c r="C25" s="169"/>
      <c r="D25" s="168"/>
      <c r="E25" s="168"/>
      <c r="F25" s="170"/>
      <c r="G25" s="171"/>
      <c r="H25" s="170">
        <f t="shared" si="0"/>
        <v>0</v>
      </c>
      <c r="I25" s="170"/>
      <c r="J25" s="170"/>
      <c r="K25" s="170"/>
      <c r="L25" s="195"/>
    </row>
    <row r="26" spans="1:15" ht="18" hidden="1" customHeight="1" x14ac:dyDescent="0.2">
      <c r="A26" s="196"/>
      <c r="B26" s="168"/>
      <c r="C26" s="169"/>
      <c r="D26" s="168"/>
      <c r="E26" s="168"/>
      <c r="F26" s="170"/>
      <c r="G26" s="171"/>
      <c r="H26" s="170">
        <f t="shared" si="0"/>
        <v>0</v>
      </c>
      <c r="I26" s="170"/>
      <c r="J26" s="170"/>
      <c r="K26" s="170"/>
      <c r="L26" s="195"/>
    </row>
    <row r="27" spans="1:15" ht="18" hidden="1" customHeight="1" x14ac:dyDescent="0.2">
      <c r="A27" s="196"/>
      <c r="B27" s="168"/>
      <c r="C27" s="169"/>
      <c r="D27" s="168"/>
      <c r="E27" s="168"/>
      <c r="F27" s="170"/>
      <c r="G27" s="168"/>
      <c r="H27" s="170">
        <f t="shared" si="0"/>
        <v>0</v>
      </c>
      <c r="I27" s="170"/>
      <c r="J27" s="170"/>
      <c r="K27" s="170"/>
      <c r="L27" s="195"/>
    </row>
    <row r="28" spans="1:15" ht="18" customHeight="1" x14ac:dyDescent="0.2">
      <c r="A28" s="1374" t="s">
        <v>604</v>
      </c>
      <c r="B28" s="1315"/>
      <c r="C28" s="1315"/>
      <c r="D28" s="1315"/>
      <c r="E28" s="1315"/>
      <c r="F28" s="1315"/>
      <c r="G28" s="1315"/>
      <c r="H28" s="172">
        <f>SUM(H17:H27)</f>
        <v>0</v>
      </c>
      <c r="I28" s="172">
        <f>SUM(I17:I27)</f>
        <v>0</v>
      </c>
      <c r="J28" s="172">
        <f>SUM(J17:J27)</f>
        <v>0</v>
      </c>
      <c r="K28" s="172">
        <f>SUM(K17:K27)</f>
        <v>0</v>
      </c>
      <c r="L28" s="197">
        <f>SUM(L17:L27)</f>
        <v>0</v>
      </c>
    </row>
    <row r="29" spans="1:15" ht="27.75" customHeight="1" x14ac:dyDescent="0.2">
      <c r="A29" s="1146" t="s">
        <v>370</v>
      </c>
      <c r="B29" s="1147"/>
      <c r="C29" s="1147"/>
      <c r="D29" s="108" t="s">
        <v>119</v>
      </c>
      <c r="E29" s="108" t="s">
        <v>373</v>
      </c>
      <c r="F29" s="1147" t="s">
        <v>431</v>
      </c>
      <c r="G29" s="1147"/>
      <c r="H29" s="198" t="s">
        <v>432</v>
      </c>
      <c r="I29" s="166" t="s">
        <v>407</v>
      </c>
      <c r="J29" s="166" t="s">
        <v>408</v>
      </c>
      <c r="K29" s="166" t="s">
        <v>407</v>
      </c>
      <c r="L29" s="192" t="s">
        <v>408</v>
      </c>
    </row>
    <row r="30" spans="1:15" ht="18" customHeight="1" x14ac:dyDescent="0.2">
      <c r="A30" s="1378" t="s">
        <v>618</v>
      </c>
      <c r="B30" s="1379"/>
      <c r="C30" s="1379"/>
      <c r="D30" s="1379"/>
      <c r="E30" s="1379"/>
      <c r="F30" s="1379"/>
      <c r="G30" s="1379"/>
      <c r="H30" s="1379"/>
      <c r="I30" s="1379"/>
      <c r="J30" s="1379"/>
      <c r="K30" s="1379"/>
      <c r="L30" s="1380"/>
    </row>
    <row r="31" spans="1:15" ht="18" customHeight="1" x14ac:dyDescent="0.2">
      <c r="A31" s="1366"/>
      <c r="B31" s="1313"/>
      <c r="C31" s="1313"/>
      <c r="D31" s="38"/>
      <c r="E31" s="38"/>
      <c r="F31" s="1314"/>
      <c r="G31" s="1314"/>
      <c r="H31" s="170">
        <f>E31*F31</f>
        <v>0</v>
      </c>
      <c r="I31" s="349"/>
      <c r="J31" s="349"/>
      <c r="K31" s="199"/>
      <c r="L31" s="200"/>
    </row>
    <row r="32" spans="1:15" ht="18" customHeight="1" x14ac:dyDescent="0.2">
      <c r="A32" s="1366"/>
      <c r="B32" s="1313"/>
      <c r="C32" s="1313"/>
      <c r="D32" s="38"/>
      <c r="E32" s="38"/>
      <c r="F32" s="1314"/>
      <c r="G32" s="1314"/>
      <c r="H32" s="170">
        <f>E32*F32</f>
        <v>0</v>
      </c>
      <c r="I32" s="349"/>
      <c r="J32" s="349"/>
      <c r="K32" s="199"/>
      <c r="L32" s="200"/>
    </row>
    <row r="33" spans="1:13" ht="18" customHeight="1" x14ac:dyDescent="0.2">
      <c r="A33" s="1366"/>
      <c r="B33" s="1313"/>
      <c r="C33" s="1313"/>
      <c r="D33" s="38"/>
      <c r="E33" s="38"/>
      <c r="F33" s="1314"/>
      <c r="G33" s="1314"/>
      <c r="H33" s="170">
        <f t="shared" ref="H33:H44" si="1">E33*F33</f>
        <v>0</v>
      </c>
      <c r="I33" s="349"/>
      <c r="J33" s="349"/>
      <c r="K33" s="199"/>
      <c r="L33" s="200"/>
    </row>
    <row r="34" spans="1:13" ht="18" hidden="1" customHeight="1" x14ac:dyDescent="0.2">
      <c r="A34" s="1366"/>
      <c r="B34" s="1313"/>
      <c r="C34" s="1313"/>
      <c r="D34" s="38"/>
      <c r="E34" s="38"/>
      <c r="F34" s="1314"/>
      <c r="G34" s="1314"/>
      <c r="H34" s="170">
        <f t="shared" si="1"/>
        <v>0</v>
      </c>
      <c r="I34" s="349"/>
      <c r="J34" s="349"/>
      <c r="K34" s="199"/>
      <c r="L34" s="200"/>
    </row>
    <row r="35" spans="1:13" ht="18" hidden="1" customHeight="1" x14ac:dyDescent="0.2">
      <c r="A35" s="1366"/>
      <c r="B35" s="1313"/>
      <c r="C35" s="1313"/>
      <c r="D35" s="38"/>
      <c r="E35" s="38"/>
      <c r="F35" s="1314"/>
      <c r="G35" s="1314"/>
      <c r="H35" s="170">
        <f t="shared" si="1"/>
        <v>0</v>
      </c>
      <c r="I35" s="349"/>
      <c r="J35" s="349"/>
      <c r="K35" s="199"/>
      <c r="L35" s="200"/>
    </row>
    <row r="36" spans="1:13" ht="18" hidden="1" customHeight="1" x14ac:dyDescent="0.2">
      <c r="A36" s="1366"/>
      <c r="B36" s="1313"/>
      <c r="C36" s="1313"/>
      <c r="D36" s="38"/>
      <c r="E36" s="38"/>
      <c r="F36" s="1314"/>
      <c r="G36" s="1314"/>
      <c r="H36" s="170">
        <f t="shared" si="1"/>
        <v>0</v>
      </c>
      <c r="I36" s="349"/>
      <c r="J36" s="349"/>
      <c r="K36" s="199"/>
      <c r="L36" s="200"/>
    </row>
    <row r="37" spans="1:13" ht="18" hidden="1" customHeight="1" x14ac:dyDescent="0.2">
      <c r="A37" s="1366"/>
      <c r="B37" s="1313"/>
      <c r="C37" s="1313"/>
      <c r="D37" s="38"/>
      <c r="E37" s="38"/>
      <c r="F37" s="1314"/>
      <c r="G37" s="1314"/>
      <c r="H37" s="170">
        <f t="shared" si="1"/>
        <v>0</v>
      </c>
      <c r="I37" s="349"/>
      <c r="J37" s="349"/>
      <c r="K37" s="199"/>
      <c r="L37" s="200"/>
    </row>
    <row r="38" spans="1:13" ht="18" hidden="1" customHeight="1" x14ac:dyDescent="0.2">
      <c r="A38" s="1366"/>
      <c r="B38" s="1313"/>
      <c r="C38" s="1313"/>
      <c r="D38" s="38"/>
      <c r="E38" s="38"/>
      <c r="F38" s="1314"/>
      <c r="G38" s="1314"/>
      <c r="H38" s="170">
        <f t="shared" si="1"/>
        <v>0</v>
      </c>
      <c r="I38" s="349"/>
      <c r="J38" s="349"/>
      <c r="K38" s="199"/>
      <c r="L38" s="200"/>
    </row>
    <row r="39" spans="1:13" ht="18" hidden="1" customHeight="1" x14ac:dyDescent="0.2">
      <c r="A39" s="1366"/>
      <c r="B39" s="1313"/>
      <c r="C39" s="1313"/>
      <c r="D39" s="38"/>
      <c r="E39" s="38"/>
      <c r="F39" s="1314"/>
      <c r="G39" s="1314"/>
      <c r="H39" s="170">
        <f t="shared" si="1"/>
        <v>0</v>
      </c>
      <c r="I39" s="349"/>
      <c r="J39" s="349"/>
      <c r="K39" s="199"/>
      <c r="L39" s="200"/>
    </row>
    <row r="40" spans="1:13" ht="18" hidden="1" customHeight="1" x14ac:dyDescent="0.2">
      <c r="A40" s="1366"/>
      <c r="B40" s="1313"/>
      <c r="C40" s="1313"/>
      <c r="D40" s="38"/>
      <c r="E40" s="38"/>
      <c r="F40" s="1314"/>
      <c r="G40" s="1314"/>
      <c r="H40" s="170">
        <f t="shared" si="1"/>
        <v>0</v>
      </c>
      <c r="I40" s="349"/>
      <c r="J40" s="349"/>
      <c r="K40" s="199"/>
      <c r="L40" s="200"/>
    </row>
    <row r="41" spans="1:13" ht="18" hidden="1" customHeight="1" x14ac:dyDescent="0.2">
      <c r="A41" s="1366"/>
      <c r="B41" s="1313"/>
      <c r="C41" s="1313"/>
      <c r="D41" s="38"/>
      <c r="E41" s="38"/>
      <c r="F41" s="1314"/>
      <c r="G41" s="1314"/>
      <c r="H41" s="170">
        <f t="shared" si="1"/>
        <v>0</v>
      </c>
      <c r="I41" s="349"/>
      <c r="J41" s="349"/>
      <c r="K41" s="199"/>
      <c r="L41" s="200"/>
    </row>
    <row r="42" spans="1:13" ht="18" hidden="1" customHeight="1" x14ac:dyDescent="0.2">
      <c r="A42" s="1366"/>
      <c r="B42" s="1313"/>
      <c r="C42" s="1313"/>
      <c r="D42" s="38"/>
      <c r="E42" s="38"/>
      <c r="F42" s="1314"/>
      <c r="G42" s="1314"/>
      <c r="H42" s="170">
        <f t="shared" si="1"/>
        <v>0</v>
      </c>
      <c r="I42" s="349"/>
      <c r="J42" s="349"/>
      <c r="K42" s="199"/>
      <c r="L42" s="200"/>
    </row>
    <row r="43" spans="1:13" ht="18" hidden="1" customHeight="1" x14ac:dyDescent="0.2">
      <c r="A43" s="1366"/>
      <c r="B43" s="1313"/>
      <c r="C43" s="1313"/>
      <c r="D43" s="38"/>
      <c r="E43" s="38"/>
      <c r="F43" s="1314"/>
      <c r="G43" s="1314"/>
      <c r="H43" s="170">
        <f t="shared" si="1"/>
        <v>0</v>
      </c>
      <c r="I43" s="349"/>
      <c r="J43" s="349"/>
      <c r="K43" s="199"/>
      <c r="L43" s="200"/>
    </row>
    <row r="44" spans="1:13" ht="18" hidden="1" customHeight="1" x14ac:dyDescent="0.2">
      <c r="A44" s="1366"/>
      <c r="B44" s="1313"/>
      <c r="C44" s="1313"/>
      <c r="D44" s="38"/>
      <c r="E44" s="38"/>
      <c r="F44" s="1314"/>
      <c r="G44" s="1314"/>
      <c r="H44" s="170">
        <f t="shared" si="1"/>
        <v>0</v>
      </c>
      <c r="I44" s="349"/>
      <c r="J44" s="349"/>
      <c r="K44" s="199"/>
      <c r="L44" s="200"/>
    </row>
    <row r="45" spans="1:13" ht="18" customHeight="1" x14ac:dyDescent="0.2">
      <c r="A45" s="1374" t="s">
        <v>611</v>
      </c>
      <c r="B45" s="1315"/>
      <c r="C45" s="1315"/>
      <c r="D45" s="1315"/>
      <c r="E45" s="1315"/>
      <c r="F45" s="1315"/>
      <c r="G45" s="1315"/>
      <c r="H45" s="172">
        <f>SUM(H31:H44)</f>
        <v>0</v>
      </c>
      <c r="I45" s="172">
        <f>SUM(I31:I44)</f>
        <v>0</v>
      </c>
      <c r="J45" s="172">
        <f>SUM(J31:J44)</f>
        <v>0</v>
      </c>
      <c r="K45" s="172">
        <f>SUM(K31:K44)</f>
        <v>0</v>
      </c>
      <c r="L45" s="197">
        <f>SUM(L31:L44)</f>
        <v>0</v>
      </c>
    </row>
    <row r="46" spans="1:13" ht="18" customHeight="1" thickBot="1" x14ac:dyDescent="0.25">
      <c r="A46" s="1360" t="s">
        <v>619</v>
      </c>
      <c r="B46" s="1361"/>
      <c r="C46" s="1361"/>
      <c r="D46" s="1361"/>
      <c r="E46" s="1361"/>
      <c r="F46" s="1361"/>
      <c r="G46" s="1361"/>
      <c r="H46" s="201">
        <f>H28+H45</f>
        <v>0</v>
      </c>
      <c r="I46" s="201">
        <f>I28+I45</f>
        <v>0</v>
      </c>
      <c r="J46" s="201">
        <f t="shared" ref="J46:L46" si="2">J28+J45</f>
        <v>0</v>
      </c>
      <c r="K46" s="201">
        <f t="shared" si="2"/>
        <v>0</v>
      </c>
      <c r="L46" s="202">
        <f t="shared" si="2"/>
        <v>0</v>
      </c>
    </row>
    <row r="47" spans="1:13" ht="18" customHeight="1" thickBot="1" x14ac:dyDescent="0.25">
      <c r="A47" s="1362" t="s">
        <v>612</v>
      </c>
      <c r="B47" s="1363"/>
      <c r="C47" s="1363"/>
      <c r="D47" s="1363"/>
      <c r="E47" s="1363"/>
      <c r="F47" s="1363"/>
      <c r="G47" s="1363"/>
      <c r="H47" s="431" t="s">
        <v>620</v>
      </c>
      <c r="I47" s="1364"/>
      <c r="J47" s="1364"/>
      <c r="K47" s="1364"/>
      <c r="L47" s="1365"/>
    </row>
    <row r="48" spans="1:13" ht="18" customHeight="1" x14ac:dyDescent="0.2">
      <c r="A48" s="1333" t="str">
        <f>IF(H47="Si","Administración","Gastos de administración")</f>
        <v>Administración</v>
      </c>
      <c r="B48" s="1334"/>
      <c r="C48" s="1334"/>
      <c r="D48" s="1334"/>
      <c r="E48" s="1334"/>
      <c r="F48" s="1335"/>
      <c r="G48" s="379"/>
      <c r="H48" s="380">
        <v>0</v>
      </c>
      <c r="I48" s="170">
        <f>H48</f>
        <v>0</v>
      </c>
      <c r="J48" s="170"/>
      <c r="K48" s="170"/>
      <c r="L48" s="195"/>
      <c r="M48" s="382" t="s">
        <v>391</v>
      </c>
    </row>
    <row r="49" spans="1:13" ht="18" customHeight="1" x14ac:dyDescent="0.2">
      <c r="A49" s="1333" t="str">
        <f>IF(H47="Si","Utilidad","")</f>
        <v>Utilidad</v>
      </c>
      <c r="B49" s="1334"/>
      <c r="C49" s="1334"/>
      <c r="D49" s="1334"/>
      <c r="E49" s="1334"/>
      <c r="F49" s="1335"/>
      <c r="G49" s="379"/>
      <c r="H49" s="380">
        <v>0</v>
      </c>
      <c r="I49" s="170"/>
      <c r="J49" s="170"/>
      <c r="K49" s="170"/>
      <c r="L49" s="195"/>
    </row>
    <row r="50" spans="1:13" ht="18" customHeight="1" x14ac:dyDescent="0.2">
      <c r="A50" s="1333" t="str">
        <f>IF(H47="Si","IVA","")</f>
        <v>IVA</v>
      </c>
      <c r="B50" s="1334"/>
      <c r="C50" s="1334"/>
      <c r="D50" s="1334"/>
      <c r="E50" s="1334"/>
      <c r="F50" s="1335"/>
      <c r="G50" s="379"/>
      <c r="H50" s="380">
        <v>0</v>
      </c>
      <c r="I50" s="170"/>
      <c r="J50" s="170"/>
      <c r="K50" s="170"/>
      <c r="L50" s="195"/>
      <c r="M50" s="378" t="s">
        <v>393</v>
      </c>
    </row>
    <row r="51" spans="1:13" ht="18" customHeight="1" thickBot="1" x14ac:dyDescent="0.25">
      <c r="A51" s="1367" t="str">
        <f>IF(H47="Si","TOTAL (después de AU e IVA)", "TOTAL (después de administración)")</f>
        <v>TOTAL (después de AU e IVA)</v>
      </c>
      <c r="B51" s="1368"/>
      <c r="C51" s="1368"/>
      <c r="D51" s="1368"/>
      <c r="E51" s="1368"/>
      <c r="F51" s="1368"/>
      <c r="G51" s="1368"/>
      <c r="H51" s="381">
        <f>SUM(H48:H50)+H46</f>
        <v>0</v>
      </c>
      <c r="I51" s="362">
        <f t="shared" ref="I51:L51" si="3">SUM(I48:I50)+I46</f>
        <v>0</v>
      </c>
      <c r="J51" s="362">
        <f t="shared" si="3"/>
        <v>0</v>
      </c>
      <c r="K51" s="362">
        <f t="shared" si="3"/>
        <v>0</v>
      </c>
      <c r="L51" s="363">
        <f t="shared" si="3"/>
        <v>0</v>
      </c>
    </row>
    <row r="52" spans="1:13" ht="45.75" customHeight="1" thickBot="1" x14ac:dyDescent="0.25">
      <c r="A52" s="360" t="s">
        <v>614</v>
      </c>
      <c r="B52" s="657"/>
      <c r="C52" s="361" t="s">
        <v>119</v>
      </c>
      <c r="D52" s="657"/>
      <c r="E52" s="361" t="s">
        <v>621</v>
      </c>
      <c r="F52" s="1369">
        <f>IFERROR(H46/B52,0)</f>
        <v>0</v>
      </c>
      <c r="G52" s="1370"/>
      <c r="H52" s="1371" t="s">
        <v>622</v>
      </c>
      <c r="I52" s="1372"/>
      <c r="J52" s="1372"/>
      <c r="K52" s="1372"/>
      <c r="L52" s="1373"/>
    </row>
    <row r="53" spans="1:13" ht="12" customHeight="1" thickBot="1" x14ac:dyDescent="0.25">
      <c r="A53" s="1353"/>
      <c r="B53" s="1354"/>
      <c r="C53" s="1354"/>
      <c r="D53" s="1354"/>
      <c r="E53" s="1354"/>
      <c r="F53" s="1354"/>
      <c r="G53" s="1354"/>
      <c r="H53" s="1354"/>
      <c r="I53" s="1354"/>
      <c r="J53" s="1354"/>
      <c r="K53" s="1354"/>
      <c r="L53" s="1355"/>
    </row>
    <row r="54" spans="1:13" ht="53.25" customHeight="1" thickBot="1" x14ac:dyDescent="0.25">
      <c r="A54" s="360" t="s">
        <v>614</v>
      </c>
      <c r="B54" s="657"/>
      <c r="C54" s="361" t="s">
        <v>119</v>
      </c>
      <c r="D54" s="657"/>
      <c r="E54" s="361" t="s">
        <v>623</v>
      </c>
      <c r="F54" s="1369">
        <f>IFERROR((H46-H28)/B54,0)</f>
        <v>0</v>
      </c>
      <c r="G54" s="1370"/>
      <c r="H54" s="1371" t="s">
        <v>622</v>
      </c>
      <c r="I54" s="1372"/>
      <c r="J54" s="1372"/>
      <c r="K54" s="1372"/>
      <c r="L54" s="1373"/>
    </row>
    <row r="55" spans="1:13" ht="18" customHeight="1" thickBot="1" x14ac:dyDescent="0.25">
      <c r="A55" s="1345"/>
      <c r="B55" s="1346"/>
      <c r="C55" s="1346"/>
      <c r="D55" s="1346"/>
      <c r="E55" s="1346"/>
      <c r="F55" s="1346"/>
      <c r="G55" s="1346"/>
      <c r="H55" s="1346"/>
      <c r="I55" s="1346"/>
      <c r="J55" s="1346"/>
      <c r="K55" s="1346"/>
      <c r="L55" s="1346"/>
    </row>
    <row r="56" spans="1:13" ht="18" customHeight="1" x14ac:dyDescent="0.2">
      <c r="A56" s="1375" t="s">
        <v>624</v>
      </c>
      <c r="B56" s="1376"/>
      <c r="C56" s="1376"/>
      <c r="D56" s="1376"/>
      <c r="E56" s="1376"/>
      <c r="F56" s="1376"/>
      <c r="G56" s="1376"/>
      <c r="H56" s="1376"/>
      <c r="I56" s="1376"/>
      <c r="J56" s="1376"/>
      <c r="K56" s="1376"/>
      <c r="L56" s="1377"/>
    </row>
    <row r="57" spans="1:13" ht="30" customHeight="1" x14ac:dyDescent="0.2">
      <c r="A57" s="348" t="s">
        <v>370</v>
      </c>
      <c r="B57" s="100" t="s">
        <v>371</v>
      </c>
      <c r="C57" s="100" t="s">
        <v>372</v>
      </c>
      <c r="D57" s="100" t="s">
        <v>119</v>
      </c>
      <c r="E57" s="100" t="s">
        <v>373</v>
      </c>
      <c r="F57" s="164" t="s">
        <v>374</v>
      </c>
      <c r="G57" s="100" t="s">
        <v>375</v>
      </c>
      <c r="H57" s="164" t="s">
        <v>376</v>
      </c>
      <c r="I57" s="166" t="s">
        <v>407</v>
      </c>
      <c r="J57" s="166" t="s">
        <v>408</v>
      </c>
      <c r="K57" s="166" t="s">
        <v>407</v>
      </c>
      <c r="L57" s="192" t="s">
        <v>408</v>
      </c>
    </row>
    <row r="58" spans="1:13" ht="18" customHeight="1" x14ac:dyDescent="0.2">
      <c r="A58" s="1378" t="s">
        <v>368</v>
      </c>
      <c r="B58" s="1379"/>
      <c r="C58" s="1379"/>
      <c r="D58" s="1379"/>
      <c r="E58" s="1379"/>
      <c r="F58" s="1379"/>
      <c r="G58" s="1379"/>
      <c r="H58" s="1379"/>
      <c r="I58" s="1379"/>
      <c r="J58" s="1379"/>
      <c r="K58" s="1379"/>
      <c r="L58" s="1380"/>
    </row>
    <row r="59" spans="1:13" ht="24.75" customHeight="1" x14ac:dyDescent="0.2">
      <c r="A59" s="350"/>
      <c r="B59" s="173"/>
      <c r="C59" s="169"/>
      <c r="D59" s="173"/>
      <c r="E59" s="173"/>
      <c r="F59" s="170"/>
      <c r="G59" s="194"/>
      <c r="H59" s="170">
        <f>B59*C59*E59*F59*G59</f>
        <v>0</v>
      </c>
      <c r="I59" s="170"/>
      <c r="J59" s="170"/>
      <c r="K59" s="170"/>
      <c r="L59" s="195"/>
    </row>
    <row r="60" spans="1:13" ht="18" customHeight="1" x14ac:dyDescent="0.2">
      <c r="A60" s="350"/>
      <c r="B60" s="173"/>
      <c r="C60" s="169"/>
      <c r="D60" s="173"/>
      <c r="E60" s="173"/>
      <c r="F60" s="170"/>
      <c r="G60" s="194"/>
      <c r="H60" s="170">
        <f>B60*C60*E60*F60*G60</f>
        <v>0</v>
      </c>
      <c r="I60" s="170"/>
      <c r="J60" s="170"/>
      <c r="K60" s="170"/>
      <c r="L60" s="195"/>
    </row>
    <row r="61" spans="1:13" ht="18" customHeight="1" x14ac:dyDescent="0.2">
      <c r="A61" s="350"/>
      <c r="B61" s="173"/>
      <c r="C61" s="169"/>
      <c r="D61" s="173"/>
      <c r="E61" s="173"/>
      <c r="F61" s="170"/>
      <c r="G61" s="194"/>
      <c r="H61" s="170">
        <f t="shared" ref="H61:H69" si="4">B61*C61*E61*F61*G61</f>
        <v>0</v>
      </c>
      <c r="I61" s="170"/>
      <c r="J61" s="170"/>
      <c r="K61" s="170"/>
      <c r="L61" s="195"/>
    </row>
    <row r="62" spans="1:13" ht="18" hidden="1" customHeight="1" x14ac:dyDescent="0.2">
      <c r="A62" s="350"/>
      <c r="B62" s="173"/>
      <c r="C62" s="169"/>
      <c r="D62" s="173"/>
      <c r="E62" s="173"/>
      <c r="F62" s="170"/>
      <c r="G62" s="194"/>
      <c r="H62" s="170">
        <f t="shared" si="4"/>
        <v>0</v>
      </c>
      <c r="I62" s="170"/>
      <c r="J62" s="170"/>
      <c r="K62" s="170"/>
      <c r="L62" s="195"/>
    </row>
    <row r="63" spans="1:13" ht="18" hidden="1" customHeight="1" x14ac:dyDescent="0.2">
      <c r="A63" s="350"/>
      <c r="B63" s="173"/>
      <c r="C63" s="169"/>
      <c r="D63" s="173"/>
      <c r="E63" s="173"/>
      <c r="F63" s="170"/>
      <c r="G63" s="194"/>
      <c r="H63" s="170">
        <f t="shared" si="4"/>
        <v>0</v>
      </c>
      <c r="I63" s="170"/>
      <c r="J63" s="170"/>
      <c r="K63" s="170"/>
      <c r="L63" s="195"/>
    </row>
    <row r="64" spans="1:13" ht="18" hidden="1" customHeight="1" x14ac:dyDescent="0.2">
      <c r="A64" s="350"/>
      <c r="B64" s="173"/>
      <c r="C64" s="169"/>
      <c r="D64" s="173"/>
      <c r="E64" s="173"/>
      <c r="F64" s="170"/>
      <c r="G64" s="194"/>
      <c r="H64" s="170">
        <f t="shared" si="4"/>
        <v>0</v>
      </c>
      <c r="I64" s="170"/>
      <c r="J64" s="170"/>
      <c r="K64" s="170"/>
      <c r="L64" s="195"/>
    </row>
    <row r="65" spans="1:12" ht="18" hidden="1" customHeight="1" x14ac:dyDescent="0.2">
      <c r="A65" s="350"/>
      <c r="B65" s="173"/>
      <c r="C65" s="169"/>
      <c r="D65" s="173"/>
      <c r="E65" s="173"/>
      <c r="F65" s="170"/>
      <c r="G65" s="194"/>
      <c r="H65" s="170">
        <f t="shared" si="4"/>
        <v>0</v>
      </c>
      <c r="I65" s="170"/>
      <c r="J65" s="170"/>
      <c r="K65" s="170"/>
      <c r="L65" s="195"/>
    </row>
    <row r="66" spans="1:12" ht="18" hidden="1" customHeight="1" x14ac:dyDescent="0.2">
      <c r="A66" s="350"/>
      <c r="B66" s="173"/>
      <c r="C66" s="169"/>
      <c r="D66" s="173"/>
      <c r="E66" s="173"/>
      <c r="F66" s="170"/>
      <c r="G66" s="194"/>
      <c r="H66" s="170">
        <f t="shared" si="4"/>
        <v>0</v>
      </c>
      <c r="I66" s="170"/>
      <c r="J66" s="170"/>
      <c r="K66" s="170"/>
      <c r="L66" s="195"/>
    </row>
    <row r="67" spans="1:12" ht="18" hidden="1" customHeight="1" x14ac:dyDescent="0.2">
      <c r="A67" s="196"/>
      <c r="B67" s="168"/>
      <c r="C67" s="169"/>
      <c r="D67" s="168"/>
      <c r="E67" s="168"/>
      <c r="F67" s="170"/>
      <c r="G67" s="171"/>
      <c r="H67" s="170">
        <f t="shared" si="4"/>
        <v>0</v>
      </c>
      <c r="I67" s="170"/>
      <c r="J67" s="170"/>
      <c r="K67" s="170"/>
      <c r="L67" s="195"/>
    </row>
    <row r="68" spans="1:12" ht="18" hidden="1" customHeight="1" x14ac:dyDescent="0.2">
      <c r="A68" s="196"/>
      <c r="B68" s="168"/>
      <c r="C68" s="169"/>
      <c r="D68" s="168"/>
      <c r="E68" s="168"/>
      <c r="F68" s="170"/>
      <c r="G68" s="171"/>
      <c r="H68" s="170">
        <f t="shared" si="4"/>
        <v>0</v>
      </c>
      <c r="I68" s="170"/>
      <c r="J68" s="170"/>
      <c r="K68" s="170"/>
      <c r="L68" s="195"/>
    </row>
    <row r="69" spans="1:12" ht="18" hidden="1" customHeight="1" x14ac:dyDescent="0.2">
      <c r="A69" s="196"/>
      <c r="B69" s="168"/>
      <c r="C69" s="169"/>
      <c r="D69" s="168"/>
      <c r="E69" s="168"/>
      <c r="F69" s="170"/>
      <c r="G69" s="168"/>
      <c r="H69" s="170">
        <f t="shared" si="4"/>
        <v>0</v>
      </c>
      <c r="I69" s="170"/>
      <c r="J69" s="170"/>
      <c r="K69" s="170"/>
      <c r="L69" s="195"/>
    </row>
    <row r="70" spans="1:12" ht="18" customHeight="1" x14ac:dyDescent="0.2">
      <c r="A70" s="1374" t="s">
        <v>604</v>
      </c>
      <c r="B70" s="1315"/>
      <c r="C70" s="1315"/>
      <c r="D70" s="1315"/>
      <c r="E70" s="1315"/>
      <c r="F70" s="1315"/>
      <c r="G70" s="1315"/>
      <c r="H70" s="172">
        <f>SUM(H59:H69)</f>
        <v>0</v>
      </c>
      <c r="I70" s="172">
        <f>SUM(I59:I69)</f>
        <v>0</v>
      </c>
      <c r="J70" s="172">
        <f>SUM(J59:J69)</f>
        <v>0</v>
      </c>
      <c r="K70" s="172">
        <f>SUM(K59:K69)</f>
        <v>0</v>
      </c>
      <c r="L70" s="197">
        <f>SUM(L59:L69)</f>
        <v>0</v>
      </c>
    </row>
    <row r="71" spans="1:12" ht="28.5" customHeight="1" x14ac:dyDescent="0.2">
      <c r="A71" s="1146" t="s">
        <v>370</v>
      </c>
      <c r="B71" s="1147"/>
      <c r="C71" s="1147"/>
      <c r="D71" s="108" t="s">
        <v>119</v>
      </c>
      <c r="E71" s="108" t="s">
        <v>373</v>
      </c>
      <c r="F71" s="1147" t="s">
        <v>431</v>
      </c>
      <c r="G71" s="1147"/>
      <c r="H71" s="198" t="s">
        <v>432</v>
      </c>
      <c r="I71" s="166" t="s">
        <v>407</v>
      </c>
      <c r="J71" s="166" t="s">
        <v>408</v>
      </c>
      <c r="K71" s="166" t="s">
        <v>407</v>
      </c>
      <c r="L71" s="192" t="s">
        <v>408</v>
      </c>
    </row>
    <row r="72" spans="1:12" ht="18" customHeight="1" x14ac:dyDescent="0.2">
      <c r="A72" s="1378" t="s">
        <v>618</v>
      </c>
      <c r="B72" s="1379"/>
      <c r="C72" s="1379"/>
      <c r="D72" s="1379"/>
      <c r="E72" s="1379"/>
      <c r="F72" s="1379"/>
      <c r="G72" s="1379"/>
      <c r="H72" s="1379"/>
      <c r="I72" s="1379"/>
      <c r="J72" s="1379"/>
      <c r="K72" s="1379"/>
      <c r="L72" s="1380"/>
    </row>
    <row r="73" spans="1:12" ht="18" customHeight="1" x14ac:dyDescent="0.2">
      <c r="A73" s="1366"/>
      <c r="B73" s="1313"/>
      <c r="C73" s="1313"/>
      <c r="D73" s="38"/>
      <c r="E73" s="38"/>
      <c r="F73" s="1314"/>
      <c r="G73" s="1314"/>
      <c r="H73" s="170">
        <f>E73*F73</f>
        <v>0</v>
      </c>
      <c r="I73" s="349"/>
      <c r="J73" s="349"/>
      <c r="K73" s="199"/>
      <c r="L73" s="200"/>
    </row>
    <row r="74" spans="1:12" ht="18" customHeight="1" x14ac:dyDescent="0.2">
      <c r="A74" s="1366"/>
      <c r="B74" s="1313"/>
      <c r="C74" s="1313"/>
      <c r="D74" s="38"/>
      <c r="E74" s="38"/>
      <c r="F74" s="1314"/>
      <c r="G74" s="1314"/>
      <c r="H74" s="170">
        <f>E74*F74</f>
        <v>0</v>
      </c>
      <c r="I74" s="349"/>
      <c r="J74" s="349"/>
      <c r="K74" s="199"/>
      <c r="L74" s="200"/>
    </row>
    <row r="75" spans="1:12" ht="18" customHeight="1" x14ac:dyDescent="0.2">
      <c r="A75" s="1366"/>
      <c r="B75" s="1313"/>
      <c r="C75" s="1313"/>
      <c r="D75" s="38"/>
      <c r="E75" s="38"/>
      <c r="F75" s="1314"/>
      <c r="G75" s="1314"/>
      <c r="H75" s="170">
        <f t="shared" ref="H75:H86" si="5">E75*F75</f>
        <v>0</v>
      </c>
      <c r="I75" s="349"/>
      <c r="J75" s="349"/>
      <c r="K75" s="199"/>
      <c r="L75" s="200"/>
    </row>
    <row r="76" spans="1:12" ht="18" hidden="1" customHeight="1" x14ac:dyDescent="0.2">
      <c r="A76" s="1366"/>
      <c r="B76" s="1313"/>
      <c r="C76" s="1313"/>
      <c r="D76" s="38"/>
      <c r="E76" s="38"/>
      <c r="F76" s="1314"/>
      <c r="G76" s="1314"/>
      <c r="H76" s="170">
        <f t="shared" si="5"/>
        <v>0</v>
      </c>
      <c r="I76" s="349"/>
      <c r="J76" s="349"/>
      <c r="K76" s="199"/>
      <c r="L76" s="200"/>
    </row>
    <row r="77" spans="1:12" ht="18" hidden="1" customHeight="1" x14ac:dyDescent="0.2">
      <c r="A77" s="1366"/>
      <c r="B77" s="1313"/>
      <c r="C77" s="1313"/>
      <c r="D77" s="38"/>
      <c r="E77" s="38"/>
      <c r="F77" s="1314"/>
      <c r="G77" s="1314"/>
      <c r="H77" s="170">
        <f t="shared" si="5"/>
        <v>0</v>
      </c>
      <c r="I77" s="349"/>
      <c r="J77" s="349"/>
      <c r="K77" s="199"/>
      <c r="L77" s="200"/>
    </row>
    <row r="78" spans="1:12" ht="18" hidden="1" customHeight="1" x14ac:dyDescent="0.2">
      <c r="A78" s="1366"/>
      <c r="B78" s="1313"/>
      <c r="C78" s="1313"/>
      <c r="D78" s="38"/>
      <c r="E78" s="38"/>
      <c r="F78" s="1314"/>
      <c r="G78" s="1314"/>
      <c r="H78" s="170">
        <f t="shared" si="5"/>
        <v>0</v>
      </c>
      <c r="I78" s="349"/>
      <c r="J78" s="349"/>
      <c r="K78" s="199"/>
      <c r="L78" s="200"/>
    </row>
    <row r="79" spans="1:12" ht="18" hidden="1" customHeight="1" x14ac:dyDescent="0.2">
      <c r="A79" s="1366"/>
      <c r="B79" s="1313"/>
      <c r="C79" s="1313"/>
      <c r="D79" s="38"/>
      <c r="E79" s="38"/>
      <c r="F79" s="1314"/>
      <c r="G79" s="1314"/>
      <c r="H79" s="170">
        <f t="shared" si="5"/>
        <v>0</v>
      </c>
      <c r="I79" s="349"/>
      <c r="J79" s="349"/>
      <c r="K79" s="199"/>
      <c r="L79" s="200"/>
    </row>
    <row r="80" spans="1:12" ht="18" hidden="1" customHeight="1" x14ac:dyDescent="0.2">
      <c r="A80" s="1366"/>
      <c r="B80" s="1313"/>
      <c r="C80" s="1313"/>
      <c r="D80" s="38"/>
      <c r="E80" s="38"/>
      <c r="F80" s="1314"/>
      <c r="G80" s="1314"/>
      <c r="H80" s="170">
        <f t="shared" si="5"/>
        <v>0</v>
      </c>
      <c r="I80" s="349"/>
      <c r="J80" s="349"/>
      <c r="K80" s="199"/>
      <c r="L80" s="200"/>
    </row>
    <row r="81" spans="1:13" ht="18" hidden="1" customHeight="1" x14ac:dyDescent="0.2">
      <c r="A81" s="1366"/>
      <c r="B81" s="1313"/>
      <c r="C81" s="1313"/>
      <c r="D81" s="38"/>
      <c r="E81" s="38"/>
      <c r="F81" s="1314"/>
      <c r="G81" s="1314"/>
      <c r="H81" s="170">
        <f t="shared" si="5"/>
        <v>0</v>
      </c>
      <c r="I81" s="349"/>
      <c r="J81" s="349"/>
      <c r="K81" s="199"/>
      <c r="L81" s="200"/>
    </row>
    <row r="82" spans="1:13" ht="18" hidden="1" customHeight="1" x14ac:dyDescent="0.2">
      <c r="A82" s="1366"/>
      <c r="B82" s="1313"/>
      <c r="C82" s="1313"/>
      <c r="D82" s="38"/>
      <c r="E82" s="38"/>
      <c r="F82" s="1314"/>
      <c r="G82" s="1314"/>
      <c r="H82" s="170">
        <f t="shared" si="5"/>
        <v>0</v>
      </c>
      <c r="I82" s="349"/>
      <c r="J82" s="349"/>
      <c r="K82" s="199"/>
      <c r="L82" s="200"/>
    </row>
    <row r="83" spans="1:13" ht="18" hidden="1" customHeight="1" x14ac:dyDescent="0.2">
      <c r="A83" s="1366"/>
      <c r="B83" s="1313"/>
      <c r="C83" s="1313"/>
      <c r="D83" s="38"/>
      <c r="E83" s="38"/>
      <c r="F83" s="1314"/>
      <c r="G83" s="1314"/>
      <c r="H83" s="170">
        <f t="shared" si="5"/>
        <v>0</v>
      </c>
      <c r="I83" s="349"/>
      <c r="J83" s="349"/>
      <c r="K83" s="199"/>
      <c r="L83" s="200"/>
    </row>
    <row r="84" spans="1:13" ht="18" hidden="1" customHeight="1" x14ac:dyDescent="0.2">
      <c r="A84" s="1366"/>
      <c r="B84" s="1313"/>
      <c r="C84" s="1313"/>
      <c r="D84" s="38"/>
      <c r="E84" s="38"/>
      <c r="F84" s="1314"/>
      <c r="G84" s="1314"/>
      <c r="H84" s="170">
        <f t="shared" si="5"/>
        <v>0</v>
      </c>
      <c r="I84" s="349"/>
      <c r="J84" s="349"/>
      <c r="K84" s="199"/>
      <c r="L84" s="200"/>
    </row>
    <row r="85" spans="1:13" ht="18" hidden="1" customHeight="1" x14ac:dyDescent="0.2">
      <c r="A85" s="1366"/>
      <c r="B85" s="1313"/>
      <c r="C85" s="1313"/>
      <c r="D85" s="38"/>
      <c r="E85" s="38"/>
      <c r="F85" s="1314"/>
      <c r="G85" s="1314"/>
      <c r="H85" s="170">
        <f t="shared" si="5"/>
        <v>0</v>
      </c>
      <c r="I85" s="349"/>
      <c r="J85" s="349"/>
      <c r="K85" s="199"/>
      <c r="L85" s="200"/>
    </row>
    <row r="86" spans="1:13" ht="18" hidden="1" customHeight="1" x14ac:dyDescent="0.2">
      <c r="A86" s="1366"/>
      <c r="B86" s="1313"/>
      <c r="C86" s="1313"/>
      <c r="D86" s="38"/>
      <c r="E86" s="38"/>
      <c r="F86" s="1314"/>
      <c r="G86" s="1314"/>
      <c r="H86" s="170">
        <f t="shared" si="5"/>
        <v>0</v>
      </c>
      <c r="I86" s="349"/>
      <c r="J86" s="349"/>
      <c r="K86" s="199"/>
      <c r="L86" s="200"/>
    </row>
    <row r="87" spans="1:13" ht="18" customHeight="1" x14ac:dyDescent="0.2">
      <c r="A87" s="1374" t="s">
        <v>611</v>
      </c>
      <c r="B87" s="1315"/>
      <c r="C87" s="1315"/>
      <c r="D87" s="1315"/>
      <c r="E87" s="1315"/>
      <c r="F87" s="1315"/>
      <c r="G87" s="1315"/>
      <c r="H87" s="172">
        <f>SUM(H73:H86)</f>
        <v>0</v>
      </c>
      <c r="I87" s="172">
        <f>SUM(I73:I86)</f>
        <v>0</v>
      </c>
      <c r="J87" s="172">
        <f>SUM(J73:J86)</f>
        <v>0</v>
      </c>
      <c r="K87" s="172">
        <f>SUM(K73:K86)</f>
        <v>0</v>
      </c>
      <c r="L87" s="197">
        <f>SUM(L73:L86)</f>
        <v>0</v>
      </c>
    </row>
    <row r="88" spans="1:13" ht="18" customHeight="1" thickBot="1" x14ac:dyDescent="0.25">
      <c r="A88" s="1360" t="s">
        <v>619</v>
      </c>
      <c r="B88" s="1361"/>
      <c r="C88" s="1361"/>
      <c r="D88" s="1361"/>
      <c r="E88" s="1361"/>
      <c r="F88" s="1361"/>
      <c r="G88" s="1361"/>
      <c r="H88" s="201">
        <f>H70+H87</f>
        <v>0</v>
      </c>
      <c r="I88" s="201">
        <f>I70+I87</f>
        <v>0</v>
      </c>
      <c r="J88" s="201">
        <f t="shared" ref="J88:L88" si="6">J70+J87</f>
        <v>0</v>
      </c>
      <c r="K88" s="201">
        <f t="shared" si="6"/>
        <v>0</v>
      </c>
      <c r="L88" s="202">
        <f t="shared" si="6"/>
        <v>0</v>
      </c>
    </row>
    <row r="89" spans="1:13" ht="18" customHeight="1" thickBot="1" x14ac:dyDescent="0.25">
      <c r="A89" s="1362" t="s">
        <v>612</v>
      </c>
      <c r="B89" s="1363"/>
      <c r="C89" s="1363"/>
      <c r="D89" s="1363"/>
      <c r="E89" s="1363"/>
      <c r="F89" s="1363"/>
      <c r="G89" s="1363"/>
      <c r="H89" s="431" t="s">
        <v>613</v>
      </c>
      <c r="I89" s="1364"/>
      <c r="J89" s="1364"/>
      <c r="K89" s="1364"/>
      <c r="L89" s="1365"/>
    </row>
    <row r="90" spans="1:13" ht="18" customHeight="1" x14ac:dyDescent="0.2">
      <c r="A90" s="1333" t="str">
        <f>IF(H89="Si","Administración","Gastos de administración")</f>
        <v>Gastos de administración</v>
      </c>
      <c r="B90" s="1334"/>
      <c r="C90" s="1334"/>
      <c r="D90" s="1334"/>
      <c r="E90" s="1334"/>
      <c r="F90" s="1335"/>
      <c r="G90" s="379"/>
      <c r="H90" s="380">
        <v>0</v>
      </c>
      <c r="I90" s="170">
        <f>H90</f>
        <v>0</v>
      </c>
      <c r="J90" s="170"/>
      <c r="K90" s="170"/>
      <c r="L90" s="195"/>
      <c r="M90" s="432" t="s">
        <v>391</v>
      </c>
    </row>
    <row r="91" spans="1:13" ht="18" customHeight="1" x14ac:dyDescent="0.2">
      <c r="A91" s="1333" t="str">
        <f>IF(H89="Si","Utilidad","")</f>
        <v/>
      </c>
      <c r="B91" s="1334"/>
      <c r="C91" s="1334"/>
      <c r="D91" s="1334"/>
      <c r="E91" s="1334"/>
      <c r="F91" s="1335"/>
      <c r="G91" s="379"/>
      <c r="H91" s="380">
        <v>0</v>
      </c>
      <c r="I91" s="170"/>
      <c r="J91" s="170"/>
      <c r="K91" s="170"/>
      <c r="L91" s="195"/>
    </row>
    <row r="92" spans="1:13" ht="18" customHeight="1" x14ac:dyDescent="0.2">
      <c r="A92" s="1333" t="str">
        <f>IF(H89="Si","IVA","")</f>
        <v/>
      </c>
      <c r="B92" s="1334"/>
      <c r="C92" s="1334"/>
      <c r="D92" s="1334"/>
      <c r="E92" s="1334"/>
      <c r="F92" s="1335"/>
      <c r="G92" s="379"/>
      <c r="H92" s="380">
        <v>0</v>
      </c>
      <c r="I92" s="170"/>
      <c r="J92" s="170"/>
      <c r="K92" s="170"/>
      <c r="L92" s="195"/>
      <c r="M92" s="378" t="s">
        <v>393</v>
      </c>
    </row>
    <row r="93" spans="1:13" ht="18" customHeight="1" thickBot="1" x14ac:dyDescent="0.25">
      <c r="A93" s="1367" t="str">
        <f>IF(H89="Si","TOTAL (después de AU e IVA)", "TOTAL (después de administración)")</f>
        <v>TOTAL (después de administración)</v>
      </c>
      <c r="B93" s="1368"/>
      <c r="C93" s="1368"/>
      <c r="D93" s="1368"/>
      <c r="E93" s="1368"/>
      <c r="F93" s="1368"/>
      <c r="G93" s="1368"/>
      <c r="H93" s="381">
        <f>SUM(H90:H92)+H88</f>
        <v>0</v>
      </c>
      <c r="I93" s="362">
        <f t="shared" ref="I93:L93" si="7">SUM(I90:I92)+I88</f>
        <v>0</v>
      </c>
      <c r="J93" s="362">
        <f t="shared" si="7"/>
        <v>0</v>
      </c>
      <c r="K93" s="362">
        <f t="shared" si="7"/>
        <v>0</v>
      </c>
      <c r="L93" s="363">
        <f t="shared" si="7"/>
        <v>0</v>
      </c>
    </row>
    <row r="94" spans="1:13" ht="42" customHeight="1" thickBot="1" x14ac:dyDescent="0.25">
      <c r="A94" s="360" t="s">
        <v>614</v>
      </c>
      <c r="B94" s="657"/>
      <c r="C94" s="361" t="s">
        <v>119</v>
      </c>
      <c r="D94" s="657"/>
      <c r="E94" s="361" t="s">
        <v>621</v>
      </c>
      <c r="F94" s="1369">
        <f>IFERROR(H88/B94,0)</f>
        <v>0</v>
      </c>
      <c r="G94" s="1370"/>
      <c r="H94" s="1371" t="s">
        <v>622</v>
      </c>
      <c r="I94" s="1372"/>
      <c r="J94" s="1372"/>
      <c r="K94" s="1372"/>
      <c r="L94" s="1373"/>
    </row>
    <row r="95" spans="1:13" ht="30.75" customHeight="1" thickBot="1" x14ac:dyDescent="0.25">
      <c r="A95" s="1353"/>
      <c r="B95" s="1354"/>
      <c r="C95" s="1354"/>
      <c r="D95" s="1354"/>
      <c r="E95" s="1354"/>
      <c r="F95" s="1354"/>
      <c r="G95" s="1354"/>
      <c r="H95" s="1354"/>
      <c r="I95" s="1354"/>
      <c r="J95" s="1354"/>
      <c r="K95" s="1354"/>
      <c r="L95" s="1355"/>
    </row>
    <row r="96" spans="1:13" ht="51.75" customHeight="1" thickBot="1" x14ac:dyDescent="0.25">
      <c r="A96" s="360" t="s">
        <v>614</v>
      </c>
      <c r="B96" s="657"/>
      <c r="C96" s="361" t="s">
        <v>119</v>
      </c>
      <c r="D96" s="657"/>
      <c r="E96" s="361" t="s">
        <v>623</v>
      </c>
      <c r="F96" s="1369">
        <f>IFERROR((H88-H70)/B96,0)</f>
        <v>0</v>
      </c>
      <c r="G96" s="1370"/>
      <c r="H96" s="1371" t="s">
        <v>622</v>
      </c>
      <c r="I96" s="1372"/>
      <c r="J96" s="1372"/>
      <c r="K96" s="1372"/>
      <c r="L96" s="1373"/>
    </row>
    <row r="97" spans="1:12" ht="18" customHeight="1" thickBot="1" x14ac:dyDescent="0.25">
      <c r="A97" s="1345"/>
      <c r="B97" s="1346"/>
      <c r="C97" s="1346"/>
      <c r="D97" s="1346"/>
      <c r="E97" s="1346"/>
      <c r="F97" s="1346"/>
      <c r="G97" s="1346"/>
      <c r="H97" s="1346"/>
      <c r="I97" s="1346"/>
      <c r="J97" s="1346"/>
      <c r="K97" s="1346"/>
      <c r="L97" s="1346"/>
    </row>
    <row r="98" spans="1:12" ht="18" customHeight="1" x14ac:dyDescent="0.2">
      <c r="A98" s="1375" t="s">
        <v>625</v>
      </c>
      <c r="B98" s="1376"/>
      <c r="C98" s="1376"/>
      <c r="D98" s="1376"/>
      <c r="E98" s="1376"/>
      <c r="F98" s="1376"/>
      <c r="G98" s="1376"/>
      <c r="H98" s="1376"/>
      <c r="I98" s="1376"/>
      <c r="J98" s="1376"/>
      <c r="K98" s="1376"/>
      <c r="L98" s="1377"/>
    </row>
    <row r="99" spans="1:12" ht="31.5" customHeight="1" x14ac:dyDescent="0.2">
      <c r="A99" s="348" t="s">
        <v>370</v>
      </c>
      <c r="B99" s="100" t="s">
        <v>371</v>
      </c>
      <c r="C99" s="100" t="s">
        <v>372</v>
      </c>
      <c r="D99" s="100" t="s">
        <v>119</v>
      </c>
      <c r="E99" s="100" t="s">
        <v>373</v>
      </c>
      <c r="F99" s="164" t="s">
        <v>374</v>
      </c>
      <c r="G99" s="100" t="s">
        <v>375</v>
      </c>
      <c r="H99" s="164" t="s">
        <v>376</v>
      </c>
      <c r="I99" s="166" t="s">
        <v>407</v>
      </c>
      <c r="J99" s="166" t="s">
        <v>408</v>
      </c>
      <c r="K99" s="166" t="s">
        <v>407</v>
      </c>
      <c r="L99" s="192" t="s">
        <v>408</v>
      </c>
    </row>
    <row r="100" spans="1:12" ht="18" customHeight="1" x14ac:dyDescent="0.2">
      <c r="A100" s="1378" t="s">
        <v>368</v>
      </c>
      <c r="B100" s="1379"/>
      <c r="C100" s="1379"/>
      <c r="D100" s="1379"/>
      <c r="E100" s="1379"/>
      <c r="F100" s="1379"/>
      <c r="G100" s="1379"/>
      <c r="H100" s="1379"/>
      <c r="I100" s="1379"/>
      <c r="J100" s="1379"/>
      <c r="K100" s="1379"/>
      <c r="L100" s="1380"/>
    </row>
    <row r="101" spans="1:12" ht="18" customHeight="1" x14ac:dyDescent="0.2">
      <c r="A101" s="350"/>
      <c r="B101" s="173"/>
      <c r="C101" s="169"/>
      <c r="D101" s="173"/>
      <c r="E101" s="173"/>
      <c r="F101" s="170"/>
      <c r="G101" s="194"/>
      <c r="H101" s="170">
        <f>B101*C101*E101*F101*G101</f>
        <v>0</v>
      </c>
      <c r="I101" s="170"/>
      <c r="J101" s="170"/>
      <c r="K101" s="170"/>
      <c r="L101" s="195"/>
    </row>
    <row r="102" spans="1:12" ht="18" customHeight="1" x14ac:dyDescent="0.2">
      <c r="A102" s="350"/>
      <c r="B102" s="173"/>
      <c r="C102" s="169"/>
      <c r="D102" s="173"/>
      <c r="E102" s="173"/>
      <c r="F102" s="170"/>
      <c r="G102" s="194"/>
      <c r="H102" s="170">
        <f>B102*C102*E102*F102*G102</f>
        <v>0</v>
      </c>
      <c r="I102" s="170"/>
      <c r="J102" s="170"/>
      <c r="K102" s="170"/>
      <c r="L102" s="195"/>
    </row>
    <row r="103" spans="1:12" ht="18" hidden="1" customHeight="1" x14ac:dyDescent="0.2">
      <c r="A103" s="350"/>
      <c r="B103" s="173"/>
      <c r="C103" s="169"/>
      <c r="D103" s="173"/>
      <c r="E103" s="173"/>
      <c r="F103" s="170"/>
      <c r="G103" s="194"/>
      <c r="H103" s="170">
        <f t="shared" ref="H103:H111" si="8">B103*C103*E103*F103*G103</f>
        <v>0</v>
      </c>
      <c r="I103" s="170"/>
      <c r="J103" s="170"/>
      <c r="K103" s="170"/>
      <c r="L103" s="195"/>
    </row>
    <row r="104" spans="1:12" ht="18" hidden="1" customHeight="1" x14ac:dyDescent="0.2">
      <c r="A104" s="350"/>
      <c r="B104" s="173"/>
      <c r="C104" s="169"/>
      <c r="D104" s="173"/>
      <c r="E104" s="173"/>
      <c r="F104" s="170"/>
      <c r="G104" s="194"/>
      <c r="H104" s="170">
        <f t="shared" si="8"/>
        <v>0</v>
      </c>
      <c r="I104" s="170"/>
      <c r="J104" s="170"/>
      <c r="K104" s="170"/>
      <c r="L104" s="195"/>
    </row>
    <row r="105" spans="1:12" ht="18" hidden="1" customHeight="1" x14ac:dyDescent="0.2">
      <c r="A105" s="350"/>
      <c r="B105" s="173"/>
      <c r="C105" s="169"/>
      <c r="D105" s="173"/>
      <c r="E105" s="173"/>
      <c r="F105" s="170"/>
      <c r="G105" s="194"/>
      <c r="H105" s="170">
        <f t="shared" si="8"/>
        <v>0</v>
      </c>
      <c r="I105" s="170"/>
      <c r="J105" s="170"/>
      <c r="K105" s="170"/>
      <c r="L105" s="195"/>
    </row>
    <row r="106" spans="1:12" ht="18" hidden="1" customHeight="1" x14ac:dyDescent="0.2">
      <c r="A106" s="350"/>
      <c r="B106" s="173"/>
      <c r="C106" s="169"/>
      <c r="D106" s="173"/>
      <c r="E106" s="173"/>
      <c r="F106" s="170"/>
      <c r="G106" s="194"/>
      <c r="H106" s="170">
        <f t="shared" si="8"/>
        <v>0</v>
      </c>
      <c r="I106" s="170"/>
      <c r="J106" s="170"/>
      <c r="K106" s="170"/>
      <c r="L106" s="195"/>
    </row>
    <row r="107" spans="1:12" ht="18" hidden="1" customHeight="1" x14ac:dyDescent="0.2">
      <c r="A107" s="350"/>
      <c r="B107" s="173"/>
      <c r="C107" s="169"/>
      <c r="D107" s="173"/>
      <c r="E107" s="173"/>
      <c r="F107" s="170"/>
      <c r="G107" s="194"/>
      <c r="H107" s="170">
        <f t="shared" si="8"/>
        <v>0</v>
      </c>
      <c r="I107" s="170"/>
      <c r="J107" s="170"/>
      <c r="K107" s="170"/>
      <c r="L107" s="195"/>
    </row>
    <row r="108" spans="1:12" ht="18" hidden="1" customHeight="1" x14ac:dyDescent="0.2">
      <c r="A108" s="350"/>
      <c r="B108" s="173"/>
      <c r="C108" s="169"/>
      <c r="D108" s="173"/>
      <c r="E108" s="173"/>
      <c r="F108" s="170"/>
      <c r="G108" s="194"/>
      <c r="H108" s="170">
        <f t="shared" si="8"/>
        <v>0</v>
      </c>
      <c r="I108" s="170"/>
      <c r="J108" s="170"/>
      <c r="K108" s="170"/>
      <c r="L108" s="195"/>
    </row>
    <row r="109" spans="1:12" ht="18" hidden="1" customHeight="1" x14ac:dyDescent="0.2">
      <c r="A109" s="196"/>
      <c r="B109" s="168"/>
      <c r="C109" s="169"/>
      <c r="D109" s="168"/>
      <c r="E109" s="168"/>
      <c r="F109" s="170"/>
      <c r="G109" s="171"/>
      <c r="H109" s="170">
        <f t="shared" si="8"/>
        <v>0</v>
      </c>
      <c r="I109" s="170"/>
      <c r="J109" s="170"/>
      <c r="K109" s="170"/>
      <c r="L109" s="195"/>
    </row>
    <row r="110" spans="1:12" ht="18" hidden="1" customHeight="1" x14ac:dyDescent="0.2">
      <c r="A110" s="196"/>
      <c r="B110" s="168"/>
      <c r="C110" s="169"/>
      <c r="D110" s="168"/>
      <c r="E110" s="168"/>
      <c r="F110" s="170"/>
      <c r="G110" s="171"/>
      <c r="H110" s="170">
        <f t="shared" si="8"/>
        <v>0</v>
      </c>
      <c r="I110" s="170"/>
      <c r="J110" s="170"/>
      <c r="K110" s="170"/>
      <c r="L110" s="195"/>
    </row>
    <row r="111" spans="1:12" ht="18" hidden="1" customHeight="1" x14ac:dyDescent="0.2">
      <c r="A111" s="196"/>
      <c r="B111" s="168"/>
      <c r="C111" s="169"/>
      <c r="D111" s="168"/>
      <c r="E111" s="168"/>
      <c r="F111" s="170"/>
      <c r="G111" s="168"/>
      <c r="H111" s="170">
        <f t="shared" si="8"/>
        <v>0</v>
      </c>
      <c r="I111" s="170"/>
      <c r="J111" s="170"/>
      <c r="K111" s="170"/>
      <c r="L111" s="195"/>
    </row>
    <row r="112" spans="1:12" ht="17.25" customHeight="1" x14ac:dyDescent="0.2">
      <c r="A112" s="1374" t="s">
        <v>604</v>
      </c>
      <c r="B112" s="1315"/>
      <c r="C112" s="1315"/>
      <c r="D112" s="1315"/>
      <c r="E112" s="1315"/>
      <c r="F112" s="1315"/>
      <c r="G112" s="1315"/>
      <c r="H112" s="172">
        <f>SUM(H101:H111)</f>
        <v>0</v>
      </c>
      <c r="I112" s="172">
        <f>SUM(I101:I111)</f>
        <v>0</v>
      </c>
      <c r="J112" s="172">
        <f>SUM(J101:J111)</f>
        <v>0</v>
      </c>
      <c r="K112" s="172">
        <f>SUM(K101:K111)</f>
        <v>0</v>
      </c>
      <c r="L112" s="197">
        <f>SUM(L101:L111)</f>
        <v>0</v>
      </c>
    </row>
    <row r="113" spans="1:12" ht="24.75" customHeight="1" x14ac:dyDescent="0.2">
      <c r="A113" s="1146" t="s">
        <v>370</v>
      </c>
      <c r="B113" s="1147"/>
      <c r="C113" s="1147"/>
      <c r="D113" s="108" t="s">
        <v>119</v>
      </c>
      <c r="E113" s="108" t="s">
        <v>373</v>
      </c>
      <c r="F113" s="1147" t="s">
        <v>431</v>
      </c>
      <c r="G113" s="1147"/>
      <c r="H113" s="198" t="s">
        <v>432</v>
      </c>
      <c r="I113" s="166" t="s">
        <v>407</v>
      </c>
      <c r="J113" s="166" t="s">
        <v>408</v>
      </c>
      <c r="K113" s="166" t="s">
        <v>407</v>
      </c>
      <c r="L113" s="192" t="s">
        <v>408</v>
      </c>
    </row>
    <row r="114" spans="1:12" ht="18" customHeight="1" x14ac:dyDescent="0.2">
      <c r="A114" s="1378" t="s">
        <v>618</v>
      </c>
      <c r="B114" s="1379"/>
      <c r="C114" s="1379"/>
      <c r="D114" s="1379"/>
      <c r="E114" s="1379"/>
      <c r="F114" s="1379"/>
      <c r="G114" s="1379"/>
      <c r="H114" s="1379"/>
      <c r="I114" s="1379"/>
      <c r="J114" s="1379"/>
      <c r="K114" s="1379"/>
      <c r="L114" s="1380"/>
    </row>
    <row r="115" spans="1:12" ht="18" customHeight="1" x14ac:dyDescent="0.2">
      <c r="A115" s="1366"/>
      <c r="B115" s="1313"/>
      <c r="C115" s="1313"/>
      <c r="D115" s="38"/>
      <c r="E115" s="38"/>
      <c r="F115" s="1314"/>
      <c r="G115" s="1314"/>
      <c r="H115" s="170">
        <f>E115*F115</f>
        <v>0</v>
      </c>
      <c r="I115" s="349"/>
      <c r="J115" s="349"/>
      <c r="K115" s="199"/>
      <c r="L115" s="200"/>
    </row>
    <row r="116" spans="1:12" ht="18" customHeight="1" x14ac:dyDescent="0.2">
      <c r="A116" s="1366"/>
      <c r="B116" s="1313"/>
      <c r="C116" s="1313"/>
      <c r="D116" s="38"/>
      <c r="E116" s="38"/>
      <c r="F116" s="1314"/>
      <c r="G116" s="1314"/>
      <c r="H116" s="170">
        <f>E116*F116</f>
        <v>0</v>
      </c>
      <c r="I116" s="349"/>
      <c r="J116" s="349"/>
      <c r="K116" s="199"/>
      <c r="L116" s="200"/>
    </row>
    <row r="117" spans="1:12" ht="18" customHeight="1" x14ac:dyDescent="0.2">
      <c r="A117" s="1366"/>
      <c r="B117" s="1313"/>
      <c r="C117" s="1313"/>
      <c r="D117" s="38"/>
      <c r="E117" s="38"/>
      <c r="F117" s="1314"/>
      <c r="G117" s="1314"/>
      <c r="H117" s="170">
        <f t="shared" ref="H117:H128" si="9">E117*F117</f>
        <v>0</v>
      </c>
      <c r="I117" s="349"/>
      <c r="J117" s="349"/>
      <c r="K117" s="199"/>
      <c r="L117" s="200"/>
    </row>
    <row r="118" spans="1:12" ht="18" hidden="1" customHeight="1" x14ac:dyDescent="0.2">
      <c r="A118" s="1366"/>
      <c r="B118" s="1313"/>
      <c r="C118" s="1313"/>
      <c r="D118" s="38"/>
      <c r="E118" s="38"/>
      <c r="F118" s="1314"/>
      <c r="G118" s="1314"/>
      <c r="H118" s="170">
        <f t="shared" si="9"/>
        <v>0</v>
      </c>
      <c r="I118" s="349"/>
      <c r="J118" s="349"/>
      <c r="K118" s="199"/>
      <c r="L118" s="200"/>
    </row>
    <row r="119" spans="1:12" ht="18" hidden="1" customHeight="1" x14ac:dyDescent="0.2">
      <c r="A119" s="1366"/>
      <c r="B119" s="1313"/>
      <c r="C119" s="1313"/>
      <c r="D119" s="38"/>
      <c r="E119" s="38"/>
      <c r="F119" s="1314"/>
      <c r="G119" s="1314"/>
      <c r="H119" s="170">
        <f t="shared" si="9"/>
        <v>0</v>
      </c>
      <c r="I119" s="349"/>
      <c r="J119" s="349"/>
      <c r="K119" s="199"/>
      <c r="L119" s="200"/>
    </row>
    <row r="120" spans="1:12" ht="18" hidden="1" customHeight="1" x14ac:dyDescent="0.2">
      <c r="A120" s="1366"/>
      <c r="B120" s="1313"/>
      <c r="C120" s="1313"/>
      <c r="D120" s="38"/>
      <c r="E120" s="38"/>
      <c r="F120" s="1314"/>
      <c r="G120" s="1314"/>
      <c r="H120" s="170">
        <f t="shared" si="9"/>
        <v>0</v>
      </c>
      <c r="I120" s="349"/>
      <c r="J120" s="349"/>
      <c r="K120" s="199"/>
      <c r="L120" s="200"/>
    </row>
    <row r="121" spans="1:12" ht="18" hidden="1" customHeight="1" x14ac:dyDescent="0.2">
      <c r="A121" s="1366"/>
      <c r="B121" s="1313"/>
      <c r="C121" s="1313"/>
      <c r="D121" s="38"/>
      <c r="E121" s="38"/>
      <c r="F121" s="1314"/>
      <c r="G121" s="1314"/>
      <c r="H121" s="170">
        <f t="shared" si="9"/>
        <v>0</v>
      </c>
      <c r="I121" s="349"/>
      <c r="J121" s="349"/>
      <c r="K121" s="199"/>
      <c r="L121" s="200"/>
    </row>
    <row r="122" spans="1:12" ht="18" hidden="1" customHeight="1" x14ac:dyDescent="0.2">
      <c r="A122" s="1366"/>
      <c r="B122" s="1313"/>
      <c r="C122" s="1313"/>
      <c r="D122" s="38"/>
      <c r="E122" s="38"/>
      <c r="F122" s="1314"/>
      <c r="G122" s="1314"/>
      <c r="H122" s="170">
        <f t="shared" si="9"/>
        <v>0</v>
      </c>
      <c r="I122" s="349"/>
      <c r="J122" s="349"/>
      <c r="K122" s="199"/>
      <c r="L122" s="200"/>
    </row>
    <row r="123" spans="1:12" ht="18" hidden="1" customHeight="1" x14ac:dyDescent="0.2">
      <c r="A123" s="1366"/>
      <c r="B123" s="1313"/>
      <c r="C123" s="1313"/>
      <c r="D123" s="38"/>
      <c r="E123" s="38"/>
      <c r="F123" s="1314"/>
      <c r="G123" s="1314"/>
      <c r="H123" s="170">
        <f t="shared" si="9"/>
        <v>0</v>
      </c>
      <c r="I123" s="349"/>
      <c r="J123" s="349"/>
      <c r="K123" s="199"/>
      <c r="L123" s="200"/>
    </row>
    <row r="124" spans="1:12" ht="18" hidden="1" customHeight="1" x14ac:dyDescent="0.2">
      <c r="A124" s="1366"/>
      <c r="B124" s="1313"/>
      <c r="C124" s="1313"/>
      <c r="D124" s="38"/>
      <c r="E124" s="38"/>
      <c r="F124" s="1314"/>
      <c r="G124" s="1314"/>
      <c r="H124" s="170">
        <f t="shared" si="9"/>
        <v>0</v>
      </c>
      <c r="I124" s="349"/>
      <c r="J124" s="349"/>
      <c r="K124" s="199"/>
      <c r="L124" s="200"/>
    </row>
    <row r="125" spans="1:12" ht="18" hidden="1" customHeight="1" x14ac:dyDescent="0.2">
      <c r="A125" s="1366"/>
      <c r="B125" s="1313"/>
      <c r="C125" s="1313"/>
      <c r="D125" s="38"/>
      <c r="E125" s="38"/>
      <c r="F125" s="1314"/>
      <c r="G125" s="1314"/>
      <c r="H125" s="170">
        <f t="shared" si="9"/>
        <v>0</v>
      </c>
      <c r="I125" s="349"/>
      <c r="J125" s="349"/>
      <c r="K125" s="199"/>
      <c r="L125" s="200"/>
    </row>
    <row r="126" spans="1:12" ht="18" hidden="1" customHeight="1" x14ac:dyDescent="0.2">
      <c r="A126" s="1366"/>
      <c r="B126" s="1313"/>
      <c r="C126" s="1313"/>
      <c r="D126" s="38"/>
      <c r="E126" s="38"/>
      <c r="F126" s="1314"/>
      <c r="G126" s="1314"/>
      <c r="H126" s="170">
        <f t="shared" si="9"/>
        <v>0</v>
      </c>
      <c r="I126" s="349"/>
      <c r="J126" s="349"/>
      <c r="K126" s="199"/>
      <c r="L126" s="200"/>
    </row>
    <row r="127" spans="1:12" ht="18" hidden="1" customHeight="1" x14ac:dyDescent="0.2">
      <c r="A127" s="1366"/>
      <c r="B127" s="1313"/>
      <c r="C127" s="1313"/>
      <c r="D127" s="38"/>
      <c r="E127" s="38"/>
      <c r="F127" s="1314"/>
      <c r="G127" s="1314"/>
      <c r="H127" s="170">
        <f t="shared" si="9"/>
        <v>0</v>
      </c>
      <c r="I127" s="349"/>
      <c r="J127" s="349"/>
      <c r="K127" s="199"/>
      <c r="L127" s="200"/>
    </row>
    <row r="128" spans="1:12" ht="18" hidden="1" customHeight="1" x14ac:dyDescent="0.2">
      <c r="A128" s="1366"/>
      <c r="B128" s="1313"/>
      <c r="C128" s="1313"/>
      <c r="D128" s="38"/>
      <c r="E128" s="38"/>
      <c r="F128" s="1314"/>
      <c r="G128" s="1314"/>
      <c r="H128" s="170">
        <f t="shared" si="9"/>
        <v>0</v>
      </c>
      <c r="I128" s="349"/>
      <c r="J128" s="349"/>
      <c r="K128" s="199"/>
      <c r="L128" s="200"/>
    </row>
    <row r="129" spans="1:13" ht="18" customHeight="1" x14ac:dyDescent="0.2">
      <c r="A129" s="1374" t="s">
        <v>611</v>
      </c>
      <c r="B129" s="1315"/>
      <c r="C129" s="1315"/>
      <c r="D129" s="1315"/>
      <c r="E129" s="1315"/>
      <c r="F129" s="1315"/>
      <c r="G129" s="1315"/>
      <c r="H129" s="172">
        <f>SUM(H115:H128)</f>
        <v>0</v>
      </c>
      <c r="I129" s="172">
        <f>SUM(I115:I128)</f>
        <v>0</v>
      </c>
      <c r="J129" s="172">
        <f>SUM(J115:J128)</f>
        <v>0</v>
      </c>
      <c r="K129" s="172">
        <f>SUM(K115:K128)</f>
        <v>0</v>
      </c>
      <c r="L129" s="197">
        <f>SUM(L115:L128)</f>
        <v>0</v>
      </c>
    </row>
    <row r="130" spans="1:13" ht="18" customHeight="1" thickBot="1" x14ac:dyDescent="0.25">
      <c r="A130" s="1360" t="s">
        <v>619</v>
      </c>
      <c r="B130" s="1361"/>
      <c r="C130" s="1361"/>
      <c r="D130" s="1361"/>
      <c r="E130" s="1361"/>
      <c r="F130" s="1361"/>
      <c r="G130" s="1361"/>
      <c r="H130" s="201">
        <f>H112+H129</f>
        <v>0</v>
      </c>
      <c r="I130" s="201">
        <f>I112+I129</f>
        <v>0</v>
      </c>
      <c r="J130" s="201">
        <f t="shared" ref="J130:L130" si="10">J112+J129</f>
        <v>0</v>
      </c>
      <c r="K130" s="201">
        <f t="shared" si="10"/>
        <v>0</v>
      </c>
      <c r="L130" s="202">
        <f t="shared" si="10"/>
        <v>0</v>
      </c>
    </row>
    <row r="131" spans="1:13" ht="18" customHeight="1" thickBot="1" x14ac:dyDescent="0.25">
      <c r="A131" s="1362" t="s">
        <v>612</v>
      </c>
      <c r="B131" s="1363"/>
      <c r="C131" s="1363"/>
      <c r="D131" s="1363"/>
      <c r="E131" s="1363"/>
      <c r="F131" s="1363"/>
      <c r="G131" s="1363"/>
      <c r="H131" s="431" t="s">
        <v>620</v>
      </c>
      <c r="I131" s="1364"/>
      <c r="J131" s="1364"/>
      <c r="K131" s="1364"/>
      <c r="L131" s="1365"/>
    </row>
    <row r="132" spans="1:13" ht="18" customHeight="1" x14ac:dyDescent="0.2">
      <c r="A132" s="1333" t="str">
        <f>IF(H131="Si","Administración","Gastos de administración")</f>
        <v>Administración</v>
      </c>
      <c r="B132" s="1334"/>
      <c r="C132" s="1334"/>
      <c r="D132" s="1334"/>
      <c r="E132" s="1334"/>
      <c r="F132" s="1335"/>
      <c r="G132" s="379"/>
      <c r="H132" s="380">
        <v>0</v>
      </c>
      <c r="I132" s="170">
        <f>H132</f>
        <v>0</v>
      </c>
      <c r="J132" s="170"/>
      <c r="K132" s="170"/>
      <c r="L132" s="195"/>
      <c r="M132" s="382" t="s">
        <v>391</v>
      </c>
    </row>
    <row r="133" spans="1:13" ht="18" customHeight="1" x14ac:dyDescent="0.2">
      <c r="A133" s="1333" t="str">
        <f>IF(H131="Si","Utilidad","")</f>
        <v>Utilidad</v>
      </c>
      <c r="B133" s="1334"/>
      <c r="C133" s="1334"/>
      <c r="D133" s="1334"/>
      <c r="E133" s="1334"/>
      <c r="F133" s="1335"/>
      <c r="G133" s="379"/>
      <c r="H133" s="380">
        <v>0</v>
      </c>
      <c r="I133" s="170"/>
      <c r="J133" s="170"/>
      <c r="K133" s="170"/>
      <c r="L133" s="195"/>
    </row>
    <row r="134" spans="1:13" ht="18" customHeight="1" x14ac:dyDescent="0.2">
      <c r="A134" s="1333" t="str">
        <f>IF(H131="Si","IVA","")</f>
        <v>IVA</v>
      </c>
      <c r="B134" s="1334"/>
      <c r="C134" s="1334"/>
      <c r="D134" s="1334"/>
      <c r="E134" s="1334"/>
      <c r="F134" s="1335"/>
      <c r="G134" s="379"/>
      <c r="H134" s="380">
        <v>0</v>
      </c>
      <c r="I134" s="170"/>
      <c r="J134" s="170"/>
      <c r="K134" s="170"/>
      <c r="L134" s="195"/>
      <c r="M134" s="378" t="s">
        <v>393</v>
      </c>
    </row>
    <row r="135" spans="1:13" ht="18" customHeight="1" thickBot="1" x14ac:dyDescent="0.25">
      <c r="A135" s="1367" t="str">
        <f>IF(H131="Si","TOTAL (después de AU e IVA)", "TOTAL (después de administración)")</f>
        <v>TOTAL (después de AU e IVA)</v>
      </c>
      <c r="B135" s="1368"/>
      <c r="C135" s="1368"/>
      <c r="D135" s="1368"/>
      <c r="E135" s="1368"/>
      <c r="F135" s="1368"/>
      <c r="G135" s="1368"/>
      <c r="H135" s="381">
        <f>SUM(H132:H134)+H130</f>
        <v>0</v>
      </c>
      <c r="I135" s="362">
        <f t="shared" ref="I135:L135" si="11">SUM(I132:I134)+I130</f>
        <v>0</v>
      </c>
      <c r="J135" s="362">
        <f t="shared" si="11"/>
        <v>0</v>
      </c>
      <c r="K135" s="362">
        <f t="shared" si="11"/>
        <v>0</v>
      </c>
      <c r="L135" s="363">
        <f t="shared" si="11"/>
        <v>0</v>
      </c>
    </row>
    <row r="136" spans="1:13" ht="40.5" customHeight="1" thickBot="1" x14ac:dyDescent="0.25">
      <c r="A136" s="360" t="s">
        <v>614</v>
      </c>
      <c r="B136" s="657"/>
      <c r="C136" s="361" t="s">
        <v>119</v>
      </c>
      <c r="D136" s="657"/>
      <c r="E136" s="361" t="s">
        <v>621</v>
      </c>
      <c r="F136" s="1369">
        <f>IFERROR(H130/B136,0)</f>
        <v>0</v>
      </c>
      <c r="G136" s="1370"/>
      <c r="H136" s="1371" t="s">
        <v>622</v>
      </c>
      <c r="I136" s="1372"/>
      <c r="J136" s="1372"/>
      <c r="K136" s="1372"/>
      <c r="L136" s="1373"/>
    </row>
    <row r="137" spans="1:13" ht="36" customHeight="1" thickBot="1" x14ac:dyDescent="0.25">
      <c r="A137" s="1353"/>
      <c r="B137" s="1354"/>
      <c r="C137" s="1354"/>
      <c r="D137" s="1354"/>
      <c r="E137" s="1354"/>
      <c r="F137" s="1354"/>
      <c r="G137" s="1354"/>
      <c r="H137" s="1354"/>
      <c r="I137" s="1354"/>
      <c r="J137" s="1354"/>
      <c r="K137" s="1354"/>
      <c r="L137" s="1355"/>
    </row>
    <row r="138" spans="1:13" ht="56.25" customHeight="1" thickBot="1" x14ac:dyDescent="0.25">
      <c r="A138" s="360" t="s">
        <v>614</v>
      </c>
      <c r="B138" s="657"/>
      <c r="C138" s="361" t="s">
        <v>119</v>
      </c>
      <c r="D138" s="657"/>
      <c r="E138" s="361" t="s">
        <v>626</v>
      </c>
      <c r="F138" s="1369">
        <f>IFERROR((H130-H112)/B138,0)</f>
        <v>0</v>
      </c>
      <c r="G138" s="1370"/>
      <c r="H138" s="1371" t="s">
        <v>622</v>
      </c>
      <c r="I138" s="1372"/>
      <c r="J138" s="1372"/>
      <c r="K138" s="1372"/>
      <c r="L138" s="1373"/>
    </row>
    <row r="139" spans="1:13" ht="18" customHeight="1" thickBot="1" x14ac:dyDescent="0.25">
      <c r="A139" s="1389"/>
      <c r="B139" s="1389"/>
      <c r="C139" s="1389"/>
      <c r="D139" s="1389"/>
      <c r="E139" s="1389"/>
      <c r="F139" s="1389"/>
      <c r="G139" s="1389"/>
      <c r="H139" s="1389"/>
      <c r="I139" s="1389"/>
      <c r="J139" s="1389"/>
      <c r="K139" s="1389"/>
      <c r="L139" s="1389"/>
    </row>
    <row r="140" spans="1:13" ht="18" customHeight="1" x14ac:dyDescent="0.2">
      <c r="A140" s="1375" t="s">
        <v>627</v>
      </c>
      <c r="B140" s="1376"/>
      <c r="C140" s="1376"/>
      <c r="D140" s="1376"/>
      <c r="E140" s="1376"/>
      <c r="F140" s="1376"/>
      <c r="G140" s="1376"/>
      <c r="H140" s="1376"/>
      <c r="I140" s="1376"/>
      <c r="J140" s="1376"/>
      <c r="K140" s="1376"/>
      <c r="L140" s="1377"/>
    </row>
    <row r="141" spans="1:13" ht="25.5" customHeight="1" x14ac:dyDescent="0.2">
      <c r="A141" s="348" t="s">
        <v>370</v>
      </c>
      <c r="B141" s="100" t="s">
        <v>371</v>
      </c>
      <c r="C141" s="100" t="s">
        <v>372</v>
      </c>
      <c r="D141" s="100" t="s">
        <v>119</v>
      </c>
      <c r="E141" s="100" t="s">
        <v>373</v>
      </c>
      <c r="F141" s="164" t="s">
        <v>374</v>
      </c>
      <c r="G141" s="100" t="s">
        <v>375</v>
      </c>
      <c r="H141" s="164" t="s">
        <v>376</v>
      </c>
      <c r="I141" s="166" t="s">
        <v>407</v>
      </c>
      <c r="J141" s="166" t="s">
        <v>408</v>
      </c>
      <c r="K141" s="166" t="s">
        <v>407</v>
      </c>
      <c r="L141" s="192" t="s">
        <v>408</v>
      </c>
    </row>
    <row r="142" spans="1:13" ht="18" customHeight="1" x14ac:dyDescent="0.2">
      <c r="A142" s="1378" t="s">
        <v>368</v>
      </c>
      <c r="B142" s="1379"/>
      <c r="C142" s="1379"/>
      <c r="D142" s="1379"/>
      <c r="E142" s="1379"/>
      <c r="F142" s="1379"/>
      <c r="G142" s="1379"/>
      <c r="H142" s="1379"/>
      <c r="I142" s="1379"/>
      <c r="J142" s="1379"/>
      <c r="K142" s="1379"/>
      <c r="L142" s="1380"/>
    </row>
    <row r="143" spans="1:13" ht="18" customHeight="1" x14ac:dyDescent="0.2">
      <c r="A143" s="350"/>
      <c r="B143" s="173"/>
      <c r="C143" s="169"/>
      <c r="D143" s="173"/>
      <c r="E143" s="173"/>
      <c r="F143" s="170"/>
      <c r="G143" s="194"/>
      <c r="H143" s="170">
        <f>B143*C143*E143*F143*G143</f>
        <v>0</v>
      </c>
      <c r="I143" s="170"/>
      <c r="J143" s="170"/>
      <c r="K143" s="170"/>
      <c r="L143" s="195"/>
    </row>
    <row r="144" spans="1:13" ht="18" customHeight="1" x14ac:dyDescent="0.2">
      <c r="A144" s="350"/>
      <c r="B144" s="173"/>
      <c r="C144" s="169"/>
      <c r="D144" s="173"/>
      <c r="E144" s="173"/>
      <c r="F144" s="170"/>
      <c r="G144" s="194"/>
      <c r="H144" s="170">
        <f>B144*C144*E144*F144*G144</f>
        <v>0</v>
      </c>
      <c r="I144" s="170"/>
      <c r="J144" s="170"/>
      <c r="K144" s="170"/>
      <c r="L144" s="195"/>
    </row>
    <row r="145" spans="1:12" ht="18" customHeight="1" x14ac:dyDescent="0.2">
      <c r="A145" s="350"/>
      <c r="B145" s="173"/>
      <c r="C145" s="169"/>
      <c r="D145" s="173"/>
      <c r="E145" s="173"/>
      <c r="F145" s="170"/>
      <c r="G145" s="194"/>
      <c r="H145" s="170">
        <f t="shared" ref="H145:H153" si="12">B145*C145*E145*F145*G145</f>
        <v>0</v>
      </c>
      <c r="I145" s="170"/>
      <c r="J145" s="170"/>
      <c r="K145" s="170"/>
      <c r="L145" s="195"/>
    </row>
    <row r="146" spans="1:12" ht="18" hidden="1" customHeight="1" x14ac:dyDescent="0.2">
      <c r="A146" s="350"/>
      <c r="B146" s="173"/>
      <c r="C146" s="169"/>
      <c r="D146" s="173"/>
      <c r="E146" s="173"/>
      <c r="F146" s="170"/>
      <c r="G146" s="194"/>
      <c r="H146" s="170">
        <f t="shared" si="12"/>
        <v>0</v>
      </c>
      <c r="I146" s="170"/>
      <c r="J146" s="170"/>
      <c r="K146" s="170"/>
      <c r="L146" s="195"/>
    </row>
    <row r="147" spans="1:12" ht="18" hidden="1" customHeight="1" x14ac:dyDescent="0.2">
      <c r="A147" s="350"/>
      <c r="B147" s="173"/>
      <c r="C147" s="169"/>
      <c r="D147" s="173"/>
      <c r="E147" s="173"/>
      <c r="F147" s="170"/>
      <c r="G147" s="194"/>
      <c r="H147" s="170">
        <f t="shared" si="12"/>
        <v>0</v>
      </c>
      <c r="I147" s="170"/>
      <c r="J147" s="170"/>
      <c r="K147" s="170"/>
      <c r="L147" s="195"/>
    </row>
    <row r="148" spans="1:12" ht="18" hidden="1" customHeight="1" x14ac:dyDescent="0.2">
      <c r="A148" s="350"/>
      <c r="B148" s="173"/>
      <c r="C148" s="169"/>
      <c r="D148" s="173"/>
      <c r="E148" s="173"/>
      <c r="F148" s="170"/>
      <c r="G148" s="194"/>
      <c r="H148" s="170">
        <f t="shared" si="12"/>
        <v>0</v>
      </c>
      <c r="I148" s="170"/>
      <c r="J148" s="170"/>
      <c r="K148" s="170"/>
      <c r="L148" s="195"/>
    </row>
    <row r="149" spans="1:12" ht="18" hidden="1" customHeight="1" x14ac:dyDescent="0.2">
      <c r="A149" s="350"/>
      <c r="B149" s="173"/>
      <c r="C149" s="169"/>
      <c r="D149" s="173"/>
      <c r="E149" s="173"/>
      <c r="F149" s="170"/>
      <c r="G149" s="194"/>
      <c r="H149" s="170">
        <f t="shared" si="12"/>
        <v>0</v>
      </c>
      <c r="I149" s="170"/>
      <c r="J149" s="170"/>
      <c r="K149" s="170"/>
      <c r="L149" s="195"/>
    </row>
    <row r="150" spans="1:12" ht="18" hidden="1" customHeight="1" x14ac:dyDescent="0.2">
      <c r="A150" s="350"/>
      <c r="B150" s="173"/>
      <c r="C150" s="169"/>
      <c r="D150" s="173"/>
      <c r="E150" s="173"/>
      <c r="F150" s="170"/>
      <c r="G150" s="194"/>
      <c r="H150" s="170">
        <f t="shared" si="12"/>
        <v>0</v>
      </c>
      <c r="I150" s="170"/>
      <c r="J150" s="170"/>
      <c r="K150" s="170"/>
      <c r="L150" s="195"/>
    </row>
    <row r="151" spans="1:12" ht="18" hidden="1" customHeight="1" x14ac:dyDescent="0.2">
      <c r="A151" s="196"/>
      <c r="B151" s="168"/>
      <c r="C151" s="169"/>
      <c r="D151" s="168"/>
      <c r="E151" s="168"/>
      <c r="F151" s="170"/>
      <c r="G151" s="171"/>
      <c r="H151" s="170">
        <f t="shared" si="12"/>
        <v>0</v>
      </c>
      <c r="I151" s="170"/>
      <c r="J151" s="170"/>
      <c r="K151" s="170"/>
      <c r="L151" s="195"/>
    </row>
    <row r="152" spans="1:12" ht="18" hidden="1" customHeight="1" x14ac:dyDescent="0.2">
      <c r="A152" s="196"/>
      <c r="B152" s="168"/>
      <c r="C152" s="169"/>
      <c r="D152" s="168"/>
      <c r="E152" s="168"/>
      <c r="F152" s="170"/>
      <c r="G152" s="171"/>
      <c r="H152" s="170">
        <f t="shared" si="12"/>
        <v>0</v>
      </c>
      <c r="I152" s="170"/>
      <c r="J152" s="170"/>
      <c r="K152" s="170"/>
      <c r="L152" s="195"/>
    </row>
    <row r="153" spans="1:12" ht="18" hidden="1" customHeight="1" x14ac:dyDescent="0.2">
      <c r="A153" s="196"/>
      <c r="B153" s="168"/>
      <c r="C153" s="169"/>
      <c r="D153" s="168"/>
      <c r="E153" s="168"/>
      <c r="F153" s="170"/>
      <c r="G153" s="168"/>
      <c r="H153" s="170">
        <f t="shared" si="12"/>
        <v>0</v>
      </c>
      <c r="I153" s="170"/>
      <c r="J153" s="170"/>
      <c r="K153" s="170"/>
      <c r="L153" s="195"/>
    </row>
    <row r="154" spans="1:12" ht="18" customHeight="1" x14ac:dyDescent="0.2">
      <c r="A154" s="1374" t="s">
        <v>604</v>
      </c>
      <c r="B154" s="1315"/>
      <c r="C154" s="1315"/>
      <c r="D154" s="1315"/>
      <c r="E154" s="1315"/>
      <c r="F154" s="1315"/>
      <c r="G154" s="1315"/>
      <c r="H154" s="172">
        <f>SUM(H143:H153)</f>
        <v>0</v>
      </c>
      <c r="I154" s="172">
        <f>SUM(I143:I153)</f>
        <v>0</v>
      </c>
      <c r="J154" s="172">
        <f>SUM(J143:J153)</f>
        <v>0</v>
      </c>
      <c r="K154" s="172">
        <f>SUM(K143:K153)</f>
        <v>0</v>
      </c>
      <c r="L154" s="197">
        <f>SUM(L143:L153)</f>
        <v>0</v>
      </c>
    </row>
    <row r="155" spans="1:12" ht="24.75" customHeight="1" x14ac:dyDescent="0.2">
      <c r="A155" s="1146" t="s">
        <v>370</v>
      </c>
      <c r="B155" s="1147"/>
      <c r="C155" s="1147"/>
      <c r="D155" s="108" t="s">
        <v>119</v>
      </c>
      <c r="E155" s="108" t="s">
        <v>373</v>
      </c>
      <c r="F155" s="1147" t="s">
        <v>431</v>
      </c>
      <c r="G155" s="1147"/>
      <c r="H155" s="198" t="s">
        <v>432</v>
      </c>
      <c r="I155" s="166" t="s">
        <v>407</v>
      </c>
      <c r="J155" s="166" t="s">
        <v>408</v>
      </c>
      <c r="K155" s="166" t="s">
        <v>407</v>
      </c>
      <c r="L155" s="192" t="s">
        <v>408</v>
      </c>
    </row>
    <row r="156" spans="1:12" ht="18" customHeight="1" x14ac:dyDescent="0.2">
      <c r="A156" s="1378" t="s">
        <v>618</v>
      </c>
      <c r="B156" s="1379"/>
      <c r="C156" s="1379"/>
      <c r="D156" s="1379"/>
      <c r="E156" s="1379"/>
      <c r="F156" s="1379"/>
      <c r="G156" s="1379"/>
      <c r="H156" s="1379"/>
      <c r="I156" s="1379"/>
      <c r="J156" s="1379"/>
      <c r="K156" s="1379"/>
      <c r="L156" s="1380"/>
    </row>
    <row r="157" spans="1:12" ht="18" customHeight="1" x14ac:dyDescent="0.2">
      <c r="A157" s="1366"/>
      <c r="B157" s="1313"/>
      <c r="C157" s="1313"/>
      <c r="D157" s="38"/>
      <c r="E157" s="38"/>
      <c r="F157" s="1314"/>
      <c r="G157" s="1314"/>
      <c r="H157" s="170">
        <f>E157*F157</f>
        <v>0</v>
      </c>
      <c r="I157" s="349"/>
      <c r="J157" s="349"/>
      <c r="K157" s="199"/>
      <c r="L157" s="200"/>
    </row>
    <row r="158" spans="1:12" ht="18" customHeight="1" x14ac:dyDescent="0.2">
      <c r="A158" s="1366"/>
      <c r="B158" s="1313"/>
      <c r="C158" s="1313"/>
      <c r="D158" s="38"/>
      <c r="E158" s="38"/>
      <c r="F158" s="1314"/>
      <c r="G158" s="1314"/>
      <c r="H158" s="170">
        <f>E158*F158</f>
        <v>0</v>
      </c>
      <c r="I158" s="349"/>
      <c r="J158" s="349"/>
      <c r="K158" s="199"/>
      <c r="L158" s="200"/>
    </row>
    <row r="159" spans="1:12" ht="18" hidden="1" customHeight="1" x14ac:dyDescent="0.2">
      <c r="A159" s="1366"/>
      <c r="B159" s="1313"/>
      <c r="C159" s="1313"/>
      <c r="D159" s="38"/>
      <c r="E159" s="38"/>
      <c r="F159" s="1314"/>
      <c r="G159" s="1314"/>
      <c r="H159" s="170">
        <f t="shared" ref="H159:H170" si="13">E159*F159</f>
        <v>0</v>
      </c>
      <c r="I159" s="349"/>
      <c r="J159" s="349"/>
      <c r="K159" s="199"/>
      <c r="L159" s="200"/>
    </row>
    <row r="160" spans="1:12" ht="18" hidden="1" customHeight="1" x14ac:dyDescent="0.2">
      <c r="A160" s="1366"/>
      <c r="B160" s="1313"/>
      <c r="C160" s="1313"/>
      <c r="D160" s="38"/>
      <c r="E160" s="38"/>
      <c r="F160" s="1314"/>
      <c r="G160" s="1314"/>
      <c r="H160" s="170">
        <f t="shared" si="13"/>
        <v>0</v>
      </c>
      <c r="I160" s="349"/>
      <c r="J160" s="349"/>
      <c r="K160" s="199"/>
      <c r="L160" s="200"/>
    </row>
    <row r="161" spans="1:13" ht="18" hidden="1" customHeight="1" x14ac:dyDescent="0.2">
      <c r="A161" s="1366"/>
      <c r="B161" s="1313"/>
      <c r="C161" s="1313"/>
      <c r="D161" s="38"/>
      <c r="E161" s="38"/>
      <c r="F161" s="1314"/>
      <c r="G161" s="1314"/>
      <c r="H161" s="170">
        <f t="shared" si="13"/>
        <v>0</v>
      </c>
      <c r="I161" s="349"/>
      <c r="J161" s="349"/>
      <c r="K161" s="199"/>
      <c r="L161" s="200"/>
    </row>
    <row r="162" spans="1:13" ht="18" hidden="1" customHeight="1" x14ac:dyDescent="0.2">
      <c r="A162" s="1366"/>
      <c r="B162" s="1313"/>
      <c r="C162" s="1313"/>
      <c r="D162" s="38"/>
      <c r="E162" s="38"/>
      <c r="F162" s="1314"/>
      <c r="G162" s="1314"/>
      <c r="H162" s="170">
        <f t="shared" si="13"/>
        <v>0</v>
      </c>
      <c r="I162" s="349"/>
      <c r="J162" s="349"/>
      <c r="K162" s="199"/>
      <c r="L162" s="200"/>
    </row>
    <row r="163" spans="1:13" ht="18" hidden="1" customHeight="1" x14ac:dyDescent="0.2">
      <c r="A163" s="1366"/>
      <c r="B163" s="1313"/>
      <c r="C163" s="1313"/>
      <c r="D163" s="38"/>
      <c r="E163" s="38"/>
      <c r="F163" s="1314"/>
      <c r="G163" s="1314"/>
      <c r="H163" s="170">
        <f t="shared" si="13"/>
        <v>0</v>
      </c>
      <c r="I163" s="349"/>
      <c r="J163" s="349"/>
      <c r="K163" s="199"/>
      <c r="L163" s="200"/>
    </row>
    <row r="164" spans="1:13" ht="18" hidden="1" customHeight="1" x14ac:dyDescent="0.2">
      <c r="A164" s="1366"/>
      <c r="B164" s="1313"/>
      <c r="C164" s="1313"/>
      <c r="D164" s="38"/>
      <c r="E164" s="38"/>
      <c r="F164" s="1314"/>
      <c r="G164" s="1314"/>
      <c r="H164" s="170">
        <f t="shared" si="13"/>
        <v>0</v>
      </c>
      <c r="I164" s="349"/>
      <c r="J164" s="349"/>
      <c r="K164" s="199"/>
      <c r="L164" s="200"/>
    </row>
    <row r="165" spans="1:13" ht="18" hidden="1" customHeight="1" x14ac:dyDescent="0.2">
      <c r="A165" s="1366"/>
      <c r="B165" s="1313"/>
      <c r="C165" s="1313"/>
      <c r="D165" s="38"/>
      <c r="E165" s="38"/>
      <c r="F165" s="1314"/>
      <c r="G165" s="1314"/>
      <c r="H165" s="170">
        <f t="shared" si="13"/>
        <v>0</v>
      </c>
      <c r="I165" s="349"/>
      <c r="J165" s="349"/>
      <c r="K165" s="199"/>
      <c r="L165" s="200"/>
    </row>
    <row r="166" spans="1:13" ht="18" hidden="1" customHeight="1" x14ac:dyDescent="0.2">
      <c r="A166" s="1366"/>
      <c r="B166" s="1313"/>
      <c r="C166" s="1313"/>
      <c r="D166" s="38"/>
      <c r="E166" s="38"/>
      <c r="F166" s="1314"/>
      <c r="G166" s="1314"/>
      <c r="H166" s="170">
        <f t="shared" si="13"/>
        <v>0</v>
      </c>
      <c r="I166" s="349"/>
      <c r="J166" s="349"/>
      <c r="K166" s="199"/>
      <c r="L166" s="200"/>
    </row>
    <row r="167" spans="1:13" ht="18" hidden="1" customHeight="1" x14ac:dyDescent="0.2">
      <c r="A167" s="1366"/>
      <c r="B167" s="1313"/>
      <c r="C167" s="1313"/>
      <c r="D167" s="38"/>
      <c r="E167" s="38"/>
      <c r="F167" s="1314"/>
      <c r="G167" s="1314"/>
      <c r="H167" s="170">
        <f t="shared" si="13"/>
        <v>0</v>
      </c>
      <c r="I167" s="349"/>
      <c r="J167" s="349"/>
      <c r="K167" s="199"/>
      <c r="L167" s="200"/>
    </row>
    <row r="168" spans="1:13" ht="18" hidden="1" customHeight="1" x14ac:dyDescent="0.2">
      <c r="A168" s="1366"/>
      <c r="B168" s="1313"/>
      <c r="C168" s="1313"/>
      <c r="D168" s="38"/>
      <c r="E168" s="38"/>
      <c r="F168" s="1314"/>
      <c r="G168" s="1314"/>
      <c r="H168" s="170">
        <f t="shared" si="13"/>
        <v>0</v>
      </c>
      <c r="I168" s="349"/>
      <c r="J168" s="349"/>
      <c r="K168" s="199"/>
      <c r="L168" s="200"/>
    </row>
    <row r="169" spans="1:13" ht="18" hidden="1" customHeight="1" x14ac:dyDescent="0.2">
      <c r="A169" s="1366"/>
      <c r="B169" s="1313"/>
      <c r="C169" s="1313"/>
      <c r="D169" s="38"/>
      <c r="E169" s="38"/>
      <c r="F169" s="1314"/>
      <c r="G169" s="1314"/>
      <c r="H169" s="170">
        <f t="shared" si="13"/>
        <v>0</v>
      </c>
      <c r="I169" s="349"/>
      <c r="J169" s="349"/>
      <c r="K169" s="199"/>
      <c r="L169" s="200"/>
    </row>
    <row r="170" spans="1:13" ht="18" hidden="1" customHeight="1" x14ac:dyDescent="0.2">
      <c r="A170" s="1366"/>
      <c r="B170" s="1313"/>
      <c r="C170" s="1313"/>
      <c r="D170" s="38"/>
      <c r="E170" s="38"/>
      <c r="F170" s="1314"/>
      <c r="G170" s="1314"/>
      <c r="H170" s="170">
        <f t="shared" si="13"/>
        <v>0</v>
      </c>
      <c r="I170" s="349"/>
      <c r="J170" s="349"/>
      <c r="K170" s="199"/>
      <c r="L170" s="200"/>
    </row>
    <row r="171" spans="1:13" ht="18" customHeight="1" x14ac:dyDescent="0.2">
      <c r="A171" s="1374" t="s">
        <v>611</v>
      </c>
      <c r="B171" s="1315"/>
      <c r="C171" s="1315"/>
      <c r="D171" s="1315"/>
      <c r="E171" s="1315"/>
      <c r="F171" s="1315"/>
      <c r="G171" s="1315"/>
      <c r="H171" s="172">
        <f>SUM(H157:H170)</f>
        <v>0</v>
      </c>
      <c r="I171" s="172">
        <f>SUM(I157:I170)</f>
        <v>0</v>
      </c>
      <c r="J171" s="172">
        <f>SUM(J157:J170)</f>
        <v>0</v>
      </c>
      <c r="K171" s="172">
        <f>SUM(K157:K170)</f>
        <v>0</v>
      </c>
      <c r="L171" s="197">
        <f>SUM(L157:L170)</f>
        <v>0</v>
      </c>
    </row>
    <row r="172" spans="1:13" ht="18" customHeight="1" thickBot="1" x14ac:dyDescent="0.25">
      <c r="A172" s="1360" t="s">
        <v>619</v>
      </c>
      <c r="B172" s="1361"/>
      <c r="C172" s="1361"/>
      <c r="D172" s="1361"/>
      <c r="E172" s="1361"/>
      <c r="F172" s="1361"/>
      <c r="G172" s="1361"/>
      <c r="H172" s="201">
        <f>H154+H171</f>
        <v>0</v>
      </c>
      <c r="I172" s="201">
        <f>I154+I171</f>
        <v>0</v>
      </c>
      <c r="J172" s="201">
        <f t="shared" ref="J172:L172" si="14">J154+J171</f>
        <v>0</v>
      </c>
      <c r="K172" s="201">
        <f t="shared" si="14"/>
        <v>0</v>
      </c>
      <c r="L172" s="202">
        <f t="shared" si="14"/>
        <v>0</v>
      </c>
    </row>
    <row r="173" spans="1:13" ht="18" customHeight="1" thickBot="1" x14ac:dyDescent="0.25">
      <c r="A173" s="1362" t="s">
        <v>612</v>
      </c>
      <c r="B173" s="1363"/>
      <c r="C173" s="1363"/>
      <c r="D173" s="1363"/>
      <c r="E173" s="1363"/>
      <c r="F173" s="1363"/>
      <c r="G173" s="1363"/>
      <c r="H173" s="431" t="s">
        <v>620</v>
      </c>
      <c r="I173" s="1364"/>
      <c r="J173" s="1364"/>
      <c r="K173" s="1364"/>
      <c r="L173" s="1365"/>
    </row>
    <row r="174" spans="1:13" ht="18" customHeight="1" x14ac:dyDescent="0.2">
      <c r="A174" s="1333" t="str">
        <f>IF(H173="Si","Administración","Gastos de administración")</f>
        <v>Administración</v>
      </c>
      <c r="B174" s="1334"/>
      <c r="C174" s="1334"/>
      <c r="D174" s="1334"/>
      <c r="E174" s="1334"/>
      <c r="F174" s="1335"/>
      <c r="G174" s="379"/>
      <c r="H174" s="380">
        <v>0</v>
      </c>
      <c r="I174" s="170">
        <f>H174</f>
        <v>0</v>
      </c>
      <c r="J174" s="170"/>
      <c r="K174" s="170"/>
      <c r="L174" s="195"/>
      <c r="M174" s="432" t="s">
        <v>391</v>
      </c>
    </row>
    <row r="175" spans="1:13" ht="18" customHeight="1" x14ac:dyDescent="0.2">
      <c r="A175" s="1333" t="str">
        <f>IF(H173="Si","Utilidad","")</f>
        <v>Utilidad</v>
      </c>
      <c r="B175" s="1334"/>
      <c r="C175" s="1334"/>
      <c r="D175" s="1334"/>
      <c r="E175" s="1334"/>
      <c r="F175" s="1335"/>
      <c r="G175" s="379"/>
      <c r="H175" s="380">
        <v>0</v>
      </c>
      <c r="I175" s="170"/>
      <c r="J175" s="170"/>
      <c r="K175" s="170"/>
      <c r="L175" s="195"/>
    </row>
    <row r="176" spans="1:13" ht="18" customHeight="1" x14ac:dyDescent="0.2">
      <c r="A176" s="1333" t="str">
        <f>IF(H173="Si","IVA","")</f>
        <v>IVA</v>
      </c>
      <c r="B176" s="1334"/>
      <c r="C176" s="1334"/>
      <c r="D176" s="1334"/>
      <c r="E176" s="1334"/>
      <c r="F176" s="1335"/>
      <c r="G176" s="379"/>
      <c r="H176" s="380">
        <v>0</v>
      </c>
      <c r="I176" s="170"/>
      <c r="J176" s="170"/>
      <c r="K176" s="170"/>
      <c r="L176" s="195"/>
      <c r="M176" s="378" t="s">
        <v>393</v>
      </c>
    </row>
    <row r="177" spans="1:12" ht="18" customHeight="1" thickBot="1" x14ac:dyDescent="0.25">
      <c r="A177" s="1367" t="str">
        <f>IF(H173="Si","TOTAL (después de AU e IVA)", "TOTAL (después de administración)")</f>
        <v>TOTAL (después de AU e IVA)</v>
      </c>
      <c r="B177" s="1368"/>
      <c r="C177" s="1368"/>
      <c r="D177" s="1368"/>
      <c r="E177" s="1368"/>
      <c r="F177" s="1368"/>
      <c r="G177" s="1368"/>
      <c r="H177" s="381">
        <f>SUM(H174:H176)+H172</f>
        <v>0</v>
      </c>
      <c r="I177" s="362">
        <f t="shared" ref="I177:L177" si="15">SUM(I174:I176)+I172</f>
        <v>0</v>
      </c>
      <c r="J177" s="362">
        <f t="shared" si="15"/>
        <v>0</v>
      </c>
      <c r="K177" s="362">
        <f t="shared" si="15"/>
        <v>0</v>
      </c>
      <c r="L177" s="363">
        <f t="shared" si="15"/>
        <v>0</v>
      </c>
    </row>
    <row r="178" spans="1:12" ht="40.5" customHeight="1" thickBot="1" x14ac:dyDescent="0.25">
      <c r="A178" s="360" t="s">
        <v>614</v>
      </c>
      <c r="B178" s="657"/>
      <c r="C178" s="361" t="s">
        <v>119</v>
      </c>
      <c r="D178" s="657"/>
      <c r="E178" s="361" t="s">
        <v>621</v>
      </c>
      <c r="F178" s="1369">
        <f>IFERROR(H172/B178,0)</f>
        <v>0</v>
      </c>
      <c r="G178" s="1370"/>
      <c r="H178" s="1371" t="s">
        <v>622</v>
      </c>
      <c r="I178" s="1372"/>
      <c r="J178" s="1372"/>
      <c r="K178" s="1372"/>
      <c r="L178" s="1373"/>
    </row>
    <row r="179" spans="1:12" ht="18" customHeight="1" thickBot="1" x14ac:dyDescent="0.25">
      <c r="A179" s="1353"/>
      <c r="B179" s="1354"/>
      <c r="C179" s="1354"/>
      <c r="D179" s="1354"/>
      <c r="E179" s="1354"/>
      <c r="F179" s="1354"/>
      <c r="G179" s="1354"/>
      <c r="H179" s="1354"/>
      <c r="I179" s="1354"/>
      <c r="J179" s="1354"/>
      <c r="K179" s="1354"/>
      <c r="L179" s="1355"/>
    </row>
    <row r="180" spans="1:12" ht="55.5" customHeight="1" thickBot="1" x14ac:dyDescent="0.25">
      <c r="A180" s="360" t="s">
        <v>614</v>
      </c>
      <c r="B180" s="657"/>
      <c r="C180" s="361" t="s">
        <v>119</v>
      </c>
      <c r="D180" s="657"/>
      <c r="E180" s="361" t="s">
        <v>623</v>
      </c>
      <c r="F180" s="1369">
        <f>IFERROR((H172-H154)/B180,0)</f>
        <v>0</v>
      </c>
      <c r="G180" s="1370"/>
      <c r="H180" s="1371" t="s">
        <v>622</v>
      </c>
      <c r="I180" s="1372"/>
      <c r="J180" s="1372"/>
      <c r="K180" s="1372"/>
      <c r="L180" s="1373"/>
    </row>
    <row r="181" spans="1:12" ht="18" customHeight="1" thickBot="1" x14ac:dyDescent="0.25">
      <c r="A181" s="661"/>
      <c r="B181" s="562"/>
      <c r="C181" s="661"/>
      <c r="D181" s="562"/>
      <c r="E181" s="661"/>
      <c r="F181" s="658"/>
      <c r="G181" s="659"/>
      <c r="H181" s="660"/>
      <c r="I181" s="660"/>
      <c r="J181" s="660"/>
      <c r="K181" s="660"/>
      <c r="L181" s="660"/>
    </row>
    <row r="182" spans="1:12" ht="18" customHeight="1" x14ac:dyDescent="0.2">
      <c r="A182" s="1375" t="s">
        <v>628</v>
      </c>
      <c r="B182" s="1376"/>
      <c r="C182" s="1376"/>
      <c r="D182" s="1376"/>
      <c r="E182" s="1376"/>
      <c r="F182" s="1376"/>
      <c r="G182" s="1376"/>
      <c r="H182" s="1376"/>
      <c r="I182" s="1376"/>
      <c r="J182" s="1376"/>
      <c r="K182" s="1376"/>
      <c r="L182" s="1377"/>
    </row>
    <row r="183" spans="1:12" ht="31.5" customHeight="1" x14ac:dyDescent="0.2">
      <c r="A183" s="348" t="s">
        <v>370</v>
      </c>
      <c r="B183" s="100" t="s">
        <v>371</v>
      </c>
      <c r="C183" s="100" t="s">
        <v>372</v>
      </c>
      <c r="D183" s="100" t="s">
        <v>119</v>
      </c>
      <c r="E183" s="100" t="s">
        <v>373</v>
      </c>
      <c r="F183" s="164" t="s">
        <v>374</v>
      </c>
      <c r="G183" s="100" t="s">
        <v>375</v>
      </c>
      <c r="H183" s="164" t="s">
        <v>376</v>
      </c>
      <c r="I183" s="166" t="s">
        <v>407</v>
      </c>
      <c r="J183" s="166" t="s">
        <v>408</v>
      </c>
      <c r="K183" s="166" t="s">
        <v>407</v>
      </c>
      <c r="L183" s="192" t="s">
        <v>408</v>
      </c>
    </row>
    <row r="184" spans="1:12" ht="18" customHeight="1" x14ac:dyDescent="0.2">
      <c r="A184" s="1378" t="s">
        <v>368</v>
      </c>
      <c r="B184" s="1379"/>
      <c r="C184" s="1379"/>
      <c r="D184" s="1379"/>
      <c r="E184" s="1379"/>
      <c r="F184" s="1379"/>
      <c r="G184" s="1379"/>
      <c r="H184" s="1379"/>
      <c r="I184" s="1379"/>
      <c r="J184" s="1379"/>
      <c r="K184" s="1379"/>
      <c r="L184" s="1380"/>
    </row>
    <row r="185" spans="1:12" ht="18" customHeight="1" x14ac:dyDescent="0.2">
      <c r="A185" s="350"/>
      <c r="B185" s="173"/>
      <c r="C185" s="169"/>
      <c r="D185" s="173"/>
      <c r="E185" s="173"/>
      <c r="F185" s="170"/>
      <c r="G185" s="194"/>
      <c r="H185" s="170">
        <f>B185*C185*E185*F185*G185</f>
        <v>0</v>
      </c>
      <c r="I185" s="170"/>
      <c r="J185" s="170"/>
      <c r="K185" s="170"/>
      <c r="L185" s="195"/>
    </row>
    <row r="186" spans="1:12" ht="18" customHeight="1" x14ac:dyDescent="0.2">
      <c r="A186" s="350"/>
      <c r="B186" s="173"/>
      <c r="C186" s="169"/>
      <c r="D186" s="173"/>
      <c r="E186" s="173"/>
      <c r="F186" s="170"/>
      <c r="G186" s="194"/>
      <c r="H186" s="170">
        <f>B186*C186*E186*F186*G186</f>
        <v>0</v>
      </c>
      <c r="I186" s="170"/>
      <c r="J186" s="170"/>
      <c r="K186" s="170"/>
      <c r="L186" s="195"/>
    </row>
    <row r="187" spans="1:12" ht="18" hidden="1" customHeight="1" x14ac:dyDescent="0.2">
      <c r="A187" s="350"/>
      <c r="B187" s="173"/>
      <c r="C187" s="169"/>
      <c r="D187" s="173"/>
      <c r="E187" s="173"/>
      <c r="F187" s="170"/>
      <c r="G187" s="194"/>
      <c r="H187" s="170">
        <f t="shared" ref="H187:H195" si="16">B187*C187*E187*F187*G187</f>
        <v>0</v>
      </c>
      <c r="I187" s="170"/>
      <c r="J187" s="170"/>
      <c r="K187" s="170"/>
      <c r="L187" s="195"/>
    </row>
    <row r="188" spans="1:12" ht="18" hidden="1" customHeight="1" x14ac:dyDescent="0.2">
      <c r="A188" s="350"/>
      <c r="B188" s="173"/>
      <c r="C188" s="169"/>
      <c r="D188" s="173"/>
      <c r="E188" s="173"/>
      <c r="F188" s="170"/>
      <c r="G188" s="194"/>
      <c r="H188" s="170">
        <f t="shared" si="16"/>
        <v>0</v>
      </c>
      <c r="I188" s="170"/>
      <c r="J188" s="170"/>
      <c r="K188" s="170"/>
      <c r="L188" s="195"/>
    </row>
    <row r="189" spans="1:12" ht="18" hidden="1" customHeight="1" x14ac:dyDescent="0.2">
      <c r="A189" s="350"/>
      <c r="B189" s="173"/>
      <c r="C189" s="169"/>
      <c r="D189" s="173"/>
      <c r="E189" s="173"/>
      <c r="F189" s="170"/>
      <c r="G189" s="194"/>
      <c r="H189" s="170">
        <f t="shared" si="16"/>
        <v>0</v>
      </c>
      <c r="I189" s="170"/>
      <c r="J189" s="170"/>
      <c r="K189" s="170"/>
      <c r="L189" s="195"/>
    </row>
    <row r="190" spans="1:12" ht="18" hidden="1" customHeight="1" x14ac:dyDescent="0.2">
      <c r="A190" s="350"/>
      <c r="B190" s="173"/>
      <c r="C190" s="169"/>
      <c r="D190" s="173"/>
      <c r="E190" s="173"/>
      <c r="F190" s="170"/>
      <c r="G190" s="194"/>
      <c r="H190" s="170">
        <f t="shared" si="16"/>
        <v>0</v>
      </c>
      <c r="I190" s="170"/>
      <c r="J190" s="170"/>
      <c r="K190" s="170"/>
      <c r="L190" s="195"/>
    </row>
    <row r="191" spans="1:12" ht="18" hidden="1" customHeight="1" x14ac:dyDescent="0.2">
      <c r="A191" s="350"/>
      <c r="B191" s="173"/>
      <c r="C191" s="169"/>
      <c r="D191" s="173"/>
      <c r="E191" s="173"/>
      <c r="F191" s="170"/>
      <c r="G191" s="194"/>
      <c r="H191" s="170">
        <f t="shared" si="16"/>
        <v>0</v>
      </c>
      <c r="I191" s="170"/>
      <c r="J191" s="170"/>
      <c r="K191" s="170"/>
      <c r="L191" s="195"/>
    </row>
    <row r="192" spans="1:12" ht="18" hidden="1" customHeight="1" x14ac:dyDescent="0.2">
      <c r="A192" s="350"/>
      <c r="B192" s="173"/>
      <c r="C192" s="169"/>
      <c r="D192" s="173"/>
      <c r="E192" s="173"/>
      <c r="F192" s="170"/>
      <c r="G192" s="194"/>
      <c r="H192" s="170">
        <f t="shared" si="16"/>
        <v>0</v>
      </c>
      <c r="I192" s="170"/>
      <c r="J192" s="170"/>
      <c r="K192" s="170"/>
      <c r="L192" s="195"/>
    </row>
    <row r="193" spans="1:12" ht="18" hidden="1" customHeight="1" x14ac:dyDescent="0.2">
      <c r="A193" s="196"/>
      <c r="B193" s="168"/>
      <c r="C193" s="169"/>
      <c r="D193" s="168"/>
      <c r="E193" s="168"/>
      <c r="F193" s="170"/>
      <c r="G193" s="171"/>
      <c r="H193" s="170">
        <f t="shared" si="16"/>
        <v>0</v>
      </c>
      <c r="I193" s="170"/>
      <c r="J193" s="170"/>
      <c r="K193" s="170"/>
      <c r="L193" s="195"/>
    </row>
    <row r="194" spans="1:12" ht="18" hidden="1" customHeight="1" x14ac:dyDescent="0.2">
      <c r="A194" s="196"/>
      <c r="B194" s="168"/>
      <c r="C194" s="169"/>
      <c r="D194" s="168"/>
      <c r="E194" s="168"/>
      <c r="F194" s="170"/>
      <c r="G194" s="171"/>
      <c r="H194" s="170">
        <f t="shared" si="16"/>
        <v>0</v>
      </c>
      <c r="I194" s="170"/>
      <c r="J194" s="170"/>
      <c r="K194" s="170"/>
      <c r="L194" s="195"/>
    </row>
    <row r="195" spans="1:12" ht="18" hidden="1" customHeight="1" x14ac:dyDescent="0.2">
      <c r="A195" s="196"/>
      <c r="B195" s="168"/>
      <c r="C195" s="169"/>
      <c r="D195" s="168"/>
      <c r="E195" s="168"/>
      <c r="F195" s="170"/>
      <c r="G195" s="168"/>
      <c r="H195" s="170">
        <f t="shared" si="16"/>
        <v>0</v>
      </c>
      <c r="I195" s="170"/>
      <c r="J195" s="170"/>
      <c r="K195" s="170"/>
      <c r="L195" s="195"/>
    </row>
    <row r="196" spans="1:12" ht="18" customHeight="1" x14ac:dyDescent="0.2">
      <c r="A196" s="1374" t="s">
        <v>604</v>
      </c>
      <c r="B196" s="1315"/>
      <c r="C196" s="1315"/>
      <c r="D196" s="1315"/>
      <c r="E196" s="1315"/>
      <c r="F196" s="1315"/>
      <c r="G196" s="1315"/>
      <c r="H196" s="172">
        <f>SUM(H185:H195)</f>
        <v>0</v>
      </c>
      <c r="I196" s="172">
        <f>SUM(I185:I195)</f>
        <v>0</v>
      </c>
      <c r="J196" s="172">
        <f>SUM(J185:J195)</f>
        <v>0</v>
      </c>
      <c r="K196" s="172">
        <f>SUM(K185:K195)</f>
        <v>0</v>
      </c>
      <c r="L196" s="197">
        <f>SUM(L185:L195)</f>
        <v>0</v>
      </c>
    </row>
    <row r="197" spans="1:12" ht="24.75" customHeight="1" x14ac:dyDescent="0.2">
      <c r="A197" s="1146" t="s">
        <v>370</v>
      </c>
      <c r="B197" s="1147"/>
      <c r="C197" s="1147"/>
      <c r="D197" s="108" t="s">
        <v>119</v>
      </c>
      <c r="E197" s="108" t="s">
        <v>373</v>
      </c>
      <c r="F197" s="1147" t="s">
        <v>431</v>
      </c>
      <c r="G197" s="1147"/>
      <c r="H197" s="198" t="s">
        <v>432</v>
      </c>
      <c r="I197" s="166" t="s">
        <v>407</v>
      </c>
      <c r="J197" s="166" t="s">
        <v>408</v>
      </c>
      <c r="K197" s="166" t="s">
        <v>407</v>
      </c>
      <c r="L197" s="192" t="s">
        <v>408</v>
      </c>
    </row>
    <row r="198" spans="1:12" ht="18" customHeight="1" x14ac:dyDescent="0.2">
      <c r="A198" s="1378" t="s">
        <v>618</v>
      </c>
      <c r="B198" s="1379"/>
      <c r="C198" s="1379"/>
      <c r="D198" s="1379"/>
      <c r="E198" s="1379"/>
      <c r="F198" s="1379"/>
      <c r="G198" s="1379"/>
      <c r="H198" s="1379"/>
      <c r="I198" s="1379"/>
      <c r="J198" s="1379"/>
      <c r="K198" s="1379"/>
      <c r="L198" s="1380"/>
    </row>
    <row r="199" spans="1:12" ht="18" customHeight="1" x14ac:dyDescent="0.2">
      <c r="A199" s="1366"/>
      <c r="B199" s="1313"/>
      <c r="C199" s="1313"/>
      <c r="D199" s="38"/>
      <c r="E199" s="38"/>
      <c r="F199" s="1314"/>
      <c r="G199" s="1314"/>
      <c r="H199" s="170">
        <f>E199*F199</f>
        <v>0</v>
      </c>
      <c r="I199" s="349"/>
      <c r="J199" s="349"/>
      <c r="K199" s="199"/>
      <c r="L199" s="200"/>
    </row>
    <row r="200" spans="1:12" ht="18" customHeight="1" x14ac:dyDescent="0.2">
      <c r="A200" s="1366"/>
      <c r="B200" s="1313"/>
      <c r="C200" s="1313"/>
      <c r="D200" s="38"/>
      <c r="E200" s="38"/>
      <c r="F200" s="1314"/>
      <c r="G200" s="1314"/>
      <c r="H200" s="170">
        <f>E200*F200</f>
        <v>0</v>
      </c>
      <c r="I200" s="349"/>
      <c r="J200" s="349"/>
      <c r="K200" s="199"/>
      <c r="L200" s="200"/>
    </row>
    <row r="201" spans="1:12" ht="18" customHeight="1" x14ac:dyDescent="0.2">
      <c r="A201" s="1366"/>
      <c r="B201" s="1313"/>
      <c r="C201" s="1313"/>
      <c r="D201" s="38"/>
      <c r="E201" s="38"/>
      <c r="F201" s="1314"/>
      <c r="G201" s="1314"/>
      <c r="H201" s="170">
        <f t="shared" ref="H201:H212" si="17">E201*F201</f>
        <v>0</v>
      </c>
      <c r="I201" s="349"/>
      <c r="J201" s="349"/>
      <c r="K201" s="199"/>
      <c r="L201" s="200"/>
    </row>
    <row r="202" spans="1:12" ht="18" hidden="1" customHeight="1" x14ac:dyDescent="0.2">
      <c r="A202" s="1366"/>
      <c r="B202" s="1313"/>
      <c r="C202" s="1313"/>
      <c r="D202" s="38"/>
      <c r="E202" s="38"/>
      <c r="F202" s="1314"/>
      <c r="G202" s="1314"/>
      <c r="H202" s="170">
        <f t="shared" si="17"/>
        <v>0</v>
      </c>
      <c r="I202" s="349"/>
      <c r="J202" s="349"/>
      <c r="K202" s="199"/>
      <c r="L202" s="200"/>
    </row>
    <row r="203" spans="1:12" ht="18" hidden="1" customHeight="1" x14ac:dyDescent="0.2">
      <c r="A203" s="1366"/>
      <c r="B203" s="1313"/>
      <c r="C203" s="1313"/>
      <c r="D203" s="38"/>
      <c r="E203" s="38"/>
      <c r="F203" s="1314"/>
      <c r="G203" s="1314"/>
      <c r="H203" s="170">
        <f t="shared" si="17"/>
        <v>0</v>
      </c>
      <c r="I203" s="349"/>
      <c r="J203" s="349"/>
      <c r="K203" s="199"/>
      <c r="L203" s="200"/>
    </row>
    <row r="204" spans="1:12" ht="18" hidden="1" customHeight="1" x14ac:dyDescent="0.2">
      <c r="A204" s="1366"/>
      <c r="B204" s="1313"/>
      <c r="C204" s="1313"/>
      <c r="D204" s="38"/>
      <c r="E204" s="38"/>
      <c r="F204" s="1314"/>
      <c r="G204" s="1314"/>
      <c r="H204" s="170">
        <f t="shared" si="17"/>
        <v>0</v>
      </c>
      <c r="I204" s="349"/>
      <c r="J204" s="349"/>
      <c r="K204" s="199"/>
      <c r="L204" s="200"/>
    </row>
    <row r="205" spans="1:12" ht="18" hidden="1" customHeight="1" x14ac:dyDescent="0.2">
      <c r="A205" s="1366"/>
      <c r="B205" s="1313"/>
      <c r="C205" s="1313"/>
      <c r="D205" s="38"/>
      <c r="E205" s="38"/>
      <c r="F205" s="1314"/>
      <c r="G205" s="1314"/>
      <c r="H205" s="170">
        <f t="shared" si="17"/>
        <v>0</v>
      </c>
      <c r="I205" s="349"/>
      <c r="J205" s="349"/>
      <c r="K205" s="199"/>
      <c r="L205" s="200"/>
    </row>
    <row r="206" spans="1:12" ht="18" hidden="1" customHeight="1" x14ac:dyDescent="0.2">
      <c r="A206" s="1366"/>
      <c r="B206" s="1313"/>
      <c r="C206" s="1313"/>
      <c r="D206" s="38"/>
      <c r="E206" s="38"/>
      <c r="F206" s="1314"/>
      <c r="G206" s="1314"/>
      <c r="H206" s="170">
        <f t="shared" si="17"/>
        <v>0</v>
      </c>
      <c r="I206" s="349"/>
      <c r="J206" s="349"/>
      <c r="K206" s="199"/>
      <c r="L206" s="200"/>
    </row>
    <row r="207" spans="1:12" ht="18" hidden="1" customHeight="1" x14ac:dyDescent="0.2">
      <c r="A207" s="1366"/>
      <c r="B207" s="1313"/>
      <c r="C207" s="1313"/>
      <c r="D207" s="38"/>
      <c r="E207" s="38"/>
      <c r="F207" s="1314"/>
      <c r="G207" s="1314"/>
      <c r="H207" s="170">
        <f t="shared" si="17"/>
        <v>0</v>
      </c>
      <c r="I207" s="349"/>
      <c r="J207" s="349"/>
      <c r="K207" s="199"/>
      <c r="L207" s="200"/>
    </row>
    <row r="208" spans="1:12" ht="18" hidden="1" customHeight="1" x14ac:dyDescent="0.2">
      <c r="A208" s="1366"/>
      <c r="B208" s="1313"/>
      <c r="C208" s="1313"/>
      <c r="D208" s="38"/>
      <c r="E208" s="38"/>
      <c r="F208" s="1314"/>
      <c r="G208" s="1314"/>
      <c r="H208" s="170">
        <f t="shared" si="17"/>
        <v>0</v>
      </c>
      <c r="I208" s="349"/>
      <c r="J208" s="349"/>
      <c r="K208" s="199"/>
      <c r="L208" s="200"/>
    </row>
    <row r="209" spans="1:13" ht="18" hidden="1" customHeight="1" x14ac:dyDescent="0.2">
      <c r="A209" s="1366"/>
      <c r="B209" s="1313"/>
      <c r="C209" s="1313"/>
      <c r="D209" s="38"/>
      <c r="E209" s="38"/>
      <c r="F209" s="1314"/>
      <c r="G209" s="1314"/>
      <c r="H209" s="170">
        <f t="shared" si="17"/>
        <v>0</v>
      </c>
      <c r="I209" s="349"/>
      <c r="J209" s="349"/>
      <c r="K209" s="199"/>
      <c r="L209" s="200"/>
    </row>
    <row r="210" spans="1:13" ht="18" hidden="1" customHeight="1" x14ac:dyDescent="0.2">
      <c r="A210" s="1366"/>
      <c r="B210" s="1313"/>
      <c r="C210" s="1313"/>
      <c r="D210" s="38"/>
      <c r="E210" s="38"/>
      <c r="F210" s="1314"/>
      <c r="G210" s="1314"/>
      <c r="H210" s="170">
        <f t="shared" si="17"/>
        <v>0</v>
      </c>
      <c r="I210" s="349"/>
      <c r="J210" s="349"/>
      <c r="K210" s="199"/>
      <c r="L210" s="200"/>
    </row>
    <row r="211" spans="1:13" ht="18" hidden="1" customHeight="1" x14ac:dyDescent="0.2">
      <c r="A211" s="1366"/>
      <c r="B211" s="1313"/>
      <c r="C211" s="1313"/>
      <c r="D211" s="38"/>
      <c r="E211" s="38"/>
      <c r="F211" s="1314"/>
      <c r="G211" s="1314"/>
      <c r="H211" s="170">
        <f t="shared" si="17"/>
        <v>0</v>
      </c>
      <c r="I211" s="349"/>
      <c r="J211" s="349"/>
      <c r="K211" s="199"/>
      <c r="L211" s="200"/>
    </row>
    <row r="212" spans="1:13" ht="18" hidden="1" customHeight="1" x14ac:dyDescent="0.2">
      <c r="A212" s="1366"/>
      <c r="B212" s="1313"/>
      <c r="C212" s="1313"/>
      <c r="D212" s="38"/>
      <c r="E212" s="38"/>
      <c r="F212" s="1314"/>
      <c r="G212" s="1314"/>
      <c r="H212" s="170">
        <f t="shared" si="17"/>
        <v>0</v>
      </c>
      <c r="I212" s="349"/>
      <c r="J212" s="349"/>
      <c r="K212" s="199"/>
      <c r="L212" s="200"/>
    </row>
    <row r="213" spans="1:13" ht="18" customHeight="1" x14ac:dyDescent="0.2">
      <c r="A213" s="1374" t="s">
        <v>611</v>
      </c>
      <c r="B213" s="1315"/>
      <c r="C213" s="1315"/>
      <c r="D213" s="1315"/>
      <c r="E213" s="1315"/>
      <c r="F213" s="1315"/>
      <c r="G213" s="1315"/>
      <c r="H213" s="172">
        <f>SUM(H199:H212)</f>
        <v>0</v>
      </c>
      <c r="I213" s="172">
        <f>SUM(I199:I212)</f>
        <v>0</v>
      </c>
      <c r="J213" s="172">
        <f>SUM(J199:J212)</f>
        <v>0</v>
      </c>
      <c r="K213" s="172">
        <f>SUM(K199:K212)</f>
        <v>0</v>
      </c>
      <c r="L213" s="197">
        <f>SUM(L199:L212)</f>
        <v>0</v>
      </c>
    </row>
    <row r="214" spans="1:13" ht="18" customHeight="1" thickBot="1" x14ac:dyDescent="0.25">
      <c r="A214" s="1360" t="s">
        <v>619</v>
      </c>
      <c r="B214" s="1361"/>
      <c r="C214" s="1361"/>
      <c r="D214" s="1361"/>
      <c r="E214" s="1361"/>
      <c r="F214" s="1361"/>
      <c r="G214" s="1361"/>
      <c r="H214" s="201">
        <f>H196+H213</f>
        <v>0</v>
      </c>
      <c r="I214" s="201">
        <f>I196+I213</f>
        <v>0</v>
      </c>
      <c r="J214" s="201">
        <f t="shared" ref="J214:L214" si="18">J196+J213</f>
        <v>0</v>
      </c>
      <c r="K214" s="201">
        <f t="shared" si="18"/>
        <v>0</v>
      </c>
      <c r="L214" s="202">
        <f t="shared" si="18"/>
        <v>0</v>
      </c>
    </row>
    <row r="215" spans="1:13" ht="18" customHeight="1" thickBot="1" x14ac:dyDescent="0.25">
      <c r="A215" s="1362" t="s">
        <v>612</v>
      </c>
      <c r="B215" s="1363"/>
      <c r="C215" s="1363"/>
      <c r="D215" s="1363"/>
      <c r="E215" s="1363"/>
      <c r="F215" s="1363"/>
      <c r="G215" s="1363"/>
      <c r="H215" s="431" t="s">
        <v>613</v>
      </c>
      <c r="I215" s="1364"/>
      <c r="J215" s="1364"/>
      <c r="K215" s="1364"/>
      <c r="L215" s="1365"/>
    </row>
    <row r="216" spans="1:13" ht="18" customHeight="1" x14ac:dyDescent="0.2">
      <c r="A216" s="1333" t="str">
        <f>IF(H215="Si","Administración","Gastos de administración")</f>
        <v>Gastos de administración</v>
      </c>
      <c r="B216" s="1334"/>
      <c r="C216" s="1334"/>
      <c r="D216" s="1334"/>
      <c r="E216" s="1334"/>
      <c r="F216" s="1335"/>
      <c r="G216" s="379"/>
      <c r="H216" s="380">
        <v>0</v>
      </c>
      <c r="I216" s="170">
        <f>H216</f>
        <v>0</v>
      </c>
      <c r="J216" s="170"/>
      <c r="K216" s="170"/>
      <c r="L216" s="195"/>
      <c r="M216" s="432" t="s">
        <v>391</v>
      </c>
    </row>
    <row r="217" spans="1:13" ht="18" customHeight="1" x14ac:dyDescent="0.2">
      <c r="A217" s="1333" t="str">
        <f>IF(H215="Si","Utilidad","")</f>
        <v/>
      </c>
      <c r="B217" s="1334"/>
      <c r="C217" s="1334"/>
      <c r="D217" s="1334"/>
      <c r="E217" s="1334"/>
      <c r="F217" s="1335"/>
      <c r="G217" s="379"/>
      <c r="H217" s="380">
        <v>0</v>
      </c>
      <c r="I217" s="170"/>
      <c r="J217" s="170"/>
      <c r="K217" s="170"/>
      <c r="L217" s="195"/>
    </row>
    <row r="218" spans="1:13" ht="18" customHeight="1" x14ac:dyDescent="0.2">
      <c r="A218" s="1333" t="str">
        <f>IF(H215="Si","IVA","")</f>
        <v/>
      </c>
      <c r="B218" s="1334"/>
      <c r="C218" s="1334"/>
      <c r="D218" s="1334"/>
      <c r="E218" s="1334"/>
      <c r="F218" s="1335"/>
      <c r="G218" s="379"/>
      <c r="H218" s="380">
        <v>0</v>
      </c>
      <c r="I218" s="170"/>
      <c r="J218" s="170"/>
      <c r="K218" s="170"/>
      <c r="L218" s="195"/>
      <c r="M218" s="378" t="s">
        <v>393</v>
      </c>
    </row>
    <row r="219" spans="1:13" ht="18" customHeight="1" thickBot="1" x14ac:dyDescent="0.25">
      <c r="A219" s="1367" t="str">
        <f>IF(H215="Si","TOTAL (después de AU e IVA)", "TOTAL (después de administración)")</f>
        <v>TOTAL (después de administración)</v>
      </c>
      <c r="B219" s="1368"/>
      <c r="C219" s="1368"/>
      <c r="D219" s="1368"/>
      <c r="E219" s="1368"/>
      <c r="F219" s="1368"/>
      <c r="G219" s="1368"/>
      <c r="H219" s="381">
        <f>SUM(H216:H218)+H214</f>
        <v>0</v>
      </c>
      <c r="I219" s="362">
        <f t="shared" ref="I219:L219" si="19">SUM(I216:I218)+I214</f>
        <v>0</v>
      </c>
      <c r="J219" s="362">
        <f t="shared" si="19"/>
        <v>0</v>
      </c>
      <c r="K219" s="362">
        <f t="shared" si="19"/>
        <v>0</v>
      </c>
      <c r="L219" s="363">
        <f t="shared" si="19"/>
        <v>0</v>
      </c>
    </row>
    <row r="220" spans="1:13" ht="39.75" customHeight="1" thickBot="1" x14ac:dyDescent="0.25">
      <c r="A220" s="360" t="s">
        <v>614</v>
      </c>
      <c r="B220" s="657"/>
      <c r="C220" s="361" t="s">
        <v>119</v>
      </c>
      <c r="D220" s="657"/>
      <c r="E220" s="361" t="s">
        <v>621</v>
      </c>
      <c r="F220" s="1369">
        <f>IFERROR(H214/B220,0)</f>
        <v>0</v>
      </c>
      <c r="G220" s="1370"/>
      <c r="H220" s="1371" t="s">
        <v>622</v>
      </c>
      <c r="I220" s="1372"/>
      <c r="J220" s="1372"/>
      <c r="K220" s="1372"/>
      <c r="L220" s="1373"/>
    </row>
    <row r="221" spans="1:13" ht="39.75" customHeight="1" thickBot="1" x14ac:dyDescent="0.25">
      <c r="A221" s="1353"/>
      <c r="B221" s="1354"/>
      <c r="C221" s="1354"/>
      <c r="D221" s="1354"/>
      <c r="E221" s="1354"/>
      <c r="F221" s="1354"/>
      <c r="G221" s="1354"/>
      <c r="H221" s="1354"/>
      <c r="I221" s="1354"/>
      <c r="J221" s="1354"/>
      <c r="K221" s="1354"/>
      <c r="L221" s="1355"/>
    </row>
    <row r="222" spans="1:13" ht="56.25" customHeight="1" thickBot="1" x14ac:dyDescent="0.25">
      <c r="A222" s="360" t="s">
        <v>614</v>
      </c>
      <c r="B222" s="657"/>
      <c r="C222" s="361" t="s">
        <v>119</v>
      </c>
      <c r="D222" s="657"/>
      <c r="E222" s="361" t="s">
        <v>623</v>
      </c>
      <c r="F222" s="1369">
        <f>IFERROR((H214-H196)/B222,0)</f>
        <v>0</v>
      </c>
      <c r="G222" s="1370"/>
      <c r="H222" s="1371" t="s">
        <v>622</v>
      </c>
      <c r="I222" s="1372"/>
      <c r="J222" s="1372"/>
      <c r="K222" s="1372"/>
      <c r="L222" s="1373"/>
    </row>
    <row r="223" spans="1:13" ht="18" customHeight="1" thickBot="1" x14ac:dyDescent="0.25"/>
    <row r="224" spans="1:13" ht="18" customHeight="1" x14ac:dyDescent="0.2">
      <c r="A224" s="1375" t="s">
        <v>629</v>
      </c>
      <c r="B224" s="1376"/>
      <c r="C224" s="1376"/>
      <c r="D224" s="1376"/>
      <c r="E224" s="1376"/>
      <c r="F224" s="1376"/>
      <c r="G224" s="1376"/>
      <c r="H224" s="1376"/>
      <c r="I224" s="1376"/>
      <c r="J224" s="1376"/>
      <c r="K224" s="1376"/>
      <c r="L224" s="1377"/>
    </row>
    <row r="225" spans="1:12" ht="31.5" customHeight="1" x14ac:dyDescent="0.2">
      <c r="A225" s="348" t="s">
        <v>370</v>
      </c>
      <c r="B225" s="100" t="s">
        <v>371</v>
      </c>
      <c r="C225" s="100" t="s">
        <v>372</v>
      </c>
      <c r="D225" s="100" t="s">
        <v>119</v>
      </c>
      <c r="E225" s="100" t="s">
        <v>373</v>
      </c>
      <c r="F225" s="164" t="s">
        <v>374</v>
      </c>
      <c r="G225" s="100" t="s">
        <v>375</v>
      </c>
      <c r="H225" s="164" t="s">
        <v>376</v>
      </c>
      <c r="I225" s="166" t="s">
        <v>407</v>
      </c>
      <c r="J225" s="166" t="s">
        <v>408</v>
      </c>
      <c r="K225" s="166" t="s">
        <v>407</v>
      </c>
      <c r="L225" s="192" t="s">
        <v>408</v>
      </c>
    </row>
    <row r="226" spans="1:12" ht="18" customHeight="1" x14ac:dyDescent="0.2">
      <c r="A226" s="1378" t="s">
        <v>368</v>
      </c>
      <c r="B226" s="1379"/>
      <c r="C226" s="1379"/>
      <c r="D226" s="1379"/>
      <c r="E226" s="1379"/>
      <c r="F226" s="1379"/>
      <c r="G226" s="1379"/>
      <c r="H226" s="1379"/>
      <c r="I226" s="1379"/>
      <c r="J226" s="1379"/>
      <c r="K226" s="1379"/>
      <c r="L226" s="1380"/>
    </row>
    <row r="227" spans="1:12" ht="18" customHeight="1" x14ac:dyDescent="0.2">
      <c r="A227" s="350"/>
      <c r="B227" s="173"/>
      <c r="C227" s="169"/>
      <c r="D227" s="173"/>
      <c r="E227" s="173"/>
      <c r="F227" s="170"/>
      <c r="G227" s="194"/>
      <c r="H227" s="170">
        <f>B227*C227*E227*F227*G227</f>
        <v>0</v>
      </c>
      <c r="I227" s="170"/>
      <c r="J227" s="170"/>
      <c r="K227" s="170"/>
      <c r="L227" s="195"/>
    </row>
    <row r="228" spans="1:12" ht="18" customHeight="1" x14ac:dyDescent="0.2">
      <c r="A228" s="350"/>
      <c r="B228" s="173"/>
      <c r="C228" s="169"/>
      <c r="D228" s="173"/>
      <c r="E228" s="173"/>
      <c r="F228" s="170"/>
      <c r="G228" s="194"/>
      <c r="H228" s="170">
        <f>B228*C228*E228*F228*G228</f>
        <v>0</v>
      </c>
      <c r="I228" s="170"/>
      <c r="J228" s="170"/>
      <c r="K228" s="170"/>
      <c r="L228" s="195"/>
    </row>
    <row r="229" spans="1:12" ht="18" customHeight="1" x14ac:dyDescent="0.2">
      <c r="A229" s="350"/>
      <c r="B229" s="173"/>
      <c r="C229" s="169"/>
      <c r="D229" s="173"/>
      <c r="E229" s="173"/>
      <c r="F229" s="170"/>
      <c r="G229" s="194"/>
      <c r="H229" s="170">
        <f t="shared" ref="H229:H237" si="20">B229*C229*E229*F229*G229</f>
        <v>0</v>
      </c>
      <c r="I229" s="170"/>
      <c r="J229" s="170"/>
      <c r="K229" s="170"/>
      <c r="L229" s="195"/>
    </row>
    <row r="230" spans="1:12" ht="18" hidden="1" customHeight="1" x14ac:dyDescent="0.2">
      <c r="A230" s="350"/>
      <c r="B230" s="173"/>
      <c r="C230" s="169"/>
      <c r="D230" s="173"/>
      <c r="E230" s="173"/>
      <c r="F230" s="170"/>
      <c r="G230" s="194"/>
      <c r="H230" s="170">
        <f t="shared" si="20"/>
        <v>0</v>
      </c>
      <c r="I230" s="170"/>
      <c r="J230" s="170"/>
      <c r="K230" s="170"/>
      <c r="L230" s="195"/>
    </row>
    <row r="231" spans="1:12" ht="18" hidden="1" customHeight="1" x14ac:dyDescent="0.2">
      <c r="A231" s="350"/>
      <c r="B231" s="173"/>
      <c r="C231" s="169"/>
      <c r="D231" s="173"/>
      <c r="E231" s="173"/>
      <c r="F231" s="170"/>
      <c r="G231" s="194"/>
      <c r="H231" s="170">
        <f t="shared" si="20"/>
        <v>0</v>
      </c>
      <c r="I231" s="170"/>
      <c r="J231" s="170"/>
      <c r="K231" s="170"/>
      <c r="L231" s="195"/>
    </row>
    <row r="232" spans="1:12" ht="18" hidden="1" customHeight="1" x14ac:dyDescent="0.2">
      <c r="A232" s="350"/>
      <c r="B232" s="173"/>
      <c r="C232" s="169"/>
      <c r="D232" s="173"/>
      <c r="E232" s="173"/>
      <c r="F232" s="170"/>
      <c r="G232" s="194"/>
      <c r="H232" s="170">
        <f t="shared" si="20"/>
        <v>0</v>
      </c>
      <c r="I232" s="170"/>
      <c r="J232" s="170"/>
      <c r="K232" s="170"/>
      <c r="L232" s="195"/>
    </row>
    <row r="233" spans="1:12" ht="18" hidden="1" customHeight="1" x14ac:dyDescent="0.2">
      <c r="A233" s="350"/>
      <c r="B233" s="173"/>
      <c r="C233" s="169"/>
      <c r="D233" s="173"/>
      <c r="E233" s="173"/>
      <c r="F233" s="170"/>
      <c r="G233" s="194"/>
      <c r="H233" s="170">
        <f t="shared" si="20"/>
        <v>0</v>
      </c>
      <c r="I233" s="170"/>
      <c r="J233" s="170"/>
      <c r="K233" s="170"/>
      <c r="L233" s="195"/>
    </row>
    <row r="234" spans="1:12" ht="18" hidden="1" customHeight="1" x14ac:dyDescent="0.2">
      <c r="A234" s="350"/>
      <c r="B234" s="173"/>
      <c r="C234" s="169"/>
      <c r="D234" s="173"/>
      <c r="E234" s="173"/>
      <c r="F234" s="170"/>
      <c r="G234" s="194"/>
      <c r="H234" s="170">
        <f t="shared" si="20"/>
        <v>0</v>
      </c>
      <c r="I234" s="170"/>
      <c r="J234" s="170"/>
      <c r="K234" s="170"/>
      <c r="L234" s="195"/>
    </row>
    <row r="235" spans="1:12" ht="18" hidden="1" customHeight="1" x14ac:dyDescent="0.2">
      <c r="A235" s="196"/>
      <c r="B235" s="168"/>
      <c r="C235" s="169"/>
      <c r="D235" s="168"/>
      <c r="E235" s="168"/>
      <c r="F235" s="170"/>
      <c r="G235" s="171"/>
      <c r="H235" s="170">
        <f t="shared" si="20"/>
        <v>0</v>
      </c>
      <c r="I235" s="170"/>
      <c r="J235" s="170"/>
      <c r="K235" s="170"/>
      <c r="L235" s="195"/>
    </row>
    <row r="236" spans="1:12" ht="18" hidden="1" customHeight="1" x14ac:dyDescent="0.2">
      <c r="A236" s="196"/>
      <c r="B236" s="168"/>
      <c r="C236" s="169"/>
      <c r="D236" s="168"/>
      <c r="E236" s="168"/>
      <c r="F236" s="170"/>
      <c r="G236" s="171"/>
      <c r="H236" s="170">
        <f t="shared" si="20"/>
        <v>0</v>
      </c>
      <c r="I236" s="170"/>
      <c r="J236" s="170"/>
      <c r="K236" s="170"/>
      <c r="L236" s="195"/>
    </row>
    <row r="237" spans="1:12" ht="18" hidden="1" customHeight="1" x14ac:dyDescent="0.2">
      <c r="A237" s="196"/>
      <c r="B237" s="168"/>
      <c r="C237" s="169"/>
      <c r="D237" s="168"/>
      <c r="E237" s="168"/>
      <c r="F237" s="170"/>
      <c r="G237" s="168"/>
      <c r="H237" s="170">
        <f t="shared" si="20"/>
        <v>0</v>
      </c>
      <c r="I237" s="170"/>
      <c r="J237" s="170"/>
      <c r="K237" s="170"/>
      <c r="L237" s="195"/>
    </row>
    <row r="238" spans="1:12" ht="18" customHeight="1" x14ac:dyDescent="0.2">
      <c r="A238" s="1374" t="s">
        <v>604</v>
      </c>
      <c r="B238" s="1315"/>
      <c r="C238" s="1315"/>
      <c r="D238" s="1315"/>
      <c r="E238" s="1315"/>
      <c r="F238" s="1315"/>
      <c r="G238" s="1315"/>
      <c r="H238" s="172">
        <f>SUM(H227:H237)</f>
        <v>0</v>
      </c>
      <c r="I238" s="172">
        <f>SUM(I227:I237)</f>
        <v>0</v>
      </c>
      <c r="J238" s="172">
        <f>SUM(J227:J237)</f>
        <v>0</v>
      </c>
      <c r="K238" s="172">
        <f>SUM(K227:K237)</f>
        <v>0</v>
      </c>
      <c r="L238" s="197">
        <f>SUM(L227:L237)</f>
        <v>0</v>
      </c>
    </row>
    <row r="239" spans="1:12" ht="26.25" customHeight="1" x14ac:dyDescent="0.2">
      <c r="A239" s="1146" t="s">
        <v>370</v>
      </c>
      <c r="B239" s="1147"/>
      <c r="C239" s="1147"/>
      <c r="D239" s="108" t="s">
        <v>119</v>
      </c>
      <c r="E239" s="108" t="s">
        <v>373</v>
      </c>
      <c r="F239" s="1147" t="s">
        <v>431</v>
      </c>
      <c r="G239" s="1147"/>
      <c r="H239" s="198" t="s">
        <v>432</v>
      </c>
      <c r="I239" s="166" t="s">
        <v>407</v>
      </c>
      <c r="J239" s="166" t="s">
        <v>408</v>
      </c>
      <c r="K239" s="166" t="s">
        <v>407</v>
      </c>
      <c r="L239" s="192" t="s">
        <v>408</v>
      </c>
    </row>
    <row r="240" spans="1:12" ht="18" customHeight="1" x14ac:dyDescent="0.2">
      <c r="A240" s="1378" t="s">
        <v>618</v>
      </c>
      <c r="B240" s="1379"/>
      <c r="C240" s="1379"/>
      <c r="D240" s="1379"/>
      <c r="E240" s="1379"/>
      <c r="F240" s="1379"/>
      <c r="G240" s="1379"/>
      <c r="H240" s="1379"/>
      <c r="I240" s="1379"/>
      <c r="J240" s="1379"/>
      <c r="K240" s="1379"/>
      <c r="L240" s="1380"/>
    </row>
    <row r="241" spans="1:12" ht="18" customHeight="1" x14ac:dyDescent="0.2">
      <c r="A241" s="1366"/>
      <c r="B241" s="1313"/>
      <c r="C241" s="1313"/>
      <c r="D241" s="38"/>
      <c r="E241" s="38"/>
      <c r="F241" s="1314"/>
      <c r="G241" s="1314"/>
      <c r="H241" s="170">
        <f>E241*F241</f>
        <v>0</v>
      </c>
      <c r="I241" s="349"/>
      <c r="J241" s="349"/>
      <c r="K241" s="199"/>
      <c r="L241" s="200"/>
    </row>
    <row r="242" spans="1:12" ht="18" customHeight="1" x14ac:dyDescent="0.2">
      <c r="A242" s="1366"/>
      <c r="B242" s="1313"/>
      <c r="C242" s="1313"/>
      <c r="D242" s="38"/>
      <c r="E242" s="38"/>
      <c r="F242" s="1314"/>
      <c r="G242" s="1314"/>
      <c r="H242" s="170">
        <f>E242*F242</f>
        <v>0</v>
      </c>
      <c r="I242" s="349"/>
      <c r="J242" s="349"/>
      <c r="K242" s="199"/>
      <c r="L242" s="200"/>
    </row>
    <row r="243" spans="1:12" ht="18" customHeight="1" x14ac:dyDescent="0.2">
      <c r="A243" s="1366"/>
      <c r="B243" s="1313"/>
      <c r="C243" s="1313"/>
      <c r="D243" s="38"/>
      <c r="E243" s="38"/>
      <c r="F243" s="1314"/>
      <c r="G243" s="1314"/>
      <c r="H243" s="170">
        <f t="shared" ref="H243:H254" si="21">E243*F243</f>
        <v>0</v>
      </c>
      <c r="I243" s="349"/>
      <c r="J243" s="349"/>
      <c r="K243" s="199"/>
      <c r="L243" s="200"/>
    </row>
    <row r="244" spans="1:12" ht="18" hidden="1" customHeight="1" x14ac:dyDescent="0.2">
      <c r="A244" s="1366"/>
      <c r="B244" s="1313"/>
      <c r="C244" s="1313"/>
      <c r="D244" s="38"/>
      <c r="E244" s="38"/>
      <c r="F244" s="1314"/>
      <c r="G244" s="1314"/>
      <c r="H244" s="170">
        <f t="shared" si="21"/>
        <v>0</v>
      </c>
      <c r="I244" s="349"/>
      <c r="J244" s="349"/>
      <c r="K244" s="199"/>
      <c r="L244" s="200"/>
    </row>
    <row r="245" spans="1:12" ht="18" hidden="1" customHeight="1" x14ac:dyDescent="0.2">
      <c r="A245" s="1366"/>
      <c r="B245" s="1313"/>
      <c r="C245" s="1313"/>
      <c r="D245" s="38"/>
      <c r="E245" s="38"/>
      <c r="F245" s="1314"/>
      <c r="G245" s="1314"/>
      <c r="H245" s="170">
        <f t="shared" si="21"/>
        <v>0</v>
      </c>
      <c r="I245" s="349"/>
      <c r="J245" s="349"/>
      <c r="K245" s="199"/>
      <c r="L245" s="200"/>
    </row>
    <row r="246" spans="1:12" ht="18" hidden="1" customHeight="1" x14ac:dyDescent="0.2">
      <c r="A246" s="1366"/>
      <c r="B246" s="1313"/>
      <c r="C246" s="1313"/>
      <c r="D246" s="38"/>
      <c r="E246" s="38"/>
      <c r="F246" s="1314"/>
      <c r="G246" s="1314"/>
      <c r="H246" s="170">
        <f t="shared" si="21"/>
        <v>0</v>
      </c>
      <c r="I246" s="349"/>
      <c r="J246" s="349"/>
      <c r="K246" s="199"/>
      <c r="L246" s="200"/>
    </row>
    <row r="247" spans="1:12" ht="18" hidden="1" customHeight="1" x14ac:dyDescent="0.2">
      <c r="A247" s="1366"/>
      <c r="B247" s="1313"/>
      <c r="C247" s="1313"/>
      <c r="D247" s="38"/>
      <c r="E247" s="38"/>
      <c r="F247" s="1314"/>
      <c r="G247" s="1314"/>
      <c r="H247" s="170">
        <f t="shared" si="21"/>
        <v>0</v>
      </c>
      <c r="I247" s="349"/>
      <c r="J247" s="349"/>
      <c r="K247" s="199"/>
      <c r="L247" s="200"/>
    </row>
    <row r="248" spans="1:12" ht="18" hidden="1" customHeight="1" x14ac:dyDescent="0.2">
      <c r="A248" s="1366"/>
      <c r="B248" s="1313"/>
      <c r="C248" s="1313"/>
      <c r="D248" s="38"/>
      <c r="E248" s="38"/>
      <c r="F248" s="1314"/>
      <c r="G248" s="1314"/>
      <c r="H248" s="170">
        <f t="shared" si="21"/>
        <v>0</v>
      </c>
      <c r="I248" s="349"/>
      <c r="J248" s="349"/>
      <c r="K248" s="199"/>
      <c r="L248" s="200"/>
    </row>
    <row r="249" spans="1:12" ht="18" hidden="1" customHeight="1" x14ac:dyDescent="0.2">
      <c r="A249" s="1366"/>
      <c r="B249" s="1313"/>
      <c r="C249" s="1313"/>
      <c r="D249" s="38"/>
      <c r="E249" s="38"/>
      <c r="F249" s="1314"/>
      <c r="G249" s="1314"/>
      <c r="H249" s="170">
        <f t="shared" si="21"/>
        <v>0</v>
      </c>
      <c r="I249" s="349"/>
      <c r="J249" s="349"/>
      <c r="K249" s="199"/>
      <c r="L249" s="200"/>
    </row>
    <row r="250" spans="1:12" ht="18" hidden="1" customHeight="1" x14ac:dyDescent="0.2">
      <c r="A250" s="1366"/>
      <c r="B250" s="1313"/>
      <c r="C250" s="1313"/>
      <c r="D250" s="38"/>
      <c r="E250" s="38"/>
      <c r="F250" s="1314"/>
      <c r="G250" s="1314"/>
      <c r="H250" s="170">
        <f t="shared" si="21"/>
        <v>0</v>
      </c>
      <c r="I250" s="349"/>
      <c r="J250" s="349"/>
      <c r="K250" s="199"/>
      <c r="L250" s="200"/>
    </row>
    <row r="251" spans="1:12" ht="18" hidden="1" customHeight="1" x14ac:dyDescent="0.2">
      <c r="A251" s="1366"/>
      <c r="B251" s="1313"/>
      <c r="C251" s="1313"/>
      <c r="D251" s="38"/>
      <c r="E251" s="38"/>
      <c r="F251" s="1314"/>
      <c r="G251" s="1314"/>
      <c r="H251" s="170">
        <f t="shared" si="21"/>
        <v>0</v>
      </c>
      <c r="I251" s="349"/>
      <c r="J251" s="349"/>
      <c r="K251" s="199"/>
      <c r="L251" s="200"/>
    </row>
    <row r="252" spans="1:12" ht="18" hidden="1" customHeight="1" x14ac:dyDescent="0.2">
      <c r="A252" s="1366"/>
      <c r="B252" s="1313"/>
      <c r="C252" s="1313"/>
      <c r="D252" s="38"/>
      <c r="E252" s="38"/>
      <c r="F252" s="1314"/>
      <c r="G252" s="1314"/>
      <c r="H252" s="170">
        <f t="shared" si="21"/>
        <v>0</v>
      </c>
      <c r="I252" s="349"/>
      <c r="J252" s="349"/>
      <c r="K252" s="199"/>
      <c r="L252" s="200"/>
    </row>
    <row r="253" spans="1:12" ht="18" hidden="1" customHeight="1" x14ac:dyDescent="0.2">
      <c r="A253" s="1366"/>
      <c r="B253" s="1313"/>
      <c r="C253" s="1313"/>
      <c r="D253" s="38"/>
      <c r="E253" s="38"/>
      <c r="F253" s="1314"/>
      <c r="G253" s="1314"/>
      <c r="H253" s="170">
        <f t="shared" si="21"/>
        <v>0</v>
      </c>
      <c r="I253" s="349"/>
      <c r="J253" s="349"/>
      <c r="K253" s="199"/>
      <c r="L253" s="200"/>
    </row>
    <row r="254" spans="1:12" ht="18" hidden="1" customHeight="1" x14ac:dyDescent="0.2">
      <c r="A254" s="1366"/>
      <c r="B254" s="1313"/>
      <c r="C254" s="1313"/>
      <c r="D254" s="38"/>
      <c r="E254" s="38"/>
      <c r="F254" s="1314"/>
      <c r="G254" s="1314"/>
      <c r="H254" s="170">
        <f t="shared" si="21"/>
        <v>0</v>
      </c>
      <c r="I254" s="349"/>
      <c r="J254" s="349"/>
      <c r="K254" s="199"/>
      <c r="L254" s="200"/>
    </row>
    <row r="255" spans="1:12" ht="18" customHeight="1" x14ac:dyDescent="0.2">
      <c r="A255" s="1374" t="s">
        <v>611</v>
      </c>
      <c r="B255" s="1315"/>
      <c r="C255" s="1315"/>
      <c r="D255" s="1315"/>
      <c r="E255" s="1315"/>
      <c r="F255" s="1315"/>
      <c r="G255" s="1315"/>
      <c r="H255" s="172">
        <f>SUM(H241:H254)</f>
        <v>0</v>
      </c>
      <c r="I255" s="172">
        <f>SUM(I241:I254)</f>
        <v>0</v>
      </c>
      <c r="J255" s="172">
        <f>SUM(J241:J254)</f>
        <v>0</v>
      </c>
      <c r="K255" s="172">
        <f>SUM(K241:K254)</f>
        <v>0</v>
      </c>
      <c r="L255" s="197">
        <f>SUM(L241:L254)</f>
        <v>0</v>
      </c>
    </row>
    <row r="256" spans="1:12" ht="18" customHeight="1" thickBot="1" x14ac:dyDescent="0.25">
      <c r="A256" s="1360" t="s">
        <v>619</v>
      </c>
      <c r="B256" s="1361"/>
      <c r="C256" s="1361"/>
      <c r="D256" s="1361"/>
      <c r="E256" s="1361"/>
      <c r="F256" s="1361"/>
      <c r="G256" s="1361"/>
      <c r="H256" s="201">
        <f>H238+H255</f>
        <v>0</v>
      </c>
      <c r="I256" s="201">
        <f>I238+I255</f>
        <v>0</v>
      </c>
      <c r="J256" s="201">
        <f t="shared" ref="J256:L256" si="22">J238+J255</f>
        <v>0</v>
      </c>
      <c r="K256" s="201">
        <f t="shared" si="22"/>
        <v>0</v>
      </c>
      <c r="L256" s="202">
        <f t="shared" si="22"/>
        <v>0</v>
      </c>
    </row>
    <row r="257" spans="1:13" ht="18" customHeight="1" thickBot="1" x14ac:dyDescent="0.25">
      <c r="A257" s="1362" t="s">
        <v>612</v>
      </c>
      <c r="B257" s="1363"/>
      <c r="C257" s="1363"/>
      <c r="D257" s="1363"/>
      <c r="E257" s="1363"/>
      <c r="F257" s="1363"/>
      <c r="G257" s="1363"/>
      <c r="H257" s="431" t="s">
        <v>613</v>
      </c>
      <c r="I257" s="1364"/>
      <c r="J257" s="1364"/>
      <c r="K257" s="1364"/>
      <c r="L257" s="1365"/>
    </row>
    <row r="258" spans="1:13" ht="18" customHeight="1" x14ac:dyDescent="0.2">
      <c r="A258" s="1333" t="str">
        <f>IF(H257="Si","Administración","Gastos de administración")</f>
        <v>Gastos de administración</v>
      </c>
      <c r="B258" s="1334"/>
      <c r="C258" s="1334"/>
      <c r="D258" s="1334"/>
      <c r="E258" s="1334"/>
      <c r="F258" s="1335"/>
      <c r="G258" s="379"/>
      <c r="H258" s="380">
        <v>0</v>
      </c>
      <c r="I258" s="170">
        <f>H258</f>
        <v>0</v>
      </c>
      <c r="J258" s="170"/>
      <c r="K258" s="170"/>
      <c r="L258" s="195"/>
      <c r="M258" s="432" t="s">
        <v>391</v>
      </c>
    </row>
    <row r="259" spans="1:13" ht="18" customHeight="1" x14ac:dyDescent="0.2">
      <c r="A259" s="1333" t="str">
        <f>IF(H257="Si","Utilidad","")</f>
        <v/>
      </c>
      <c r="B259" s="1334"/>
      <c r="C259" s="1334"/>
      <c r="D259" s="1334"/>
      <c r="E259" s="1334"/>
      <c r="F259" s="1335"/>
      <c r="G259" s="379"/>
      <c r="H259" s="380">
        <v>0</v>
      </c>
      <c r="I259" s="170"/>
      <c r="J259" s="170"/>
      <c r="K259" s="170"/>
      <c r="L259" s="195"/>
    </row>
    <row r="260" spans="1:13" ht="18" customHeight="1" x14ac:dyDescent="0.2">
      <c r="A260" s="1333" t="str">
        <f>IF(H257="Si","IVA","")</f>
        <v/>
      </c>
      <c r="B260" s="1334"/>
      <c r="C260" s="1334"/>
      <c r="D260" s="1334"/>
      <c r="E260" s="1334"/>
      <c r="F260" s="1335"/>
      <c r="G260" s="379"/>
      <c r="H260" s="380">
        <v>0</v>
      </c>
      <c r="I260" s="170"/>
      <c r="J260" s="170"/>
      <c r="K260" s="170"/>
      <c r="L260" s="195"/>
      <c r="M260" s="378" t="s">
        <v>393</v>
      </c>
    </row>
    <row r="261" spans="1:13" ht="18" customHeight="1" thickBot="1" x14ac:dyDescent="0.25">
      <c r="A261" s="1367" t="str">
        <f>IF(H257="Si","TOTAL (después de AU e IVA)", "TOTAL (después de administración)")</f>
        <v>TOTAL (después de administración)</v>
      </c>
      <c r="B261" s="1368"/>
      <c r="C261" s="1368"/>
      <c r="D261" s="1368"/>
      <c r="E261" s="1368"/>
      <c r="F261" s="1368"/>
      <c r="G261" s="1368"/>
      <c r="H261" s="381">
        <f>SUM(H258:H260)+H256</f>
        <v>0</v>
      </c>
      <c r="I261" s="362">
        <f t="shared" ref="I261:L261" si="23">SUM(I258:I260)+I256</f>
        <v>0</v>
      </c>
      <c r="J261" s="362">
        <f t="shared" si="23"/>
        <v>0</v>
      </c>
      <c r="K261" s="362">
        <f t="shared" si="23"/>
        <v>0</v>
      </c>
      <c r="L261" s="363">
        <f t="shared" si="23"/>
        <v>0</v>
      </c>
    </row>
    <row r="262" spans="1:13" ht="43.5" customHeight="1" thickBot="1" x14ac:dyDescent="0.25">
      <c r="A262" s="360" t="s">
        <v>614</v>
      </c>
      <c r="B262" s="657"/>
      <c r="C262" s="361" t="s">
        <v>119</v>
      </c>
      <c r="D262" s="657"/>
      <c r="E262" s="361" t="s">
        <v>621</v>
      </c>
      <c r="F262" s="1369">
        <f>IFERROR(H256/B262,0)</f>
        <v>0</v>
      </c>
      <c r="G262" s="1370"/>
      <c r="H262" s="1371" t="s">
        <v>622</v>
      </c>
      <c r="I262" s="1372"/>
      <c r="J262" s="1372"/>
      <c r="K262" s="1372"/>
      <c r="L262" s="1373"/>
    </row>
    <row r="263" spans="1:13" ht="18" customHeight="1" thickBot="1" x14ac:dyDescent="0.25">
      <c r="A263" s="1353"/>
      <c r="B263" s="1354"/>
      <c r="C263" s="1354"/>
      <c r="D263" s="1354"/>
      <c r="E263" s="1354"/>
      <c r="F263" s="1354"/>
      <c r="G263" s="1354"/>
      <c r="H263" s="1354"/>
      <c r="I263" s="1354"/>
      <c r="J263" s="1354"/>
      <c r="K263" s="1354"/>
      <c r="L263" s="1355"/>
    </row>
    <row r="264" spans="1:13" ht="51" customHeight="1" thickBot="1" x14ac:dyDescent="0.25">
      <c r="A264" s="360" t="s">
        <v>614</v>
      </c>
      <c r="B264" s="657"/>
      <c r="C264" s="361" t="s">
        <v>119</v>
      </c>
      <c r="D264" s="657"/>
      <c r="E264" s="361" t="s">
        <v>623</v>
      </c>
      <c r="F264" s="1369">
        <f>IFERROR((H256-H238)/B264,0)</f>
        <v>0</v>
      </c>
      <c r="G264" s="1370"/>
      <c r="H264" s="1371" t="s">
        <v>622</v>
      </c>
      <c r="I264" s="1372"/>
      <c r="J264" s="1372"/>
      <c r="K264" s="1372"/>
      <c r="L264" s="1373"/>
    </row>
  </sheetData>
  <sheetProtection formatCells="0" formatColumns="0" formatRows="0" insertColumns="0" insertRows="0" insertHyperlinks="0" deleteColumns="0" deleteRows="0" sort="0" autoFilter="0" pivotTables="0"/>
  <mergeCells count="304">
    <mergeCell ref="A263:L263"/>
    <mergeCell ref="F264:G264"/>
    <mergeCell ref="H264:L264"/>
    <mergeCell ref="A53:L53"/>
    <mergeCell ref="F54:G54"/>
    <mergeCell ref="H54:L54"/>
    <mergeCell ref="A95:L95"/>
    <mergeCell ref="F96:G96"/>
    <mergeCell ref="H96:L96"/>
    <mergeCell ref="A137:L137"/>
    <mergeCell ref="F138:G138"/>
    <mergeCell ref="H138:L138"/>
    <mergeCell ref="F117:G117"/>
    <mergeCell ref="F118:G118"/>
    <mergeCell ref="F119:G119"/>
    <mergeCell ref="F120:G120"/>
    <mergeCell ref="F121:G121"/>
    <mergeCell ref="F122:G122"/>
    <mergeCell ref="F123:G123"/>
    <mergeCell ref="A116:C116"/>
    <mergeCell ref="A117:C117"/>
    <mergeCell ref="A118:C118"/>
    <mergeCell ref="A119:C119"/>
    <mergeCell ref="A120:C120"/>
    <mergeCell ref="A80:C80"/>
    <mergeCell ref="A81:C81"/>
    <mergeCell ref="A82:C82"/>
    <mergeCell ref="F75:G75"/>
    <mergeCell ref="F76:G76"/>
    <mergeCell ref="F77:G77"/>
    <mergeCell ref="F78:G78"/>
    <mergeCell ref="F79:G79"/>
    <mergeCell ref="F80:G80"/>
    <mergeCell ref="F81:G81"/>
    <mergeCell ref="F82:G82"/>
    <mergeCell ref="A75:C75"/>
    <mergeCell ref="A76:C76"/>
    <mergeCell ref="A77:C77"/>
    <mergeCell ref="A78:C78"/>
    <mergeCell ref="A79:C79"/>
    <mergeCell ref="A93:G93"/>
    <mergeCell ref="F124:G124"/>
    <mergeCell ref="A124:C124"/>
    <mergeCell ref="A132:F132"/>
    <mergeCell ref="A139:L139"/>
    <mergeCell ref="A125:C125"/>
    <mergeCell ref="F136:G136"/>
    <mergeCell ref="H136:L136"/>
    <mergeCell ref="A129:G129"/>
    <mergeCell ref="A130:G130"/>
    <mergeCell ref="A126:C126"/>
    <mergeCell ref="F126:G126"/>
    <mergeCell ref="A127:C127"/>
    <mergeCell ref="F127:G127"/>
    <mergeCell ref="A128:C128"/>
    <mergeCell ref="F128:G128"/>
    <mergeCell ref="F125:G125"/>
    <mergeCell ref="A131:G131"/>
    <mergeCell ref="I131:L131"/>
    <mergeCell ref="A133:F133"/>
    <mergeCell ref="A121:C121"/>
    <mergeCell ref="A122:C122"/>
    <mergeCell ref="A123:C123"/>
    <mergeCell ref="F116:G116"/>
    <mergeCell ref="F42:G42"/>
    <mergeCell ref="A47:G47"/>
    <mergeCell ref="I47:L47"/>
    <mergeCell ref="A87:G87"/>
    <mergeCell ref="A88:G88"/>
    <mergeCell ref="A98:L98"/>
    <mergeCell ref="A100:L100"/>
    <mergeCell ref="A112:G112"/>
    <mergeCell ref="A115:C115"/>
    <mergeCell ref="F115:G115"/>
    <mergeCell ref="A84:C84"/>
    <mergeCell ref="F84:G84"/>
    <mergeCell ref="A85:C85"/>
    <mergeCell ref="F85:G85"/>
    <mergeCell ref="A86:C86"/>
    <mergeCell ref="F86:G86"/>
    <mergeCell ref="A114:L114"/>
    <mergeCell ref="A97:L97"/>
    <mergeCell ref="A113:C113"/>
    <mergeCell ref="F113:G113"/>
    <mergeCell ref="F94:G94"/>
    <mergeCell ref="H94:L94"/>
    <mergeCell ref="A91:F91"/>
    <mergeCell ref="A92:F92"/>
    <mergeCell ref="A30:L30"/>
    <mergeCell ref="A31:C31"/>
    <mergeCell ref="F31:G31"/>
    <mergeCell ref="A32:C32"/>
    <mergeCell ref="F32:G32"/>
    <mergeCell ref="F52:G52"/>
    <mergeCell ref="A34:C34"/>
    <mergeCell ref="A58:L58"/>
    <mergeCell ref="A70:G70"/>
    <mergeCell ref="A35:C35"/>
    <mergeCell ref="A36:C36"/>
    <mergeCell ref="A37:C37"/>
    <mergeCell ref="A38:C38"/>
    <mergeCell ref="A39:C39"/>
    <mergeCell ref="A40:C40"/>
    <mergeCell ref="A41:C41"/>
    <mergeCell ref="A42:C42"/>
    <mergeCell ref="F35:G35"/>
    <mergeCell ref="F36:G36"/>
    <mergeCell ref="F37:G37"/>
    <mergeCell ref="F38:G38"/>
    <mergeCell ref="F39:G39"/>
    <mergeCell ref="F40:G40"/>
    <mergeCell ref="F41:G41"/>
    <mergeCell ref="A55:L55"/>
    <mergeCell ref="A71:C71"/>
    <mergeCell ref="F71:G71"/>
    <mergeCell ref="A1:C3"/>
    <mergeCell ref="D3:G3"/>
    <mergeCell ref="H3:L3"/>
    <mergeCell ref="D1:L1"/>
    <mergeCell ref="D2:L2"/>
    <mergeCell ref="F34:G34"/>
    <mergeCell ref="F29:G29"/>
    <mergeCell ref="A33:C33"/>
    <mergeCell ref="F33:G33"/>
    <mergeCell ref="A12:H13"/>
    <mergeCell ref="A29:C29"/>
    <mergeCell ref="A14:L14"/>
    <mergeCell ref="I12:L12"/>
    <mergeCell ref="I13:J13"/>
    <mergeCell ref="K13:L13"/>
    <mergeCell ref="A16:L16"/>
    <mergeCell ref="A28:G28"/>
    <mergeCell ref="A8:E8"/>
    <mergeCell ref="F8:L8"/>
    <mergeCell ref="A9:E9"/>
    <mergeCell ref="F9:L9"/>
    <mergeCell ref="A48:F48"/>
    <mergeCell ref="A49:F49"/>
    <mergeCell ref="A50:F50"/>
    <mergeCell ref="A51:G51"/>
    <mergeCell ref="A89:G89"/>
    <mergeCell ref="I89:L89"/>
    <mergeCell ref="A90:F90"/>
    <mergeCell ref="A10:E10"/>
    <mergeCell ref="F10:L10"/>
    <mergeCell ref="A43:C43"/>
    <mergeCell ref="F43:G43"/>
    <mergeCell ref="A44:C44"/>
    <mergeCell ref="F44:G44"/>
    <mergeCell ref="A45:G45"/>
    <mergeCell ref="A74:C74"/>
    <mergeCell ref="F74:G74"/>
    <mergeCell ref="A83:C83"/>
    <mergeCell ref="F83:G83"/>
    <mergeCell ref="H52:L52"/>
    <mergeCell ref="A46:G46"/>
    <mergeCell ref="A56:L56"/>
    <mergeCell ref="A72:L72"/>
    <mergeCell ref="A73:C73"/>
    <mergeCell ref="F73:G73"/>
    <mergeCell ref="A134:F134"/>
    <mergeCell ref="A135:G135"/>
    <mergeCell ref="A140:L140"/>
    <mergeCell ref="A142:L142"/>
    <mergeCell ref="A154:G154"/>
    <mergeCell ref="A155:C155"/>
    <mergeCell ref="F155:G155"/>
    <mergeCell ref="A156:L156"/>
    <mergeCell ref="A157:C157"/>
    <mergeCell ref="F157:G157"/>
    <mergeCell ref="A158:C158"/>
    <mergeCell ref="F158:G158"/>
    <mergeCell ref="A159:C159"/>
    <mergeCell ref="F159:G159"/>
    <mergeCell ref="A160:C160"/>
    <mergeCell ref="F160:G160"/>
    <mergeCell ref="A161:C161"/>
    <mergeCell ref="F161:G161"/>
    <mergeCell ref="A162:C162"/>
    <mergeCell ref="F162:G162"/>
    <mergeCell ref="A163:C163"/>
    <mergeCell ref="F163:G163"/>
    <mergeCell ref="A164:C164"/>
    <mergeCell ref="F164:G164"/>
    <mergeCell ref="A165:C165"/>
    <mergeCell ref="F165:G165"/>
    <mergeCell ref="A166:C166"/>
    <mergeCell ref="F166:G166"/>
    <mergeCell ref="A167:C167"/>
    <mergeCell ref="F167:G167"/>
    <mergeCell ref="A168:C168"/>
    <mergeCell ref="F168:G168"/>
    <mergeCell ref="A169:C169"/>
    <mergeCell ref="F169:G169"/>
    <mergeCell ref="A170:C170"/>
    <mergeCell ref="F170:G170"/>
    <mergeCell ref="A171:G171"/>
    <mergeCell ref="A172:G172"/>
    <mergeCell ref="A173:G173"/>
    <mergeCell ref="I173:L173"/>
    <mergeCell ref="A174:F174"/>
    <mergeCell ref="A175:F175"/>
    <mergeCell ref="A176:F176"/>
    <mergeCell ref="A177:G177"/>
    <mergeCell ref="F178:G178"/>
    <mergeCell ref="H178:L178"/>
    <mergeCell ref="A184:L184"/>
    <mergeCell ref="A179:L179"/>
    <mergeCell ref="F180:G180"/>
    <mergeCell ref="H180:L180"/>
    <mergeCell ref="A182:L182"/>
    <mergeCell ref="A196:G196"/>
    <mergeCell ref="A197:C197"/>
    <mergeCell ref="F197:G197"/>
    <mergeCell ref="A198:L198"/>
    <mergeCell ref="A199:C199"/>
    <mergeCell ref="F199:G199"/>
    <mergeCell ref="A200:C200"/>
    <mergeCell ref="F200:G200"/>
    <mergeCell ref="A201:C201"/>
    <mergeCell ref="F201:G201"/>
    <mergeCell ref="A202:C202"/>
    <mergeCell ref="F202:G202"/>
    <mergeCell ref="A203:C203"/>
    <mergeCell ref="F203:G203"/>
    <mergeCell ref="A204:C204"/>
    <mergeCell ref="F204:G204"/>
    <mergeCell ref="A205:C205"/>
    <mergeCell ref="F205:G205"/>
    <mergeCell ref="A206:C206"/>
    <mergeCell ref="F206:G206"/>
    <mergeCell ref="A207:C207"/>
    <mergeCell ref="F207:G207"/>
    <mergeCell ref="A208:C208"/>
    <mergeCell ref="F208:G208"/>
    <mergeCell ref="A209:C209"/>
    <mergeCell ref="F209:G209"/>
    <mergeCell ref="A210:C210"/>
    <mergeCell ref="F210:G210"/>
    <mergeCell ref="A211:C211"/>
    <mergeCell ref="F211:G211"/>
    <mergeCell ref="A212:C212"/>
    <mergeCell ref="F212:G212"/>
    <mergeCell ref="A213:G213"/>
    <mergeCell ref="A214:G214"/>
    <mergeCell ref="A215:G215"/>
    <mergeCell ref="I215:L215"/>
    <mergeCell ref="A216:F216"/>
    <mergeCell ref="A217:F217"/>
    <mergeCell ref="A218:F218"/>
    <mergeCell ref="F243:G243"/>
    <mergeCell ref="A244:C244"/>
    <mergeCell ref="F244:G244"/>
    <mergeCell ref="A245:C245"/>
    <mergeCell ref="F245:G245"/>
    <mergeCell ref="A219:G219"/>
    <mergeCell ref="F220:G220"/>
    <mergeCell ref="H220:L220"/>
    <mergeCell ref="A224:L224"/>
    <mergeCell ref="A226:L226"/>
    <mergeCell ref="A238:G238"/>
    <mergeCell ref="A239:C239"/>
    <mergeCell ref="F239:G239"/>
    <mergeCell ref="A240:L240"/>
    <mergeCell ref="A221:L221"/>
    <mergeCell ref="F222:G222"/>
    <mergeCell ref="H222:L222"/>
    <mergeCell ref="A260:F260"/>
    <mergeCell ref="A261:G261"/>
    <mergeCell ref="F262:G262"/>
    <mergeCell ref="H262:L262"/>
    <mergeCell ref="A251:C251"/>
    <mergeCell ref="F251:G251"/>
    <mergeCell ref="A252:C252"/>
    <mergeCell ref="F252:G252"/>
    <mergeCell ref="A253:C253"/>
    <mergeCell ref="F253:G253"/>
    <mergeCell ref="A254:C254"/>
    <mergeCell ref="F254:G254"/>
    <mergeCell ref="A255:G255"/>
    <mergeCell ref="A5:E5"/>
    <mergeCell ref="F5:L5"/>
    <mergeCell ref="A6:E6"/>
    <mergeCell ref="F6:L6"/>
    <mergeCell ref="A256:G256"/>
    <mergeCell ref="A257:G257"/>
    <mergeCell ref="I257:L257"/>
    <mergeCell ref="A258:F258"/>
    <mergeCell ref="A259:F259"/>
    <mergeCell ref="A246:C246"/>
    <mergeCell ref="F246:G246"/>
    <mergeCell ref="A247:C247"/>
    <mergeCell ref="F247:G247"/>
    <mergeCell ref="A248:C248"/>
    <mergeCell ref="F248:G248"/>
    <mergeCell ref="A249:C249"/>
    <mergeCell ref="F249:G249"/>
    <mergeCell ref="A250:C250"/>
    <mergeCell ref="F250:G250"/>
    <mergeCell ref="A241:C241"/>
    <mergeCell ref="F241:G241"/>
    <mergeCell ref="A242:C242"/>
    <mergeCell ref="F242:G242"/>
    <mergeCell ref="A243:C243"/>
  </mergeCells>
  <dataValidations count="1">
    <dataValidation type="list" allowBlank="1" showInputMessage="1" showErrorMessage="1" sqref="H47 H173 H215 H89 H131 H257" xr:uid="{00000000-0002-0000-0800-000000000000}">
      <formula1>"Si, No"</formula1>
    </dataValidation>
  </dataValidations>
  <hyperlinks>
    <hyperlink ref="M1" location="ins" display="Instructivo" xr:uid="{00000000-0004-0000-0800-000000000000}"/>
    <hyperlink ref="M50" location="IVA" display="Info IVA" xr:uid="{00000000-0004-0000-0800-000001000000}"/>
    <hyperlink ref="M92" location="IVA" display="Info IVA" xr:uid="{00000000-0004-0000-0800-000002000000}"/>
    <hyperlink ref="M134" location="IVA" display="Info IVA" xr:uid="{00000000-0004-0000-0800-000003000000}"/>
    <hyperlink ref="M176" location="IVA" display="Info IVA" xr:uid="{00000000-0004-0000-0800-000004000000}"/>
    <hyperlink ref="M218" location="IVA" display="Info IVA" xr:uid="{00000000-0004-0000-0800-000005000000}"/>
    <hyperlink ref="M260" location="IVA" display="Info IVA" xr:uid="{00000000-0004-0000-0800-000006000000}"/>
    <hyperlink ref="M48" location="gtosadm" display="Gastos de administración" xr:uid="{00000000-0004-0000-0800-000007000000}"/>
    <hyperlink ref="M90" location="gtosadm" display="Gastos de administración" xr:uid="{00000000-0004-0000-0800-000008000000}"/>
    <hyperlink ref="M132" location="gtosadm" display="Gastos de administración" xr:uid="{00000000-0004-0000-0800-000009000000}"/>
    <hyperlink ref="M174" location="gtosadm" display="Gastos de administración" xr:uid="{00000000-0004-0000-0800-00000A000000}"/>
    <hyperlink ref="M216" location="gtosadm" display="Gastos de administración" xr:uid="{00000000-0004-0000-0800-00000B000000}"/>
    <hyperlink ref="M258" location="gtosadm" display="Gastos de administración" xr:uid="{00000000-0004-0000-0800-00000C000000}"/>
  </hyperlinks>
  <printOptions horizontalCentered="1"/>
  <pageMargins left="0" right="0" top="0" bottom="0" header="0" footer="0"/>
  <pageSetup scale="61" fitToHeight="0" orientation="landscape" horizontalDpi="4294967295" verticalDpi="4294967295"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8">
    <tabColor theme="5" tint="0.39997558519241921"/>
    <pageSetUpPr fitToPage="1"/>
  </sheetPr>
  <dimension ref="A1:AZ302"/>
  <sheetViews>
    <sheetView showGridLines="0" topLeftCell="A8" zoomScaleNormal="100" workbookViewId="0">
      <selection activeCell="A17" sqref="A17:E17"/>
    </sheetView>
  </sheetViews>
  <sheetFormatPr baseColWidth="10" defaultColWidth="11.5" defaultRowHeight="18" customHeight="1" x14ac:dyDescent="0.2"/>
  <cols>
    <col min="1" max="1" width="38.83203125" style="205" customWidth="1"/>
    <col min="2" max="2" width="21.6640625" style="205" customWidth="1"/>
    <col min="3" max="3" width="18.6640625" style="205" customWidth="1"/>
    <col min="4" max="4" width="19.1640625" style="213" customWidth="1"/>
    <col min="5" max="5" width="25.33203125" style="213" customWidth="1"/>
    <col min="6" max="6" width="11.5" style="205" customWidth="1"/>
    <col min="7" max="7" width="20.83203125" style="204" customWidth="1"/>
    <col min="8" max="8" width="16.33203125" style="204" bestFit="1" customWidth="1"/>
    <col min="9" max="52" width="11.5" style="204"/>
    <col min="53" max="16384" width="11.5" style="205"/>
  </cols>
  <sheetData>
    <row r="1" spans="1:9" ht="18" customHeight="1" x14ac:dyDescent="0.2">
      <c r="A1" s="1392"/>
      <c r="B1" s="1395" t="s">
        <v>0</v>
      </c>
      <c r="C1" s="1396"/>
      <c r="D1" s="1396"/>
      <c r="E1" s="1396"/>
      <c r="F1" s="1397"/>
      <c r="G1" s="434" t="s">
        <v>104</v>
      </c>
      <c r="H1" s="62"/>
    </row>
    <row r="2" spans="1:9" ht="18" customHeight="1" x14ac:dyDescent="0.2">
      <c r="A2" s="1393"/>
      <c r="B2" s="1398" t="s">
        <v>630</v>
      </c>
      <c r="C2" s="1399"/>
      <c r="D2" s="1399"/>
      <c r="E2" s="1399"/>
      <c r="F2" s="1400"/>
      <c r="G2" s="435" t="s">
        <v>23</v>
      </c>
    </row>
    <row r="3" spans="1:9" ht="18" customHeight="1" thickBot="1" x14ac:dyDescent="0.25">
      <c r="A3" s="1394"/>
      <c r="B3" s="953" t="s">
        <v>2</v>
      </c>
      <c r="C3" s="954"/>
      <c r="D3" s="1139" t="str">
        <f>Instructivo!G3</f>
        <v>VERSIÓN: 04</v>
      </c>
      <c r="E3" s="1139"/>
      <c r="F3" s="1182"/>
      <c r="G3" s="67"/>
    </row>
    <row r="4" spans="1:9" s="204" customFormat="1" ht="18" customHeight="1" thickBot="1" x14ac:dyDescent="0.25">
      <c r="A4" s="241"/>
      <c r="B4" s="67"/>
      <c r="C4" s="67"/>
      <c r="D4" s="67"/>
      <c r="E4" s="67"/>
      <c r="F4" s="67"/>
      <c r="G4" s="67"/>
    </row>
    <row r="5" spans="1:9" s="204" customFormat="1" ht="26.25" customHeight="1" thickBot="1" x14ac:dyDescent="0.25">
      <c r="A5" s="567" t="s">
        <v>106</v>
      </c>
      <c r="B5" s="956" t="str">
        <f>'Plan Ejecución'!AE5</f>
        <v>Licitación Pública</v>
      </c>
      <c r="C5" s="957"/>
      <c r="D5" s="957"/>
      <c r="E5" s="957"/>
      <c r="F5" s="958"/>
      <c r="G5" s="568"/>
      <c r="H5" s="568"/>
      <c r="I5" s="568"/>
    </row>
    <row r="6" spans="1:9" s="204" customFormat="1" ht="43.5" customHeight="1" thickBot="1" x14ac:dyDescent="0.25">
      <c r="A6" s="567" t="s">
        <v>108</v>
      </c>
      <c r="B6" s="959" t="str">
        <f>'Plan Ejecución'!AE6</f>
        <v>“Adquirir el Programa de Seguros para la protección de los bienes e intereses, según los ramos y coberturas que requiera CORANTIOQUIA”.</v>
      </c>
      <c r="C6" s="960"/>
      <c r="D6" s="960"/>
      <c r="E6" s="960"/>
      <c r="F6" s="961"/>
      <c r="G6" s="568"/>
      <c r="H6" s="568"/>
      <c r="I6" s="568"/>
    </row>
    <row r="7" spans="1:9" s="204" customFormat="1" ht="18" customHeight="1" thickBot="1" x14ac:dyDescent="0.25">
      <c r="A7" s="241"/>
      <c r="B7" s="67"/>
      <c r="C7" s="67"/>
      <c r="D7" s="67"/>
      <c r="E7" s="67"/>
      <c r="F7" s="67"/>
      <c r="G7" s="67"/>
    </row>
    <row r="8" spans="1:9" ht="30.75" customHeight="1" thickBot="1" x14ac:dyDescent="0.25">
      <c r="A8" s="342" t="s">
        <v>631</v>
      </c>
      <c r="B8" s="662"/>
      <c r="D8" s="207" t="s">
        <v>494</v>
      </c>
      <c r="E8" s="663"/>
      <c r="F8" s="204"/>
    </row>
    <row r="9" spans="1:9" ht="18" customHeight="1" thickBot="1" x14ac:dyDescent="0.25">
      <c r="A9" s="208"/>
      <c r="B9" s="204"/>
      <c r="C9" s="204"/>
      <c r="D9" s="206"/>
      <c r="E9" s="206"/>
      <c r="F9" s="204"/>
    </row>
    <row r="10" spans="1:9" ht="18" customHeight="1" x14ac:dyDescent="0.2">
      <c r="A10" s="1151" t="s">
        <v>632</v>
      </c>
      <c r="B10" s="1152"/>
      <c r="C10" s="1152"/>
      <c r="D10" s="1152"/>
      <c r="E10" s="1152"/>
      <c r="F10" s="1153"/>
      <c r="G10" s="150"/>
    </row>
    <row r="11" spans="1:9" ht="25.5" customHeight="1" x14ac:dyDescent="0.2">
      <c r="A11" s="209" t="s">
        <v>370</v>
      </c>
      <c r="B11" s="108" t="s">
        <v>119</v>
      </c>
      <c r="C11" s="108" t="s">
        <v>373</v>
      </c>
      <c r="D11" s="198" t="s">
        <v>384</v>
      </c>
      <c r="E11" s="198" t="s">
        <v>376</v>
      </c>
      <c r="F11" s="121" t="s">
        <v>377</v>
      </c>
      <c r="G11" s="210"/>
    </row>
    <row r="12" spans="1:9" ht="18" customHeight="1" x14ac:dyDescent="0.2">
      <c r="A12" s="57"/>
      <c r="B12" s="58"/>
      <c r="C12" s="664"/>
      <c r="D12" s="56"/>
      <c r="E12" s="56">
        <f>C12*D12</f>
        <v>0</v>
      </c>
      <c r="F12" s="436">
        <f>IFERROR(E12/$B$8,0)</f>
        <v>0</v>
      </c>
      <c r="G12" s="211"/>
    </row>
    <row r="13" spans="1:9" ht="18" customHeight="1" x14ac:dyDescent="0.2">
      <c r="A13" s="57"/>
      <c r="B13" s="58"/>
      <c r="C13" s="665"/>
      <c r="D13" s="56"/>
      <c r="E13" s="56">
        <f t="shared" ref="E13:E48" si="0">C13*D13</f>
        <v>0</v>
      </c>
      <c r="F13" s="436">
        <f t="shared" ref="F13:F59" si="1">IFERROR(E13/$B$8,0)</f>
        <v>0</v>
      </c>
      <c r="G13" s="211"/>
    </row>
    <row r="14" spans="1:9" ht="18" customHeight="1" x14ac:dyDescent="0.2">
      <c r="A14" s="57"/>
      <c r="B14" s="58"/>
      <c r="C14" s="665"/>
      <c r="D14" s="56"/>
      <c r="E14" s="56">
        <f t="shared" ref="E14:E46" si="2">C14*D14</f>
        <v>0</v>
      </c>
      <c r="F14" s="436">
        <f t="shared" ref="F14:F46" si="3">IFERROR(E14/$B$8,0)</f>
        <v>0</v>
      </c>
      <c r="G14" s="211"/>
    </row>
    <row r="15" spans="1:9" ht="18" customHeight="1" x14ac:dyDescent="0.2">
      <c r="A15" s="57"/>
      <c r="B15" s="58"/>
      <c r="C15" s="665"/>
      <c r="D15" s="56"/>
      <c r="E15" s="56">
        <f t="shared" si="2"/>
        <v>0</v>
      </c>
      <c r="F15" s="436">
        <f t="shared" si="3"/>
        <v>0</v>
      </c>
      <c r="G15" s="211"/>
    </row>
    <row r="16" spans="1:9" ht="18" customHeight="1" x14ac:dyDescent="0.2">
      <c r="A16" s="57"/>
      <c r="B16" s="58"/>
      <c r="C16" s="665"/>
      <c r="D16" s="56"/>
      <c r="E16" s="56">
        <f t="shared" si="2"/>
        <v>0</v>
      </c>
      <c r="F16" s="436">
        <f t="shared" si="3"/>
        <v>0</v>
      </c>
      <c r="G16" s="211"/>
    </row>
    <row r="17" spans="1:7" ht="18" customHeight="1" x14ac:dyDescent="0.2">
      <c r="A17" s="57"/>
      <c r="B17" s="58"/>
      <c r="C17" s="665"/>
      <c r="D17" s="56"/>
      <c r="E17" s="56">
        <f t="shared" si="2"/>
        <v>0</v>
      </c>
      <c r="F17" s="436">
        <f t="shared" si="3"/>
        <v>0</v>
      </c>
      <c r="G17" s="211"/>
    </row>
    <row r="18" spans="1:7" ht="18" customHeight="1" x14ac:dyDescent="0.2">
      <c r="A18" s="57"/>
      <c r="B18" s="58"/>
      <c r="C18" s="665"/>
      <c r="D18" s="56"/>
      <c r="E18" s="56">
        <f t="shared" si="2"/>
        <v>0</v>
      </c>
      <c r="F18" s="436">
        <f t="shared" si="3"/>
        <v>0</v>
      </c>
      <c r="G18" s="211"/>
    </row>
    <row r="19" spans="1:7" ht="18" customHeight="1" x14ac:dyDescent="0.2">
      <c r="A19" s="57"/>
      <c r="B19" s="58"/>
      <c r="C19" s="665"/>
      <c r="D19" s="56"/>
      <c r="E19" s="56">
        <f t="shared" si="2"/>
        <v>0</v>
      </c>
      <c r="F19" s="436">
        <f t="shared" si="3"/>
        <v>0</v>
      </c>
      <c r="G19" s="211"/>
    </row>
    <row r="20" spans="1:7" ht="18" customHeight="1" x14ac:dyDescent="0.2">
      <c r="A20" s="57"/>
      <c r="B20" s="58"/>
      <c r="C20" s="665"/>
      <c r="D20" s="56"/>
      <c r="E20" s="56">
        <f t="shared" si="2"/>
        <v>0</v>
      </c>
      <c r="F20" s="436">
        <f t="shared" si="3"/>
        <v>0</v>
      </c>
      <c r="G20" s="211"/>
    </row>
    <row r="21" spans="1:7" ht="18" hidden="1" customHeight="1" x14ac:dyDescent="0.2">
      <c r="A21" s="57"/>
      <c r="B21" s="58"/>
      <c r="C21" s="665"/>
      <c r="D21" s="56"/>
      <c r="E21" s="56">
        <f t="shared" si="2"/>
        <v>0</v>
      </c>
      <c r="F21" s="436">
        <f t="shared" si="3"/>
        <v>0</v>
      </c>
      <c r="G21" s="211"/>
    </row>
    <row r="22" spans="1:7" ht="18" hidden="1" customHeight="1" x14ac:dyDescent="0.2">
      <c r="A22" s="57"/>
      <c r="B22" s="58"/>
      <c r="C22" s="665"/>
      <c r="D22" s="56"/>
      <c r="E22" s="56">
        <f t="shared" si="2"/>
        <v>0</v>
      </c>
      <c r="F22" s="436">
        <f t="shared" si="3"/>
        <v>0</v>
      </c>
      <c r="G22" s="211"/>
    </row>
    <row r="23" spans="1:7" ht="18" hidden="1" customHeight="1" x14ac:dyDescent="0.2">
      <c r="A23" s="57"/>
      <c r="B23" s="58"/>
      <c r="C23" s="665"/>
      <c r="D23" s="56"/>
      <c r="E23" s="56">
        <f t="shared" si="2"/>
        <v>0</v>
      </c>
      <c r="F23" s="436">
        <f t="shared" si="3"/>
        <v>0</v>
      </c>
      <c r="G23" s="211"/>
    </row>
    <row r="24" spans="1:7" ht="18" hidden="1" customHeight="1" x14ac:dyDescent="0.2">
      <c r="A24" s="57"/>
      <c r="B24" s="58"/>
      <c r="C24" s="665"/>
      <c r="D24" s="56"/>
      <c r="E24" s="56">
        <f t="shared" si="2"/>
        <v>0</v>
      </c>
      <c r="F24" s="436">
        <f t="shared" si="3"/>
        <v>0</v>
      </c>
      <c r="G24" s="211"/>
    </row>
    <row r="25" spans="1:7" ht="18" hidden="1" customHeight="1" x14ac:dyDescent="0.2">
      <c r="A25" s="57"/>
      <c r="B25" s="58"/>
      <c r="C25" s="665"/>
      <c r="D25" s="56"/>
      <c r="E25" s="56">
        <f t="shared" si="2"/>
        <v>0</v>
      </c>
      <c r="F25" s="436">
        <f t="shared" si="3"/>
        <v>0</v>
      </c>
      <c r="G25" s="211"/>
    </row>
    <row r="26" spans="1:7" ht="18" hidden="1" customHeight="1" x14ac:dyDescent="0.2">
      <c r="A26" s="57"/>
      <c r="B26" s="58"/>
      <c r="C26" s="665"/>
      <c r="D26" s="56"/>
      <c r="E26" s="56">
        <f t="shared" si="2"/>
        <v>0</v>
      </c>
      <c r="F26" s="436">
        <f t="shared" si="3"/>
        <v>0</v>
      </c>
      <c r="G26" s="211"/>
    </row>
    <row r="27" spans="1:7" ht="18" hidden="1" customHeight="1" x14ac:dyDescent="0.2">
      <c r="A27" s="57"/>
      <c r="B27" s="58"/>
      <c r="C27" s="665"/>
      <c r="D27" s="56"/>
      <c r="E27" s="56">
        <f t="shared" si="2"/>
        <v>0</v>
      </c>
      <c r="F27" s="436">
        <f t="shared" si="3"/>
        <v>0</v>
      </c>
      <c r="G27" s="211"/>
    </row>
    <row r="28" spans="1:7" ht="18" hidden="1" customHeight="1" x14ac:dyDescent="0.2">
      <c r="A28" s="57"/>
      <c r="B28" s="58"/>
      <c r="C28" s="665"/>
      <c r="D28" s="56"/>
      <c r="E28" s="56">
        <f t="shared" si="2"/>
        <v>0</v>
      </c>
      <c r="F28" s="436">
        <f t="shared" si="3"/>
        <v>0</v>
      </c>
      <c r="G28" s="211"/>
    </row>
    <row r="29" spans="1:7" ht="18" hidden="1" customHeight="1" x14ac:dyDescent="0.2">
      <c r="A29" s="57"/>
      <c r="B29" s="58"/>
      <c r="C29" s="665"/>
      <c r="D29" s="56"/>
      <c r="E29" s="56">
        <f t="shared" si="2"/>
        <v>0</v>
      </c>
      <c r="F29" s="436">
        <f t="shared" si="3"/>
        <v>0</v>
      </c>
      <c r="G29" s="211"/>
    </row>
    <row r="30" spans="1:7" ht="18" hidden="1" customHeight="1" x14ac:dyDescent="0.2">
      <c r="A30" s="57"/>
      <c r="B30" s="58"/>
      <c r="C30" s="665"/>
      <c r="D30" s="56"/>
      <c r="E30" s="56">
        <f t="shared" si="2"/>
        <v>0</v>
      </c>
      <c r="F30" s="436">
        <f t="shared" si="3"/>
        <v>0</v>
      </c>
      <c r="G30" s="211"/>
    </row>
    <row r="31" spans="1:7" ht="18" hidden="1" customHeight="1" x14ac:dyDescent="0.2">
      <c r="A31" s="57"/>
      <c r="B31" s="58"/>
      <c r="C31" s="665"/>
      <c r="D31" s="56"/>
      <c r="E31" s="56">
        <f t="shared" si="2"/>
        <v>0</v>
      </c>
      <c r="F31" s="436">
        <f t="shared" si="3"/>
        <v>0</v>
      </c>
      <c r="G31" s="211"/>
    </row>
    <row r="32" spans="1:7" ht="18" hidden="1" customHeight="1" x14ac:dyDescent="0.2">
      <c r="A32" s="57"/>
      <c r="B32" s="58"/>
      <c r="C32" s="665"/>
      <c r="D32" s="56"/>
      <c r="E32" s="56">
        <f t="shared" si="2"/>
        <v>0</v>
      </c>
      <c r="F32" s="436">
        <f t="shared" si="3"/>
        <v>0</v>
      </c>
      <c r="G32" s="211"/>
    </row>
    <row r="33" spans="1:7" ht="18" hidden="1" customHeight="1" x14ac:dyDescent="0.2">
      <c r="A33" s="57"/>
      <c r="B33" s="58"/>
      <c r="C33" s="665"/>
      <c r="D33" s="56"/>
      <c r="E33" s="56">
        <f t="shared" si="2"/>
        <v>0</v>
      </c>
      <c r="F33" s="436">
        <f t="shared" si="3"/>
        <v>0</v>
      </c>
      <c r="G33" s="211"/>
    </row>
    <row r="34" spans="1:7" ht="18" hidden="1" customHeight="1" x14ac:dyDescent="0.2">
      <c r="A34" s="57"/>
      <c r="B34" s="58"/>
      <c r="C34" s="665"/>
      <c r="D34" s="56"/>
      <c r="E34" s="56">
        <f t="shared" si="2"/>
        <v>0</v>
      </c>
      <c r="F34" s="436">
        <f t="shared" si="3"/>
        <v>0</v>
      </c>
      <c r="G34" s="211"/>
    </row>
    <row r="35" spans="1:7" ht="18" hidden="1" customHeight="1" x14ac:dyDescent="0.2">
      <c r="A35" s="57"/>
      <c r="B35" s="58"/>
      <c r="C35" s="665"/>
      <c r="D35" s="56"/>
      <c r="E35" s="56">
        <f t="shared" si="2"/>
        <v>0</v>
      </c>
      <c r="F35" s="436">
        <f t="shared" si="3"/>
        <v>0</v>
      </c>
      <c r="G35" s="211"/>
    </row>
    <row r="36" spans="1:7" ht="18" hidden="1" customHeight="1" x14ac:dyDescent="0.2">
      <c r="A36" s="57"/>
      <c r="B36" s="58"/>
      <c r="C36" s="665"/>
      <c r="D36" s="56"/>
      <c r="E36" s="56">
        <f t="shared" si="2"/>
        <v>0</v>
      </c>
      <c r="F36" s="436">
        <f t="shared" si="3"/>
        <v>0</v>
      </c>
      <c r="G36" s="211"/>
    </row>
    <row r="37" spans="1:7" ht="18" hidden="1" customHeight="1" x14ac:dyDescent="0.2">
      <c r="A37" s="57"/>
      <c r="B37" s="58"/>
      <c r="C37" s="665"/>
      <c r="D37" s="56"/>
      <c r="E37" s="56">
        <f t="shared" si="2"/>
        <v>0</v>
      </c>
      <c r="F37" s="436">
        <f t="shared" si="3"/>
        <v>0</v>
      </c>
      <c r="G37" s="211"/>
    </row>
    <row r="38" spans="1:7" ht="18" hidden="1" customHeight="1" x14ac:dyDescent="0.2">
      <c r="A38" s="57"/>
      <c r="B38" s="58"/>
      <c r="C38" s="665"/>
      <c r="D38" s="56"/>
      <c r="E38" s="56">
        <f t="shared" si="2"/>
        <v>0</v>
      </c>
      <c r="F38" s="436">
        <f t="shared" si="3"/>
        <v>0</v>
      </c>
      <c r="G38" s="211"/>
    </row>
    <row r="39" spans="1:7" ht="18" hidden="1" customHeight="1" x14ac:dyDescent="0.2">
      <c r="A39" s="57"/>
      <c r="B39" s="58"/>
      <c r="C39" s="665"/>
      <c r="D39" s="56"/>
      <c r="E39" s="56">
        <f t="shared" si="2"/>
        <v>0</v>
      </c>
      <c r="F39" s="436">
        <f t="shared" si="3"/>
        <v>0</v>
      </c>
      <c r="G39" s="211"/>
    </row>
    <row r="40" spans="1:7" ht="18" hidden="1" customHeight="1" x14ac:dyDescent="0.2">
      <c r="A40" s="57"/>
      <c r="B40" s="58"/>
      <c r="C40" s="665"/>
      <c r="D40" s="56"/>
      <c r="E40" s="56">
        <f t="shared" si="2"/>
        <v>0</v>
      </c>
      <c r="F40" s="436">
        <f t="shared" si="3"/>
        <v>0</v>
      </c>
      <c r="G40" s="211"/>
    </row>
    <row r="41" spans="1:7" ht="18" hidden="1" customHeight="1" x14ac:dyDescent="0.2">
      <c r="A41" s="57"/>
      <c r="B41" s="58"/>
      <c r="C41" s="665"/>
      <c r="D41" s="56"/>
      <c r="E41" s="56">
        <f t="shared" si="2"/>
        <v>0</v>
      </c>
      <c r="F41" s="436">
        <f t="shared" si="3"/>
        <v>0</v>
      </c>
      <c r="G41" s="211"/>
    </row>
    <row r="42" spans="1:7" ht="18" hidden="1" customHeight="1" x14ac:dyDescent="0.2">
      <c r="A42" s="57"/>
      <c r="B42" s="58"/>
      <c r="C42" s="665"/>
      <c r="D42" s="56"/>
      <c r="E42" s="56">
        <f t="shared" si="2"/>
        <v>0</v>
      </c>
      <c r="F42" s="436">
        <f t="shared" si="3"/>
        <v>0</v>
      </c>
      <c r="G42" s="211"/>
    </row>
    <row r="43" spans="1:7" ht="18" hidden="1" customHeight="1" x14ac:dyDescent="0.2">
      <c r="A43" s="57"/>
      <c r="B43" s="58"/>
      <c r="C43" s="665"/>
      <c r="D43" s="56"/>
      <c r="E43" s="56">
        <f t="shared" si="2"/>
        <v>0</v>
      </c>
      <c r="F43" s="436">
        <f t="shared" si="3"/>
        <v>0</v>
      </c>
      <c r="G43" s="211"/>
    </row>
    <row r="44" spans="1:7" ht="18" hidden="1" customHeight="1" x14ac:dyDescent="0.2">
      <c r="A44" s="57"/>
      <c r="B44" s="58"/>
      <c r="C44" s="665"/>
      <c r="D44" s="56"/>
      <c r="E44" s="56">
        <f t="shared" si="2"/>
        <v>0</v>
      </c>
      <c r="F44" s="436">
        <f t="shared" si="3"/>
        <v>0</v>
      </c>
      <c r="G44" s="211"/>
    </row>
    <row r="45" spans="1:7" ht="18" hidden="1" customHeight="1" x14ac:dyDescent="0.2">
      <c r="A45" s="57"/>
      <c r="B45" s="58"/>
      <c r="C45" s="665"/>
      <c r="D45" s="56"/>
      <c r="E45" s="56">
        <f t="shared" si="2"/>
        <v>0</v>
      </c>
      <c r="F45" s="436">
        <f t="shared" si="3"/>
        <v>0</v>
      </c>
      <c r="G45" s="211"/>
    </row>
    <row r="46" spans="1:7" ht="18" hidden="1" customHeight="1" x14ac:dyDescent="0.2">
      <c r="A46" s="57"/>
      <c r="B46" s="58"/>
      <c r="C46" s="665"/>
      <c r="D46" s="56"/>
      <c r="E46" s="56">
        <f t="shared" si="2"/>
        <v>0</v>
      </c>
      <c r="F46" s="436">
        <f t="shared" si="3"/>
        <v>0</v>
      </c>
      <c r="G46" s="211"/>
    </row>
    <row r="47" spans="1:7" ht="18" hidden="1" customHeight="1" x14ac:dyDescent="0.2">
      <c r="A47" s="57"/>
      <c r="B47" s="58"/>
      <c r="C47" s="59"/>
      <c r="D47" s="56"/>
      <c r="E47" s="56">
        <f t="shared" si="0"/>
        <v>0</v>
      </c>
      <c r="F47" s="436">
        <f t="shared" si="1"/>
        <v>0</v>
      </c>
      <c r="G47" s="211"/>
    </row>
    <row r="48" spans="1:7" ht="18" hidden="1" customHeight="1" x14ac:dyDescent="0.2">
      <c r="A48" s="57"/>
      <c r="B48" s="58"/>
      <c r="C48" s="59"/>
      <c r="D48" s="56"/>
      <c r="E48" s="56">
        <f t="shared" si="0"/>
        <v>0</v>
      </c>
      <c r="F48" s="436">
        <f t="shared" si="1"/>
        <v>0</v>
      </c>
      <c r="G48" s="211"/>
    </row>
    <row r="49" spans="1:8" ht="18" hidden="1" customHeight="1" x14ac:dyDescent="0.2">
      <c r="A49" s="57"/>
      <c r="B49" s="58"/>
      <c r="C49" s="59"/>
      <c r="D49" s="56"/>
      <c r="E49" s="56">
        <f>C49*D49</f>
        <v>0</v>
      </c>
      <c r="F49" s="436">
        <f t="shared" si="1"/>
        <v>0</v>
      </c>
      <c r="G49" s="211"/>
    </row>
    <row r="50" spans="1:8" ht="18" hidden="1" customHeight="1" x14ac:dyDescent="0.2">
      <c r="A50" s="57"/>
      <c r="B50" s="58"/>
      <c r="C50" s="59"/>
      <c r="D50" s="56"/>
      <c r="E50" s="56">
        <f t="shared" ref="E50:E59" si="4">C50*D50</f>
        <v>0</v>
      </c>
      <c r="F50" s="436">
        <f t="shared" si="1"/>
        <v>0</v>
      </c>
      <c r="G50" s="211"/>
    </row>
    <row r="51" spans="1:8" ht="18" hidden="1" customHeight="1" x14ac:dyDescent="0.2">
      <c r="A51" s="57"/>
      <c r="B51" s="58"/>
      <c r="C51" s="59"/>
      <c r="D51" s="56"/>
      <c r="E51" s="56">
        <f t="shared" si="4"/>
        <v>0</v>
      </c>
      <c r="F51" s="436">
        <f t="shared" si="1"/>
        <v>0</v>
      </c>
      <c r="G51" s="211"/>
    </row>
    <row r="52" spans="1:8" ht="18" hidden="1" customHeight="1" x14ac:dyDescent="0.2">
      <c r="A52" s="57"/>
      <c r="B52" s="58"/>
      <c r="C52" s="59"/>
      <c r="D52" s="56"/>
      <c r="E52" s="56">
        <f t="shared" si="4"/>
        <v>0</v>
      </c>
      <c r="F52" s="436">
        <f t="shared" si="1"/>
        <v>0</v>
      </c>
      <c r="G52" s="211"/>
    </row>
    <row r="53" spans="1:8" ht="18" hidden="1" customHeight="1" x14ac:dyDescent="0.2">
      <c r="A53" s="57"/>
      <c r="B53" s="58"/>
      <c r="C53" s="59"/>
      <c r="D53" s="56"/>
      <c r="E53" s="56">
        <f t="shared" si="4"/>
        <v>0</v>
      </c>
      <c r="F53" s="436">
        <f t="shared" si="1"/>
        <v>0</v>
      </c>
      <c r="G53" s="211"/>
    </row>
    <row r="54" spans="1:8" ht="18" hidden="1" customHeight="1" x14ac:dyDescent="0.2">
      <c r="A54" s="50"/>
      <c r="B54" s="49"/>
      <c r="C54" s="59"/>
      <c r="D54" s="40"/>
      <c r="E54" s="56">
        <f t="shared" si="4"/>
        <v>0</v>
      </c>
      <c r="F54" s="436">
        <f t="shared" si="1"/>
        <v>0</v>
      </c>
      <c r="G54" s="211"/>
    </row>
    <row r="55" spans="1:8" ht="18" hidden="1" customHeight="1" x14ac:dyDescent="0.2">
      <c r="A55" s="50"/>
      <c r="B55" s="49"/>
      <c r="C55" s="59"/>
      <c r="D55" s="40"/>
      <c r="E55" s="56">
        <f t="shared" si="4"/>
        <v>0</v>
      </c>
      <c r="F55" s="436">
        <f t="shared" si="1"/>
        <v>0</v>
      </c>
      <c r="G55" s="211"/>
    </row>
    <row r="56" spans="1:8" ht="18" hidden="1" customHeight="1" x14ac:dyDescent="0.2">
      <c r="A56" s="50"/>
      <c r="B56" s="49"/>
      <c r="C56" s="59"/>
      <c r="D56" s="40"/>
      <c r="E56" s="56">
        <f t="shared" si="4"/>
        <v>0</v>
      </c>
      <c r="F56" s="436">
        <f t="shared" si="1"/>
        <v>0</v>
      </c>
      <c r="G56" s="211"/>
    </row>
    <row r="57" spans="1:8" ht="18" hidden="1" customHeight="1" x14ac:dyDescent="0.2">
      <c r="A57" s="50"/>
      <c r="B57" s="49"/>
      <c r="C57" s="59"/>
      <c r="D57" s="40"/>
      <c r="E57" s="56">
        <f t="shared" si="4"/>
        <v>0</v>
      </c>
      <c r="F57" s="436">
        <f t="shared" si="1"/>
        <v>0</v>
      </c>
      <c r="G57" s="211"/>
    </row>
    <row r="58" spans="1:8" ht="18" hidden="1" customHeight="1" x14ac:dyDescent="0.2">
      <c r="A58" s="50"/>
      <c r="B58" s="49"/>
      <c r="C58" s="59"/>
      <c r="D58" s="40"/>
      <c r="E58" s="56">
        <f t="shared" si="4"/>
        <v>0</v>
      </c>
      <c r="F58" s="436">
        <f t="shared" si="1"/>
        <v>0</v>
      </c>
      <c r="G58" s="211"/>
    </row>
    <row r="59" spans="1:8" ht="18" hidden="1" customHeight="1" x14ac:dyDescent="0.2">
      <c r="A59" s="50"/>
      <c r="B59" s="49"/>
      <c r="C59" s="59"/>
      <c r="D59" s="40"/>
      <c r="E59" s="56">
        <f t="shared" si="4"/>
        <v>0</v>
      </c>
      <c r="F59" s="436">
        <f t="shared" si="1"/>
        <v>0</v>
      </c>
      <c r="G59" s="211"/>
    </row>
    <row r="60" spans="1:8" ht="18" customHeight="1" thickBot="1" x14ac:dyDescent="0.25">
      <c r="A60" s="1390" t="s">
        <v>633</v>
      </c>
      <c r="B60" s="1391"/>
      <c r="C60" s="1391"/>
      <c r="D60" s="1391"/>
      <c r="E60" s="112">
        <f>SUM(E12:E59)</f>
        <v>0</v>
      </c>
      <c r="F60" s="437">
        <f>SUM(F12:F59)</f>
        <v>0</v>
      </c>
      <c r="G60" s="212"/>
    </row>
    <row r="61" spans="1:8" s="204" customFormat="1" ht="18" customHeight="1" thickBot="1" x14ac:dyDescent="0.25">
      <c r="A61" s="343"/>
      <c r="B61" s="343"/>
      <c r="C61" s="343"/>
      <c r="D61" s="343"/>
      <c r="E61" s="137"/>
      <c r="F61" s="344"/>
      <c r="G61" s="212"/>
    </row>
    <row r="62" spans="1:8" s="204" customFormat="1" ht="18" customHeight="1" thickBot="1" x14ac:dyDescent="0.25">
      <c r="A62" s="1404" t="s">
        <v>634</v>
      </c>
      <c r="B62" s="1405"/>
      <c r="C62" s="1405"/>
      <c r="D62" s="1405"/>
      <c r="E62" s="1405"/>
      <c r="F62" s="1406"/>
      <c r="G62" s="212"/>
    </row>
    <row r="63" spans="1:8" ht="18" customHeight="1" x14ac:dyDescent="0.2">
      <c r="A63" s="1407" t="s">
        <v>635</v>
      </c>
      <c r="B63" s="1408"/>
      <c r="C63" s="1408"/>
      <c r="D63" s="1409"/>
      <c r="E63" s="340">
        <f>B8</f>
        <v>0</v>
      </c>
      <c r="G63" s="205"/>
      <c r="H63" s="205"/>
    </row>
    <row r="64" spans="1:8" ht="18" customHeight="1" x14ac:dyDescent="0.2">
      <c r="A64" s="1410" t="s">
        <v>636</v>
      </c>
      <c r="B64" s="1411"/>
      <c r="C64" s="1412"/>
      <c r="D64" s="146">
        <f>F60</f>
        <v>0</v>
      </c>
      <c r="E64" s="115">
        <f>D64*E63</f>
        <v>0</v>
      </c>
      <c r="G64" s="205"/>
      <c r="H64" s="205"/>
    </row>
    <row r="65" spans="1:8" ht="18" customHeight="1" x14ac:dyDescent="0.2">
      <c r="A65" s="1410" t="s">
        <v>392</v>
      </c>
      <c r="B65" s="1411"/>
      <c r="C65" s="1412"/>
      <c r="D65" s="146">
        <v>0</v>
      </c>
      <c r="E65" s="115">
        <f>E63*D65</f>
        <v>0</v>
      </c>
      <c r="G65" s="205"/>
      <c r="H65" s="205"/>
    </row>
    <row r="66" spans="1:8" ht="18" customHeight="1" x14ac:dyDescent="0.2">
      <c r="A66" s="1410" t="s">
        <v>385</v>
      </c>
      <c r="B66" s="1411"/>
      <c r="C66" s="1412"/>
      <c r="D66" s="146">
        <v>0</v>
      </c>
      <c r="E66" s="115">
        <f>(E63+E64+E65)*D66</f>
        <v>0</v>
      </c>
      <c r="F66" s="378" t="s">
        <v>393</v>
      </c>
      <c r="G66" s="205"/>
      <c r="H66" s="205"/>
    </row>
    <row r="67" spans="1:8" ht="18" customHeight="1" thickBot="1" x14ac:dyDescent="0.25">
      <c r="A67" s="1413" t="s">
        <v>394</v>
      </c>
      <c r="B67" s="1414"/>
      <c r="C67" s="1414"/>
      <c r="D67" s="1415"/>
      <c r="E67" s="116">
        <f>SUM(E63:E66)</f>
        <v>0</v>
      </c>
      <c r="G67" s="205"/>
      <c r="H67" s="205"/>
    </row>
    <row r="68" spans="1:8" ht="18" customHeight="1" thickBot="1" x14ac:dyDescent="0.25">
      <c r="A68" s="204"/>
      <c r="B68" s="204"/>
      <c r="C68" s="204"/>
      <c r="D68" s="206"/>
      <c r="E68" s="206"/>
      <c r="F68" s="204"/>
    </row>
    <row r="69" spans="1:8" ht="27.75" customHeight="1" thickBot="1" x14ac:dyDescent="0.25">
      <c r="A69" s="1401" t="s">
        <v>637</v>
      </c>
      <c r="B69" s="1402"/>
      <c r="C69" s="1402"/>
      <c r="D69" s="1403"/>
      <c r="E69" s="346">
        <f>E64+E65+E66</f>
        <v>0</v>
      </c>
      <c r="F69" s="345">
        <f>IFERROR(E69/E63,0)</f>
        <v>0</v>
      </c>
    </row>
    <row r="70" spans="1:8" ht="18" customHeight="1" x14ac:dyDescent="0.2">
      <c r="A70" s="204"/>
      <c r="B70" s="204"/>
      <c r="C70" s="204"/>
      <c r="D70" s="206"/>
      <c r="E70" s="206"/>
      <c r="F70" s="204"/>
    </row>
    <row r="71" spans="1:8" ht="18" customHeight="1" x14ac:dyDescent="0.2">
      <c r="A71" s="204"/>
      <c r="B71" s="204"/>
      <c r="C71" s="204"/>
      <c r="D71" s="206"/>
      <c r="E71" s="206"/>
      <c r="F71" s="204"/>
    </row>
    <row r="72" spans="1:8" ht="18" customHeight="1" x14ac:dyDescent="0.2">
      <c r="A72" s="204"/>
      <c r="B72" s="204"/>
      <c r="C72" s="204"/>
      <c r="D72" s="206"/>
      <c r="E72" s="206"/>
      <c r="F72" s="204"/>
    </row>
    <row r="73" spans="1:8" ht="18" customHeight="1" x14ac:dyDescent="0.2">
      <c r="A73" s="204"/>
      <c r="B73" s="204"/>
      <c r="C73" s="204"/>
      <c r="D73" s="206"/>
      <c r="E73" s="206"/>
      <c r="F73" s="204"/>
    </row>
    <row r="74" spans="1:8" ht="18" customHeight="1" x14ac:dyDescent="0.2">
      <c r="A74" s="204"/>
      <c r="B74" s="204"/>
      <c r="C74" s="204"/>
      <c r="D74" s="206"/>
      <c r="E74" s="206"/>
      <c r="F74" s="204"/>
    </row>
    <row r="75" spans="1:8" ht="18" customHeight="1" x14ac:dyDescent="0.2">
      <c r="A75" s="204"/>
      <c r="B75" s="204"/>
      <c r="C75" s="204"/>
      <c r="D75" s="206"/>
      <c r="E75" s="206"/>
      <c r="F75" s="204"/>
    </row>
    <row r="76" spans="1:8" ht="18" customHeight="1" x14ac:dyDescent="0.2">
      <c r="A76" s="204"/>
      <c r="B76" s="204"/>
      <c r="C76" s="204"/>
      <c r="D76" s="206"/>
      <c r="E76" s="206"/>
      <c r="F76" s="204"/>
    </row>
    <row r="77" spans="1:8" ht="18" customHeight="1" x14ac:dyDescent="0.2">
      <c r="A77" s="204"/>
      <c r="B77" s="204"/>
      <c r="C77" s="204"/>
      <c r="D77" s="206"/>
      <c r="E77" s="206"/>
      <c r="F77" s="204"/>
    </row>
    <row r="78" spans="1:8" ht="18" customHeight="1" x14ac:dyDescent="0.2">
      <c r="A78" s="204"/>
      <c r="B78" s="204"/>
      <c r="C78" s="204"/>
      <c r="D78" s="206"/>
      <c r="E78" s="206"/>
      <c r="F78" s="204"/>
    </row>
    <row r="79" spans="1:8" ht="18" customHeight="1" x14ac:dyDescent="0.2">
      <c r="A79" s="204"/>
      <c r="B79" s="204"/>
      <c r="C79" s="204"/>
      <c r="D79" s="206"/>
      <c r="E79" s="206"/>
      <c r="F79" s="204"/>
    </row>
    <row r="80" spans="1:8" ht="18" customHeight="1" x14ac:dyDescent="0.2">
      <c r="A80" s="204"/>
      <c r="B80" s="204"/>
      <c r="C80" s="204"/>
      <c r="D80" s="206"/>
      <c r="E80" s="206"/>
      <c r="F80" s="204"/>
    </row>
    <row r="81" spans="1:6" ht="18" customHeight="1" x14ac:dyDescent="0.2">
      <c r="A81" s="204"/>
      <c r="B81" s="204"/>
      <c r="C81" s="204"/>
      <c r="D81" s="206"/>
      <c r="E81" s="206"/>
      <c r="F81" s="204"/>
    </row>
    <row r="82" spans="1:6" ht="18" customHeight="1" x14ac:dyDescent="0.2">
      <c r="A82" s="204"/>
      <c r="B82" s="204"/>
      <c r="C82" s="204"/>
      <c r="D82" s="206"/>
      <c r="E82" s="206"/>
      <c r="F82" s="204"/>
    </row>
    <row r="83" spans="1:6" ht="18" customHeight="1" x14ac:dyDescent="0.2">
      <c r="A83" s="204"/>
      <c r="B83" s="204"/>
      <c r="C83" s="204"/>
      <c r="D83" s="206"/>
      <c r="E83" s="206"/>
      <c r="F83" s="204"/>
    </row>
    <row r="84" spans="1:6" ht="18" customHeight="1" x14ac:dyDescent="0.2">
      <c r="A84" s="204"/>
      <c r="B84" s="204"/>
      <c r="C84" s="204"/>
      <c r="D84" s="206"/>
      <c r="E84" s="206"/>
      <c r="F84" s="204"/>
    </row>
    <row r="85" spans="1:6" ht="18" customHeight="1" x14ac:dyDescent="0.2">
      <c r="A85" s="204"/>
      <c r="B85" s="204"/>
      <c r="C85" s="204"/>
      <c r="D85" s="206"/>
      <c r="E85" s="206"/>
      <c r="F85" s="204"/>
    </row>
    <row r="86" spans="1:6" ht="18" customHeight="1" x14ac:dyDescent="0.2">
      <c r="A86" s="204"/>
      <c r="B86" s="204"/>
      <c r="C86" s="204"/>
      <c r="D86" s="206"/>
      <c r="E86" s="206"/>
      <c r="F86" s="204"/>
    </row>
    <row r="87" spans="1:6" ht="18" customHeight="1" x14ac:dyDescent="0.2">
      <c r="A87" s="204"/>
      <c r="B87" s="204"/>
      <c r="C87" s="204"/>
      <c r="D87" s="206"/>
      <c r="E87" s="206"/>
      <c r="F87" s="204"/>
    </row>
    <row r="88" spans="1:6" ht="18" customHeight="1" x14ac:dyDescent="0.2">
      <c r="A88" s="204"/>
      <c r="B88" s="204"/>
      <c r="C88" s="204"/>
      <c r="D88" s="206"/>
      <c r="E88" s="206"/>
      <c r="F88" s="204"/>
    </row>
    <row r="89" spans="1:6" ht="18" customHeight="1" x14ac:dyDescent="0.2">
      <c r="A89" s="204"/>
      <c r="B89" s="204"/>
      <c r="C89" s="204"/>
      <c r="D89" s="206"/>
      <c r="E89" s="206"/>
      <c r="F89" s="204"/>
    </row>
    <row r="90" spans="1:6" ht="18" customHeight="1" x14ac:dyDescent="0.2">
      <c r="A90" s="204"/>
      <c r="B90" s="204"/>
      <c r="C90" s="204"/>
      <c r="D90" s="206"/>
      <c r="E90" s="206"/>
      <c r="F90" s="204"/>
    </row>
    <row r="91" spans="1:6" ht="18" customHeight="1" x14ac:dyDescent="0.2">
      <c r="A91" s="204"/>
      <c r="B91" s="204"/>
      <c r="C91" s="204"/>
      <c r="D91" s="206"/>
      <c r="E91" s="206"/>
      <c r="F91" s="204"/>
    </row>
    <row r="92" spans="1:6" ht="18" customHeight="1" x14ac:dyDescent="0.2">
      <c r="A92" s="204"/>
      <c r="B92" s="204"/>
      <c r="C92" s="204"/>
      <c r="D92" s="206"/>
      <c r="E92" s="206"/>
      <c r="F92" s="204"/>
    </row>
    <row r="93" spans="1:6" ht="18" customHeight="1" x14ac:dyDescent="0.2">
      <c r="A93" s="204"/>
      <c r="B93" s="204"/>
      <c r="C93" s="204"/>
      <c r="D93" s="206"/>
      <c r="E93" s="206"/>
      <c r="F93" s="204"/>
    </row>
    <row r="94" spans="1:6" ht="18" customHeight="1" x14ac:dyDescent="0.2">
      <c r="A94" s="204"/>
      <c r="B94" s="204"/>
      <c r="C94" s="204"/>
      <c r="D94" s="206"/>
      <c r="E94" s="206"/>
      <c r="F94" s="204"/>
    </row>
    <row r="95" spans="1:6" ht="18" customHeight="1" x14ac:dyDescent="0.2">
      <c r="A95" s="204"/>
      <c r="B95" s="204"/>
      <c r="C95" s="204"/>
      <c r="D95" s="206"/>
      <c r="E95" s="206"/>
      <c r="F95" s="204"/>
    </row>
    <row r="96" spans="1:6" ht="18" customHeight="1" x14ac:dyDescent="0.2">
      <c r="A96" s="204"/>
      <c r="B96" s="204"/>
      <c r="C96" s="204"/>
      <c r="D96" s="206"/>
      <c r="E96" s="206"/>
      <c r="F96" s="204"/>
    </row>
    <row r="97" spans="1:6" ht="18" customHeight="1" x14ac:dyDescent="0.2">
      <c r="A97" s="204"/>
      <c r="B97" s="204"/>
      <c r="C97" s="204"/>
      <c r="D97" s="206"/>
      <c r="E97" s="206"/>
      <c r="F97" s="204"/>
    </row>
    <row r="98" spans="1:6" ht="18" customHeight="1" x14ac:dyDescent="0.2">
      <c r="A98" s="204"/>
      <c r="B98" s="204"/>
      <c r="C98" s="204"/>
      <c r="D98" s="206"/>
      <c r="E98" s="206"/>
      <c r="F98" s="204"/>
    </row>
    <row r="99" spans="1:6" ht="18" customHeight="1" x14ac:dyDescent="0.2">
      <c r="A99" s="204"/>
      <c r="B99" s="204"/>
      <c r="C99" s="204"/>
      <c r="D99" s="206"/>
      <c r="E99" s="206"/>
      <c r="F99" s="204"/>
    </row>
    <row r="100" spans="1:6" ht="18" customHeight="1" x14ac:dyDescent="0.2">
      <c r="A100" s="204"/>
      <c r="B100" s="204"/>
      <c r="C100" s="204"/>
      <c r="D100" s="206"/>
      <c r="E100" s="206"/>
      <c r="F100" s="204"/>
    </row>
    <row r="101" spans="1:6" ht="18" customHeight="1" x14ac:dyDescent="0.2">
      <c r="A101" s="204"/>
      <c r="B101" s="204"/>
      <c r="C101" s="204"/>
      <c r="D101" s="206"/>
      <c r="E101" s="206"/>
      <c r="F101" s="204"/>
    </row>
    <row r="102" spans="1:6" ht="18" customHeight="1" x14ac:dyDescent="0.2">
      <c r="A102" s="204"/>
      <c r="B102" s="204"/>
      <c r="C102" s="204"/>
      <c r="D102" s="206"/>
      <c r="E102" s="206"/>
      <c r="F102" s="204"/>
    </row>
    <row r="103" spans="1:6" ht="18" customHeight="1" x14ac:dyDescent="0.2">
      <c r="A103" s="204"/>
      <c r="B103" s="204"/>
      <c r="C103" s="204"/>
      <c r="D103" s="206"/>
      <c r="E103" s="206"/>
      <c r="F103" s="204"/>
    </row>
    <row r="104" spans="1:6" ht="18" customHeight="1" x14ac:dyDescent="0.2">
      <c r="A104" s="204"/>
      <c r="B104" s="204"/>
      <c r="C104" s="204"/>
      <c r="D104" s="206"/>
      <c r="E104" s="206"/>
      <c r="F104" s="204"/>
    </row>
    <row r="105" spans="1:6" ht="18" customHeight="1" x14ac:dyDescent="0.2">
      <c r="A105" s="204"/>
      <c r="B105" s="204"/>
      <c r="C105" s="204"/>
      <c r="D105" s="206"/>
      <c r="E105" s="206"/>
      <c r="F105" s="204"/>
    </row>
    <row r="106" spans="1:6" ht="18" customHeight="1" x14ac:dyDescent="0.2">
      <c r="A106" s="204"/>
      <c r="B106" s="204"/>
      <c r="C106" s="204"/>
      <c r="D106" s="206"/>
      <c r="E106" s="206"/>
      <c r="F106" s="204"/>
    </row>
    <row r="107" spans="1:6" ht="18" customHeight="1" x14ac:dyDescent="0.2">
      <c r="A107" s="204"/>
      <c r="B107" s="204"/>
      <c r="C107" s="204"/>
      <c r="D107" s="206"/>
      <c r="E107" s="206"/>
      <c r="F107" s="204"/>
    </row>
    <row r="108" spans="1:6" ht="18" customHeight="1" x14ac:dyDescent="0.2">
      <c r="A108" s="204"/>
      <c r="B108" s="204"/>
      <c r="C108" s="204"/>
      <c r="D108" s="206"/>
      <c r="E108" s="206"/>
      <c r="F108" s="204"/>
    </row>
    <row r="109" spans="1:6" ht="18" customHeight="1" x14ac:dyDescent="0.2">
      <c r="A109" s="204"/>
      <c r="B109" s="204"/>
      <c r="C109" s="204"/>
      <c r="D109" s="206"/>
      <c r="E109" s="206"/>
      <c r="F109" s="204"/>
    </row>
    <row r="110" spans="1:6" ht="18" customHeight="1" x14ac:dyDescent="0.2">
      <c r="A110" s="204"/>
      <c r="B110" s="204"/>
      <c r="C110" s="204"/>
      <c r="D110" s="206"/>
      <c r="E110" s="206"/>
      <c r="F110" s="204"/>
    </row>
    <row r="111" spans="1:6" ht="18" customHeight="1" x14ac:dyDescent="0.2">
      <c r="A111" s="204"/>
      <c r="B111" s="204"/>
      <c r="C111" s="204"/>
      <c r="D111" s="206"/>
      <c r="E111" s="206"/>
      <c r="F111" s="204"/>
    </row>
    <row r="112" spans="1:6" ht="18" customHeight="1" x14ac:dyDescent="0.2">
      <c r="A112" s="204"/>
      <c r="B112" s="204"/>
      <c r="C112" s="204"/>
      <c r="D112" s="206"/>
      <c r="E112" s="206"/>
      <c r="F112" s="204"/>
    </row>
    <row r="113" spans="1:6" ht="18" customHeight="1" x14ac:dyDescent="0.2">
      <c r="A113" s="204"/>
      <c r="B113" s="204"/>
      <c r="C113" s="204"/>
      <c r="D113" s="206"/>
      <c r="E113" s="206"/>
      <c r="F113" s="204"/>
    </row>
    <row r="114" spans="1:6" ht="18" customHeight="1" x14ac:dyDescent="0.2">
      <c r="A114" s="204"/>
      <c r="B114" s="204"/>
      <c r="C114" s="204"/>
      <c r="D114" s="206"/>
      <c r="E114" s="206"/>
      <c r="F114" s="204"/>
    </row>
    <row r="115" spans="1:6" ht="18" customHeight="1" x14ac:dyDescent="0.2">
      <c r="A115" s="204"/>
      <c r="B115" s="204"/>
      <c r="C115" s="204"/>
      <c r="D115" s="206"/>
      <c r="E115" s="206"/>
      <c r="F115" s="204"/>
    </row>
    <row r="116" spans="1:6" ht="18" customHeight="1" x14ac:dyDescent="0.2">
      <c r="A116" s="204"/>
      <c r="B116" s="204"/>
      <c r="C116" s="204"/>
      <c r="D116" s="206"/>
      <c r="E116" s="206"/>
      <c r="F116" s="204"/>
    </row>
    <row r="117" spans="1:6" ht="18" customHeight="1" x14ac:dyDescent="0.2">
      <c r="A117" s="204"/>
      <c r="B117" s="204"/>
      <c r="C117" s="204"/>
      <c r="D117" s="206"/>
      <c r="E117" s="206"/>
      <c r="F117" s="204"/>
    </row>
    <row r="118" spans="1:6" ht="18" customHeight="1" x14ac:dyDescent="0.2">
      <c r="A118" s="204"/>
      <c r="B118" s="204"/>
      <c r="C118" s="204"/>
      <c r="D118" s="206"/>
      <c r="E118" s="206"/>
      <c r="F118" s="204"/>
    </row>
    <row r="119" spans="1:6" ht="18" customHeight="1" x14ac:dyDescent="0.2">
      <c r="A119" s="204"/>
      <c r="B119" s="204"/>
      <c r="C119" s="204"/>
      <c r="D119" s="206"/>
      <c r="E119" s="206"/>
      <c r="F119" s="204"/>
    </row>
    <row r="120" spans="1:6" ht="18" customHeight="1" x14ac:dyDescent="0.2">
      <c r="A120" s="204"/>
      <c r="B120" s="204"/>
      <c r="C120" s="204"/>
      <c r="D120" s="206"/>
      <c r="E120" s="206"/>
      <c r="F120" s="204"/>
    </row>
    <row r="121" spans="1:6" ht="18" customHeight="1" x14ac:dyDescent="0.2">
      <c r="A121" s="204"/>
      <c r="B121" s="204"/>
      <c r="C121" s="204"/>
      <c r="D121" s="206"/>
      <c r="E121" s="206"/>
      <c r="F121" s="204"/>
    </row>
    <row r="122" spans="1:6" ht="18" customHeight="1" x14ac:dyDescent="0.2">
      <c r="A122" s="204"/>
      <c r="B122" s="204"/>
      <c r="C122" s="204"/>
      <c r="D122" s="206"/>
      <c r="E122" s="206"/>
      <c r="F122" s="204"/>
    </row>
    <row r="123" spans="1:6" ht="18" customHeight="1" x14ac:dyDescent="0.2">
      <c r="A123" s="204"/>
      <c r="B123" s="204"/>
      <c r="C123" s="204"/>
      <c r="D123" s="206"/>
      <c r="E123" s="206"/>
      <c r="F123" s="204"/>
    </row>
    <row r="124" spans="1:6" ht="18" customHeight="1" x14ac:dyDescent="0.2">
      <c r="A124" s="204"/>
      <c r="B124" s="204"/>
      <c r="C124" s="204"/>
      <c r="D124" s="206"/>
      <c r="E124" s="206"/>
      <c r="F124" s="204"/>
    </row>
    <row r="125" spans="1:6" ht="18" customHeight="1" x14ac:dyDescent="0.2">
      <c r="A125" s="204"/>
      <c r="B125" s="204"/>
      <c r="C125" s="204"/>
      <c r="D125" s="206"/>
      <c r="E125" s="206"/>
      <c r="F125" s="204"/>
    </row>
    <row r="126" spans="1:6" ht="18" customHeight="1" x14ac:dyDescent="0.2">
      <c r="A126" s="204"/>
      <c r="B126" s="204"/>
      <c r="C126" s="204"/>
      <c r="D126" s="206"/>
      <c r="E126" s="206"/>
      <c r="F126" s="204"/>
    </row>
    <row r="127" spans="1:6" ht="18" customHeight="1" x14ac:dyDescent="0.2">
      <c r="A127" s="204"/>
      <c r="B127" s="204"/>
      <c r="C127" s="204"/>
      <c r="D127" s="206"/>
      <c r="E127" s="206"/>
      <c r="F127" s="204"/>
    </row>
    <row r="128" spans="1:6" ht="18" customHeight="1" x14ac:dyDescent="0.2">
      <c r="A128" s="204"/>
      <c r="B128" s="204"/>
      <c r="C128" s="204"/>
      <c r="D128" s="206"/>
      <c r="E128" s="206"/>
      <c r="F128" s="204"/>
    </row>
    <row r="129" spans="1:6" ht="18" customHeight="1" x14ac:dyDescent="0.2">
      <c r="A129" s="204"/>
      <c r="B129" s="204"/>
      <c r="C129" s="204"/>
      <c r="D129" s="206"/>
      <c r="E129" s="206"/>
      <c r="F129" s="204"/>
    </row>
    <row r="130" spans="1:6" ht="18" customHeight="1" x14ac:dyDescent="0.2">
      <c r="A130" s="204"/>
      <c r="B130" s="204"/>
      <c r="C130" s="204"/>
      <c r="D130" s="206"/>
      <c r="E130" s="206"/>
      <c r="F130" s="204"/>
    </row>
    <row r="131" spans="1:6" ht="18" customHeight="1" x14ac:dyDescent="0.2">
      <c r="A131" s="204"/>
      <c r="B131" s="204"/>
      <c r="C131" s="204"/>
      <c r="D131" s="206"/>
      <c r="E131" s="206"/>
      <c r="F131" s="204"/>
    </row>
    <row r="132" spans="1:6" ht="18" customHeight="1" x14ac:dyDescent="0.2">
      <c r="A132" s="204"/>
      <c r="B132" s="204"/>
      <c r="C132" s="204"/>
      <c r="D132" s="206"/>
      <c r="E132" s="206"/>
      <c r="F132" s="204"/>
    </row>
    <row r="133" spans="1:6" ht="18" customHeight="1" x14ac:dyDescent="0.2">
      <c r="A133" s="204"/>
      <c r="B133" s="204"/>
      <c r="C133" s="204"/>
      <c r="D133" s="206"/>
      <c r="E133" s="206"/>
      <c r="F133" s="204"/>
    </row>
    <row r="134" spans="1:6" ht="18" customHeight="1" x14ac:dyDescent="0.2">
      <c r="A134" s="204"/>
      <c r="B134" s="204"/>
      <c r="C134" s="204"/>
      <c r="D134" s="206"/>
      <c r="E134" s="206"/>
      <c r="F134" s="204"/>
    </row>
    <row r="135" spans="1:6" ht="18" customHeight="1" x14ac:dyDescent="0.2">
      <c r="A135" s="204"/>
      <c r="B135" s="204"/>
      <c r="C135" s="204"/>
      <c r="D135" s="206"/>
      <c r="E135" s="206"/>
      <c r="F135" s="204"/>
    </row>
    <row r="136" spans="1:6" ht="18" customHeight="1" x14ac:dyDescent="0.2">
      <c r="A136" s="204"/>
      <c r="B136" s="204"/>
      <c r="C136" s="204"/>
      <c r="D136" s="206"/>
      <c r="E136" s="206"/>
      <c r="F136" s="204"/>
    </row>
    <row r="137" spans="1:6" ht="18" customHeight="1" x14ac:dyDescent="0.2">
      <c r="A137" s="204"/>
      <c r="B137" s="204"/>
      <c r="C137" s="204"/>
      <c r="D137" s="206"/>
      <c r="E137" s="206"/>
      <c r="F137" s="204"/>
    </row>
    <row r="138" spans="1:6" ht="18" customHeight="1" x14ac:dyDescent="0.2">
      <c r="A138" s="204"/>
      <c r="B138" s="204"/>
      <c r="C138" s="204"/>
      <c r="D138" s="206"/>
      <c r="E138" s="206"/>
      <c r="F138" s="204"/>
    </row>
    <row r="139" spans="1:6" ht="18" customHeight="1" x14ac:dyDescent="0.2">
      <c r="A139" s="204"/>
      <c r="B139" s="204"/>
      <c r="C139" s="204"/>
      <c r="D139" s="206"/>
      <c r="E139" s="206"/>
      <c r="F139" s="204"/>
    </row>
    <row r="140" spans="1:6" ht="18" customHeight="1" x14ac:dyDescent="0.2">
      <c r="A140" s="204"/>
      <c r="B140" s="204"/>
      <c r="C140" s="204"/>
      <c r="D140" s="206"/>
      <c r="E140" s="206"/>
      <c r="F140" s="204"/>
    </row>
    <row r="141" spans="1:6" ht="18" customHeight="1" x14ac:dyDescent="0.2">
      <c r="A141" s="204"/>
      <c r="B141" s="204"/>
      <c r="C141" s="204"/>
      <c r="D141" s="206"/>
      <c r="E141" s="206"/>
      <c r="F141" s="204"/>
    </row>
    <row r="142" spans="1:6" ht="18" customHeight="1" x14ac:dyDescent="0.2">
      <c r="A142" s="204"/>
      <c r="B142" s="204"/>
      <c r="C142" s="204"/>
      <c r="D142" s="206"/>
      <c r="E142" s="206"/>
      <c r="F142" s="204"/>
    </row>
    <row r="143" spans="1:6" ht="18" customHeight="1" x14ac:dyDescent="0.2">
      <c r="A143" s="204"/>
      <c r="B143" s="204"/>
      <c r="C143" s="204"/>
      <c r="D143" s="206"/>
      <c r="E143" s="206"/>
      <c r="F143" s="204"/>
    </row>
    <row r="144" spans="1:6" ht="18" customHeight="1" x14ac:dyDescent="0.2">
      <c r="A144" s="204"/>
      <c r="B144" s="204"/>
      <c r="C144" s="204"/>
      <c r="D144" s="206"/>
      <c r="E144" s="206"/>
      <c r="F144" s="204"/>
    </row>
    <row r="145" spans="1:6" ht="18" customHeight="1" x14ac:dyDescent="0.2">
      <c r="A145" s="204"/>
      <c r="B145" s="204"/>
      <c r="C145" s="204"/>
      <c r="D145" s="206"/>
      <c r="E145" s="206"/>
      <c r="F145" s="204"/>
    </row>
    <row r="146" spans="1:6" ht="18" customHeight="1" x14ac:dyDescent="0.2">
      <c r="A146" s="204"/>
      <c r="B146" s="204"/>
      <c r="C146" s="204"/>
      <c r="D146" s="206"/>
      <c r="E146" s="206"/>
      <c r="F146" s="204"/>
    </row>
    <row r="147" spans="1:6" ht="18" customHeight="1" x14ac:dyDescent="0.2">
      <c r="A147" s="204"/>
      <c r="B147" s="204"/>
      <c r="C147" s="204"/>
      <c r="D147" s="206"/>
      <c r="E147" s="206"/>
      <c r="F147" s="204"/>
    </row>
    <row r="148" spans="1:6" ht="18" customHeight="1" x14ac:dyDescent="0.2">
      <c r="A148" s="204"/>
      <c r="B148" s="204"/>
      <c r="C148" s="204"/>
      <c r="D148" s="206"/>
      <c r="E148" s="206"/>
      <c r="F148" s="204"/>
    </row>
    <row r="149" spans="1:6" ht="18" customHeight="1" x14ac:dyDescent="0.2">
      <c r="A149" s="204"/>
      <c r="B149" s="204"/>
      <c r="C149" s="204"/>
      <c r="D149" s="206"/>
      <c r="E149" s="206"/>
      <c r="F149" s="204"/>
    </row>
    <row r="150" spans="1:6" ht="18" customHeight="1" x14ac:dyDescent="0.2">
      <c r="A150" s="204"/>
      <c r="B150" s="204"/>
      <c r="C150" s="204"/>
      <c r="D150" s="206"/>
      <c r="E150" s="206"/>
      <c r="F150" s="204"/>
    </row>
    <row r="151" spans="1:6" ht="18" customHeight="1" x14ac:dyDescent="0.2">
      <c r="A151" s="204"/>
      <c r="B151" s="204"/>
      <c r="C151" s="204"/>
      <c r="D151" s="206"/>
      <c r="E151" s="206"/>
      <c r="F151" s="204"/>
    </row>
    <row r="152" spans="1:6" ht="18" customHeight="1" x14ac:dyDescent="0.2">
      <c r="A152" s="204"/>
      <c r="B152" s="204"/>
      <c r="C152" s="204"/>
      <c r="D152" s="206"/>
      <c r="E152" s="206"/>
      <c r="F152" s="204"/>
    </row>
    <row r="153" spans="1:6" ht="18" customHeight="1" x14ac:dyDescent="0.2">
      <c r="A153" s="204"/>
      <c r="B153" s="204"/>
      <c r="C153" s="204"/>
      <c r="D153" s="206"/>
      <c r="E153" s="206"/>
      <c r="F153" s="204"/>
    </row>
    <row r="154" spans="1:6" ht="18" customHeight="1" x14ac:dyDescent="0.2">
      <c r="A154" s="204"/>
      <c r="B154" s="204"/>
      <c r="C154" s="204"/>
      <c r="D154" s="206"/>
      <c r="E154" s="206"/>
      <c r="F154" s="204"/>
    </row>
    <row r="155" spans="1:6" ht="18" customHeight="1" x14ac:dyDescent="0.2">
      <c r="A155" s="204"/>
      <c r="B155" s="204"/>
      <c r="C155" s="204"/>
      <c r="D155" s="206"/>
      <c r="E155" s="206"/>
      <c r="F155" s="204"/>
    </row>
    <row r="156" spans="1:6" ht="18" customHeight="1" x14ac:dyDescent="0.2">
      <c r="A156" s="204"/>
      <c r="B156" s="204"/>
      <c r="C156" s="204"/>
      <c r="D156" s="206"/>
      <c r="E156" s="206"/>
      <c r="F156" s="204"/>
    </row>
    <row r="157" spans="1:6" ht="18" customHeight="1" x14ac:dyDescent="0.2">
      <c r="A157" s="204"/>
      <c r="B157" s="204"/>
      <c r="C157" s="204"/>
      <c r="D157" s="206"/>
      <c r="E157" s="206"/>
      <c r="F157" s="204"/>
    </row>
    <row r="158" spans="1:6" ht="18" customHeight="1" x14ac:dyDescent="0.2">
      <c r="A158" s="204"/>
      <c r="B158" s="204"/>
      <c r="C158" s="204"/>
      <c r="D158" s="206"/>
      <c r="E158" s="206"/>
      <c r="F158" s="204"/>
    </row>
    <row r="159" spans="1:6" ht="18" customHeight="1" x14ac:dyDescent="0.2">
      <c r="A159" s="204"/>
      <c r="B159" s="204"/>
      <c r="C159" s="204"/>
      <c r="D159" s="206"/>
      <c r="E159" s="206"/>
      <c r="F159" s="204"/>
    </row>
    <row r="160" spans="1:6" ht="18" customHeight="1" x14ac:dyDescent="0.2">
      <c r="A160" s="204"/>
      <c r="B160" s="204"/>
      <c r="C160" s="204"/>
      <c r="D160" s="206"/>
      <c r="E160" s="206"/>
      <c r="F160" s="204"/>
    </row>
    <row r="161" spans="1:6" ht="18" customHeight="1" x14ac:dyDescent="0.2">
      <c r="A161" s="204"/>
      <c r="B161" s="204"/>
      <c r="C161" s="204"/>
      <c r="D161" s="206"/>
      <c r="E161" s="206"/>
      <c r="F161" s="204"/>
    </row>
    <row r="162" spans="1:6" ht="18" customHeight="1" x14ac:dyDescent="0.2">
      <c r="A162" s="204"/>
      <c r="B162" s="204"/>
      <c r="C162" s="204"/>
      <c r="D162" s="206"/>
      <c r="E162" s="206"/>
      <c r="F162" s="204"/>
    </row>
    <row r="163" spans="1:6" ht="18" customHeight="1" x14ac:dyDescent="0.2">
      <c r="A163" s="204"/>
      <c r="B163" s="204"/>
      <c r="C163" s="204"/>
      <c r="D163" s="206"/>
      <c r="E163" s="206"/>
      <c r="F163" s="204"/>
    </row>
    <row r="164" spans="1:6" ht="18" customHeight="1" x14ac:dyDescent="0.2">
      <c r="A164" s="204"/>
      <c r="B164" s="204"/>
      <c r="C164" s="204"/>
      <c r="D164" s="206"/>
      <c r="E164" s="206"/>
      <c r="F164" s="204"/>
    </row>
    <row r="165" spans="1:6" ht="18" customHeight="1" x14ac:dyDescent="0.2">
      <c r="A165" s="204"/>
      <c r="B165" s="204"/>
      <c r="C165" s="204"/>
      <c r="D165" s="206"/>
      <c r="E165" s="206"/>
      <c r="F165" s="204"/>
    </row>
    <row r="166" spans="1:6" ht="18" customHeight="1" x14ac:dyDescent="0.2">
      <c r="A166" s="204"/>
      <c r="B166" s="204"/>
      <c r="C166" s="204"/>
      <c r="D166" s="206"/>
      <c r="E166" s="206"/>
      <c r="F166" s="204"/>
    </row>
    <row r="167" spans="1:6" ht="18" customHeight="1" x14ac:dyDescent="0.2">
      <c r="A167" s="204"/>
      <c r="B167" s="204"/>
      <c r="C167" s="204"/>
      <c r="D167" s="206"/>
      <c r="E167" s="206"/>
      <c r="F167" s="204"/>
    </row>
    <row r="168" spans="1:6" ht="18" customHeight="1" x14ac:dyDescent="0.2">
      <c r="A168" s="204"/>
      <c r="B168" s="204"/>
      <c r="C168" s="204"/>
      <c r="D168" s="206"/>
      <c r="E168" s="206"/>
      <c r="F168" s="204"/>
    </row>
    <row r="169" spans="1:6" ht="18" customHeight="1" x14ac:dyDescent="0.2">
      <c r="A169" s="204"/>
      <c r="B169" s="204"/>
      <c r="C169" s="204"/>
      <c r="D169" s="206"/>
      <c r="E169" s="206"/>
      <c r="F169" s="204"/>
    </row>
    <row r="170" spans="1:6" ht="18" customHeight="1" x14ac:dyDescent="0.2">
      <c r="A170" s="204"/>
      <c r="B170" s="204"/>
      <c r="C170" s="204"/>
      <c r="D170" s="206"/>
      <c r="E170" s="206"/>
      <c r="F170" s="204"/>
    </row>
    <row r="171" spans="1:6" ht="18" customHeight="1" x14ac:dyDescent="0.2">
      <c r="A171" s="204"/>
      <c r="B171" s="204"/>
      <c r="C171" s="204"/>
      <c r="D171" s="206"/>
      <c r="E171" s="206"/>
      <c r="F171" s="204"/>
    </row>
    <row r="172" spans="1:6" ht="18" customHeight="1" x14ac:dyDescent="0.2">
      <c r="A172" s="204"/>
      <c r="B172" s="204"/>
      <c r="C172" s="204"/>
      <c r="D172" s="206"/>
      <c r="E172" s="206"/>
      <c r="F172" s="204"/>
    </row>
    <row r="173" spans="1:6" ht="18" customHeight="1" x14ac:dyDescent="0.2">
      <c r="A173" s="204"/>
      <c r="B173" s="204"/>
      <c r="C173" s="204"/>
      <c r="D173" s="206"/>
      <c r="E173" s="206"/>
      <c r="F173" s="204"/>
    </row>
    <row r="174" spans="1:6" ht="18" customHeight="1" x14ac:dyDescent="0.2">
      <c r="A174" s="204"/>
      <c r="B174" s="204"/>
      <c r="C174" s="204"/>
      <c r="D174" s="206"/>
      <c r="E174" s="206"/>
      <c r="F174" s="204"/>
    </row>
    <row r="175" spans="1:6" ht="18" customHeight="1" x14ac:dyDescent="0.2">
      <c r="A175" s="204"/>
      <c r="B175" s="204"/>
      <c r="C175" s="204"/>
      <c r="D175" s="206"/>
      <c r="E175" s="206"/>
      <c r="F175" s="204"/>
    </row>
    <row r="176" spans="1:6" ht="18" customHeight="1" x14ac:dyDescent="0.2">
      <c r="A176" s="204"/>
      <c r="B176" s="204"/>
      <c r="C176" s="204"/>
      <c r="D176" s="206"/>
      <c r="E176" s="206"/>
      <c r="F176" s="204"/>
    </row>
    <row r="177" spans="1:6" ht="18" customHeight="1" x14ac:dyDescent="0.2">
      <c r="A177" s="204"/>
      <c r="B177" s="204"/>
      <c r="C177" s="204"/>
      <c r="D177" s="206"/>
      <c r="E177" s="206"/>
      <c r="F177" s="204"/>
    </row>
    <row r="178" spans="1:6" ht="18" customHeight="1" x14ac:dyDescent="0.2">
      <c r="A178" s="204"/>
      <c r="B178" s="204"/>
      <c r="C178" s="204"/>
      <c r="D178" s="206"/>
      <c r="E178" s="206"/>
      <c r="F178" s="204"/>
    </row>
    <row r="179" spans="1:6" ht="18" customHeight="1" x14ac:dyDescent="0.2">
      <c r="A179" s="204"/>
      <c r="B179" s="204"/>
      <c r="C179" s="204"/>
      <c r="D179" s="206"/>
      <c r="E179" s="206"/>
      <c r="F179" s="204"/>
    </row>
    <row r="180" spans="1:6" ht="18" customHeight="1" x14ac:dyDescent="0.2">
      <c r="A180" s="204"/>
      <c r="B180" s="204"/>
      <c r="C180" s="204"/>
      <c r="D180" s="206"/>
      <c r="E180" s="206"/>
      <c r="F180" s="204"/>
    </row>
    <row r="181" spans="1:6" ht="18" customHeight="1" x14ac:dyDescent="0.2">
      <c r="A181" s="204"/>
      <c r="B181" s="204"/>
      <c r="C181" s="204"/>
      <c r="D181" s="206"/>
      <c r="E181" s="206"/>
      <c r="F181" s="204"/>
    </row>
    <row r="182" spans="1:6" ht="18" customHeight="1" x14ac:dyDescent="0.2">
      <c r="A182" s="204"/>
      <c r="B182" s="204"/>
      <c r="C182" s="204"/>
      <c r="D182" s="206"/>
      <c r="E182" s="206"/>
      <c r="F182" s="204"/>
    </row>
    <row r="183" spans="1:6" ht="18" customHeight="1" x14ac:dyDescent="0.2">
      <c r="A183" s="204"/>
      <c r="B183" s="204"/>
      <c r="C183" s="204"/>
      <c r="D183" s="206"/>
      <c r="E183" s="206"/>
      <c r="F183" s="204"/>
    </row>
    <row r="184" spans="1:6" ht="18" customHeight="1" x14ac:dyDescent="0.2">
      <c r="A184" s="204"/>
      <c r="B184" s="204"/>
      <c r="C184" s="204"/>
      <c r="D184" s="206"/>
      <c r="E184" s="206"/>
      <c r="F184" s="204"/>
    </row>
    <row r="185" spans="1:6" ht="18" customHeight="1" x14ac:dyDescent="0.2">
      <c r="A185" s="204"/>
      <c r="B185" s="204"/>
      <c r="C185" s="204"/>
      <c r="D185" s="206"/>
      <c r="E185" s="206"/>
      <c r="F185" s="204"/>
    </row>
    <row r="186" spans="1:6" ht="18" customHeight="1" x14ac:dyDescent="0.2">
      <c r="A186" s="204"/>
      <c r="B186" s="204"/>
      <c r="C186" s="204"/>
      <c r="D186" s="206"/>
      <c r="E186" s="206"/>
      <c r="F186" s="204"/>
    </row>
    <row r="187" spans="1:6" ht="18" customHeight="1" x14ac:dyDescent="0.2">
      <c r="A187" s="204"/>
      <c r="B187" s="204"/>
      <c r="C187" s="204"/>
      <c r="D187" s="206"/>
      <c r="E187" s="206"/>
      <c r="F187" s="204"/>
    </row>
    <row r="188" spans="1:6" ht="18" customHeight="1" x14ac:dyDescent="0.2">
      <c r="A188" s="204"/>
      <c r="B188" s="204"/>
      <c r="C188" s="204"/>
      <c r="D188" s="206"/>
      <c r="E188" s="206"/>
      <c r="F188" s="204"/>
    </row>
    <row r="189" spans="1:6" ht="18" customHeight="1" x14ac:dyDescent="0.2">
      <c r="A189" s="204"/>
      <c r="B189" s="204"/>
      <c r="C189" s="204"/>
      <c r="D189" s="206"/>
      <c r="E189" s="206"/>
      <c r="F189" s="204"/>
    </row>
    <row r="190" spans="1:6" ht="18" customHeight="1" x14ac:dyDescent="0.2">
      <c r="A190" s="204"/>
      <c r="B190" s="204"/>
      <c r="C190" s="204"/>
      <c r="D190" s="206"/>
      <c r="E190" s="206"/>
      <c r="F190" s="204"/>
    </row>
    <row r="191" spans="1:6" ht="18" customHeight="1" x14ac:dyDescent="0.2">
      <c r="A191" s="204"/>
      <c r="B191" s="204"/>
      <c r="C191" s="204"/>
      <c r="D191" s="206"/>
      <c r="E191" s="206"/>
      <c r="F191" s="204"/>
    </row>
    <row r="192" spans="1:6" ht="18" customHeight="1" x14ac:dyDescent="0.2">
      <c r="A192" s="204"/>
      <c r="B192" s="204"/>
      <c r="C192" s="204"/>
      <c r="D192" s="206"/>
      <c r="E192" s="206"/>
      <c r="F192" s="204"/>
    </row>
    <row r="193" spans="1:6" ht="18" customHeight="1" x14ac:dyDescent="0.2">
      <c r="A193" s="204"/>
      <c r="B193" s="204"/>
      <c r="C193" s="204"/>
      <c r="D193" s="206"/>
      <c r="E193" s="206"/>
      <c r="F193" s="204"/>
    </row>
    <row r="194" spans="1:6" ht="18" customHeight="1" x14ac:dyDescent="0.2">
      <c r="A194" s="204"/>
      <c r="B194" s="204"/>
      <c r="C194" s="204"/>
      <c r="D194" s="206"/>
      <c r="E194" s="206"/>
      <c r="F194" s="204"/>
    </row>
    <row r="195" spans="1:6" ht="18" customHeight="1" x14ac:dyDescent="0.2">
      <c r="A195" s="204"/>
      <c r="B195" s="204"/>
      <c r="C195" s="204"/>
      <c r="D195" s="206"/>
      <c r="E195" s="206"/>
      <c r="F195" s="204"/>
    </row>
    <row r="196" spans="1:6" ht="18" customHeight="1" x14ac:dyDescent="0.2">
      <c r="A196" s="204"/>
      <c r="B196" s="204"/>
      <c r="C196" s="204"/>
      <c r="D196" s="206"/>
      <c r="E196" s="206"/>
      <c r="F196" s="204"/>
    </row>
    <row r="197" spans="1:6" ht="18" customHeight="1" x14ac:dyDescent="0.2">
      <c r="A197" s="204"/>
      <c r="B197" s="204"/>
      <c r="C197" s="204"/>
      <c r="D197" s="206"/>
      <c r="E197" s="206"/>
      <c r="F197" s="204"/>
    </row>
    <row r="198" spans="1:6" ht="18" customHeight="1" x14ac:dyDescent="0.2">
      <c r="A198" s="204"/>
      <c r="B198" s="204"/>
      <c r="C198" s="204"/>
      <c r="D198" s="206"/>
      <c r="E198" s="206"/>
      <c r="F198" s="204"/>
    </row>
    <row r="199" spans="1:6" ht="18" customHeight="1" x14ac:dyDescent="0.2">
      <c r="A199" s="204"/>
      <c r="B199" s="204"/>
      <c r="C199" s="204"/>
      <c r="D199" s="206"/>
      <c r="E199" s="206"/>
      <c r="F199" s="204"/>
    </row>
    <row r="200" spans="1:6" ht="18" customHeight="1" x14ac:dyDescent="0.2">
      <c r="A200" s="204"/>
      <c r="B200" s="204"/>
      <c r="C200" s="204"/>
      <c r="D200" s="206"/>
      <c r="E200" s="206"/>
      <c r="F200" s="204"/>
    </row>
    <row r="201" spans="1:6" ht="18" customHeight="1" x14ac:dyDescent="0.2">
      <c r="A201" s="204"/>
      <c r="B201" s="204"/>
      <c r="C201" s="204"/>
      <c r="D201" s="206"/>
      <c r="E201" s="206"/>
      <c r="F201" s="204"/>
    </row>
    <row r="202" spans="1:6" ht="18" customHeight="1" x14ac:dyDescent="0.2">
      <c r="A202" s="204"/>
      <c r="B202" s="204"/>
      <c r="C202" s="204"/>
      <c r="D202" s="206"/>
      <c r="E202" s="206"/>
      <c r="F202" s="204"/>
    </row>
    <row r="203" spans="1:6" ht="18" customHeight="1" x14ac:dyDescent="0.2">
      <c r="A203" s="204"/>
      <c r="B203" s="204"/>
      <c r="C203" s="204"/>
      <c r="D203" s="206"/>
      <c r="E203" s="206"/>
      <c r="F203" s="204"/>
    </row>
    <row r="204" spans="1:6" ht="18" customHeight="1" x14ac:dyDescent="0.2">
      <c r="A204" s="204"/>
      <c r="B204" s="204"/>
      <c r="C204" s="204"/>
      <c r="D204" s="206"/>
      <c r="E204" s="206"/>
      <c r="F204" s="204"/>
    </row>
    <row r="205" spans="1:6" ht="18" customHeight="1" x14ac:dyDescent="0.2">
      <c r="A205" s="204"/>
      <c r="B205" s="204"/>
      <c r="C205" s="204"/>
      <c r="D205" s="206"/>
      <c r="E205" s="206"/>
      <c r="F205" s="204"/>
    </row>
    <row r="206" spans="1:6" ht="18" customHeight="1" x14ac:dyDescent="0.2">
      <c r="A206" s="204"/>
      <c r="B206" s="204"/>
      <c r="C206" s="204"/>
      <c r="D206" s="206"/>
      <c r="E206" s="206"/>
      <c r="F206" s="204"/>
    </row>
    <row r="207" spans="1:6" ht="18" customHeight="1" x14ac:dyDescent="0.2">
      <c r="A207" s="204"/>
      <c r="B207" s="204"/>
      <c r="C207" s="204"/>
      <c r="D207" s="206"/>
      <c r="E207" s="206"/>
      <c r="F207" s="204"/>
    </row>
    <row r="208" spans="1:6" ht="18" customHeight="1" x14ac:dyDescent="0.2">
      <c r="A208" s="204"/>
      <c r="B208" s="204"/>
      <c r="C208" s="204"/>
      <c r="D208" s="206"/>
      <c r="E208" s="206"/>
      <c r="F208" s="204"/>
    </row>
    <row r="209" spans="1:6" ht="18" customHeight="1" x14ac:dyDescent="0.2">
      <c r="A209" s="204"/>
      <c r="B209" s="204"/>
      <c r="C209" s="204"/>
      <c r="D209" s="206"/>
      <c r="E209" s="206"/>
      <c r="F209" s="204"/>
    </row>
    <row r="210" spans="1:6" ht="18" customHeight="1" x14ac:dyDescent="0.2">
      <c r="A210" s="204"/>
      <c r="B210" s="204"/>
      <c r="C210" s="204"/>
      <c r="D210" s="206"/>
      <c r="E210" s="206"/>
      <c r="F210" s="204"/>
    </row>
    <row r="211" spans="1:6" ht="18" customHeight="1" x14ac:dyDescent="0.2">
      <c r="A211" s="204"/>
      <c r="B211" s="204"/>
      <c r="C211" s="204"/>
      <c r="D211" s="206"/>
      <c r="E211" s="206"/>
      <c r="F211" s="204"/>
    </row>
    <row r="212" spans="1:6" ht="18" customHeight="1" x14ac:dyDescent="0.2">
      <c r="A212" s="204"/>
      <c r="B212" s="204"/>
      <c r="C212" s="204"/>
      <c r="D212" s="206"/>
      <c r="E212" s="206"/>
      <c r="F212" s="204"/>
    </row>
    <row r="213" spans="1:6" ht="18" customHeight="1" x14ac:dyDescent="0.2">
      <c r="A213" s="204"/>
      <c r="B213" s="204"/>
      <c r="C213" s="204"/>
      <c r="D213" s="206"/>
      <c r="E213" s="206"/>
      <c r="F213" s="204"/>
    </row>
    <row r="214" spans="1:6" ht="18" customHeight="1" x14ac:dyDescent="0.2">
      <c r="A214" s="204"/>
      <c r="B214" s="204"/>
      <c r="C214" s="204"/>
      <c r="D214" s="206"/>
      <c r="E214" s="206"/>
      <c r="F214" s="204"/>
    </row>
    <row r="215" spans="1:6" ht="18" customHeight="1" x14ac:dyDescent="0.2">
      <c r="A215" s="204"/>
      <c r="B215" s="204"/>
      <c r="C215" s="204"/>
      <c r="D215" s="206"/>
      <c r="E215" s="206"/>
      <c r="F215" s="204"/>
    </row>
    <row r="216" spans="1:6" ht="18" customHeight="1" x14ac:dyDescent="0.2">
      <c r="A216" s="204"/>
      <c r="B216" s="204"/>
      <c r="C216" s="204"/>
      <c r="D216" s="206"/>
      <c r="E216" s="206"/>
      <c r="F216" s="204"/>
    </row>
    <row r="217" spans="1:6" ht="18" customHeight="1" x14ac:dyDescent="0.2">
      <c r="A217" s="204"/>
      <c r="B217" s="204"/>
      <c r="C217" s="204"/>
      <c r="D217" s="206"/>
      <c r="E217" s="206"/>
      <c r="F217" s="204"/>
    </row>
    <row r="218" spans="1:6" ht="18" customHeight="1" x14ac:dyDescent="0.2">
      <c r="A218" s="204"/>
      <c r="B218" s="204"/>
      <c r="C218" s="204"/>
      <c r="D218" s="206"/>
      <c r="E218" s="206"/>
      <c r="F218" s="204"/>
    </row>
    <row r="219" spans="1:6" ht="18" customHeight="1" x14ac:dyDescent="0.2">
      <c r="A219" s="204"/>
      <c r="B219" s="204"/>
      <c r="C219" s="204"/>
      <c r="D219" s="206"/>
      <c r="E219" s="206"/>
      <c r="F219" s="204"/>
    </row>
    <row r="220" spans="1:6" ht="18" customHeight="1" x14ac:dyDescent="0.2">
      <c r="A220" s="204"/>
      <c r="B220" s="204"/>
      <c r="C220" s="204"/>
      <c r="D220" s="206"/>
      <c r="E220" s="206"/>
      <c r="F220" s="204"/>
    </row>
    <row r="221" spans="1:6" ht="18" customHeight="1" x14ac:dyDescent="0.2">
      <c r="A221" s="204"/>
      <c r="B221" s="204"/>
      <c r="C221" s="204"/>
      <c r="D221" s="206"/>
      <c r="E221" s="206"/>
      <c r="F221" s="204"/>
    </row>
    <row r="222" spans="1:6" ht="18" customHeight="1" x14ac:dyDescent="0.2">
      <c r="A222" s="204"/>
      <c r="B222" s="204"/>
      <c r="C222" s="204"/>
      <c r="D222" s="206"/>
      <c r="E222" s="206"/>
      <c r="F222" s="204"/>
    </row>
    <row r="223" spans="1:6" ht="18" customHeight="1" x14ac:dyDescent="0.2">
      <c r="A223" s="204"/>
      <c r="B223" s="204"/>
      <c r="C223" s="204"/>
      <c r="D223" s="206"/>
      <c r="E223" s="206"/>
      <c r="F223" s="204"/>
    </row>
    <row r="224" spans="1:6" ht="18" customHeight="1" x14ac:dyDescent="0.2">
      <c r="A224" s="204"/>
      <c r="B224" s="204"/>
      <c r="C224" s="204"/>
      <c r="D224" s="206"/>
      <c r="E224" s="206"/>
      <c r="F224" s="204"/>
    </row>
    <row r="225" spans="1:6" ht="18" customHeight="1" x14ac:dyDescent="0.2">
      <c r="A225" s="204"/>
      <c r="B225" s="204"/>
      <c r="C225" s="204"/>
      <c r="D225" s="206"/>
      <c r="E225" s="206"/>
      <c r="F225" s="204"/>
    </row>
    <row r="226" spans="1:6" ht="18" customHeight="1" x14ac:dyDescent="0.2">
      <c r="A226" s="204"/>
      <c r="B226" s="204"/>
      <c r="C226" s="204"/>
      <c r="D226" s="206"/>
      <c r="E226" s="206"/>
      <c r="F226" s="204"/>
    </row>
    <row r="227" spans="1:6" ht="18" customHeight="1" x14ac:dyDescent="0.2">
      <c r="A227" s="204"/>
      <c r="B227" s="204"/>
      <c r="C227" s="204"/>
      <c r="D227" s="206"/>
      <c r="E227" s="206"/>
      <c r="F227" s="204"/>
    </row>
    <row r="228" spans="1:6" ht="18" customHeight="1" x14ac:dyDescent="0.2">
      <c r="A228" s="204"/>
      <c r="B228" s="204"/>
      <c r="C228" s="204"/>
      <c r="D228" s="206"/>
      <c r="E228" s="206"/>
      <c r="F228" s="204"/>
    </row>
    <row r="229" spans="1:6" ht="18" customHeight="1" x14ac:dyDescent="0.2">
      <c r="A229" s="204"/>
      <c r="B229" s="204"/>
      <c r="C229" s="204"/>
      <c r="D229" s="206"/>
      <c r="E229" s="206"/>
      <c r="F229" s="204"/>
    </row>
    <row r="230" spans="1:6" ht="18" customHeight="1" x14ac:dyDescent="0.2">
      <c r="A230" s="204"/>
      <c r="B230" s="204"/>
      <c r="C230" s="204"/>
      <c r="D230" s="206"/>
      <c r="E230" s="206"/>
      <c r="F230" s="204"/>
    </row>
    <row r="231" spans="1:6" ht="18" customHeight="1" x14ac:dyDescent="0.2">
      <c r="A231" s="204"/>
      <c r="B231" s="204"/>
      <c r="C231" s="204"/>
      <c r="D231" s="206"/>
      <c r="E231" s="206"/>
      <c r="F231" s="204"/>
    </row>
    <row r="232" spans="1:6" ht="18" customHeight="1" x14ac:dyDescent="0.2">
      <c r="A232" s="204"/>
      <c r="B232" s="204"/>
      <c r="C232" s="204"/>
      <c r="D232" s="206"/>
      <c r="E232" s="206"/>
      <c r="F232" s="204"/>
    </row>
    <row r="233" spans="1:6" ht="18" customHeight="1" x14ac:dyDescent="0.2">
      <c r="A233" s="204"/>
      <c r="B233" s="204"/>
      <c r="C233" s="204"/>
      <c r="D233" s="206"/>
      <c r="E233" s="206"/>
      <c r="F233" s="204"/>
    </row>
    <row r="234" spans="1:6" ht="18" customHeight="1" x14ac:dyDescent="0.2">
      <c r="A234" s="204"/>
      <c r="B234" s="204"/>
      <c r="C234" s="204"/>
      <c r="D234" s="206"/>
      <c r="E234" s="206"/>
      <c r="F234" s="204"/>
    </row>
    <row r="235" spans="1:6" ht="18" customHeight="1" x14ac:dyDescent="0.2">
      <c r="A235" s="204"/>
      <c r="B235" s="204"/>
      <c r="C235" s="204"/>
      <c r="D235" s="206"/>
      <c r="E235" s="206"/>
      <c r="F235" s="204"/>
    </row>
    <row r="236" spans="1:6" ht="18" customHeight="1" x14ac:dyDescent="0.2">
      <c r="A236" s="204"/>
      <c r="B236" s="204"/>
      <c r="C236" s="204"/>
      <c r="D236" s="206"/>
      <c r="E236" s="206"/>
      <c r="F236" s="204"/>
    </row>
    <row r="237" spans="1:6" ht="18" customHeight="1" x14ac:dyDescent="0.2">
      <c r="A237" s="204"/>
      <c r="B237" s="204"/>
      <c r="C237" s="204"/>
      <c r="D237" s="206"/>
      <c r="E237" s="206"/>
      <c r="F237" s="204"/>
    </row>
    <row r="238" spans="1:6" ht="18" customHeight="1" x14ac:dyDescent="0.2">
      <c r="A238" s="204"/>
      <c r="B238" s="204"/>
      <c r="C238" s="204"/>
      <c r="D238" s="206"/>
      <c r="E238" s="206"/>
      <c r="F238" s="204"/>
    </row>
    <row r="239" spans="1:6" ht="18" customHeight="1" x14ac:dyDescent="0.2">
      <c r="A239" s="204"/>
      <c r="B239" s="204"/>
      <c r="C239" s="204"/>
      <c r="D239" s="206"/>
      <c r="E239" s="206"/>
      <c r="F239" s="204"/>
    </row>
    <row r="240" spans="1:6" ht="18" customHeight="1" x14ac:dyDescent="0.2">
      <c r="A240" s="204"/>
      <c r="B240" s="204"/>
      <c r="C240" s="204"/>
      <c r="D240" s="206"/>
      <c r="E240" s="206"/>
      <c r="F240" s="204"/>
    </row>
    <row r="241" spans="1:6" ht="18" customHeight="1" x14ac:dyDescent="0.2">
      <c r="A241" s="204"/>
      <c r="B241" s="204"/>
      <c r="C241" s="204"/>
      <c r="D241" s="206"/>
      <c r="E241" s="206"/>
      <c r="F241" s="204"/>
    </row>
    <row r="242" spans="1:6" ht="18" customHeight="1" x14ac:dyDescent="0.2">
      <c r="A242" s="204"/>
      <c r="B242" s="204"/>
      <c r="C242" s="204"/>
      <c r="D242" s="206"/>
      <c r="E242" s="206"/>
      <c r="F242" s="204"/>
    </row>
    <row r="243" spans="1:6" ht="18" customHeight="1" x14ac:dyDescent="0.2">
      <c r="A243" s="204"/>
      <c r="B243" s="204"/>
      <c r="C243" s="204"/>
      <c r="D243" s="206"/>
      <c r="E243" s="206"/>
      <c r="F243" s="204"/>
    </row>
    <row r="244" spans="1:6" ht="18" customHeight="1" x14ac:dyDescent="0.2">
      <c r="A244" s="204"/>
      <c r="B244" s="204"/>
      <c r="C244" s="204"/>
      <c r="D244" s="206"/>
      <c r="E244" s="206"/>
      <c r="F244" s="204"/>
    </row>
    <row r="245" spans="1:6" ht="18" customHeight="1" x14ac:dyDescent="0.2">
      <c r="A245" s="204"/>
      <c r="B245" s="204"/>
      <c r="C245" s="204"/>
      <c r="D245" s="206"/>
      <c r="E245" s="206"/>
      <c r="F245" s="204"/>
    </row>
    <row r="246" spans="1:6" ht="18" customHeight="1" x14ac:dyDescent="0.2">
      <c r="A246" s="204"/>
      <c r="B246" s="204"/>
      <c r="C246" s="204"/>
      <c r="D246" s="206"/>
      <c r="E246" s="206"/>
      <c r="F246" s="204"/>
    </row>
    <row r="247" spans="1:6" ht="18" customHeight="1" x14ac:dyDescent="0.2">
      <c r="A247" s="204"/>
      <c r="B247" s="204"/>
      <c r="C247" s="204"/>
      <c r="D247" s="206"/>
      <c r="E247" s="206"/>
      <c r="F247" s="204"/>
    </row>
    <row r="248" spans="1:6" ht="18" customHeight="1" x14ac:dyDescent="0.2">
      <c r="A248" s="204"/>
      <c r="B248" s="204"/>
      <c r="C248" s="204"/>
      <c r="D248" s="206"/>
      <c r="E248" s="206"/>
      <c r="F248" s="204"/>
    </row>
    <row r="249" spans="1:6" ht="18" customHeight="1" x14ac:dyDescent="0.2">
      <c r="A249" s="204"/>
      <c r="B249" s="204"/>
      <c r="C249" s="204"/>
      <c r="D249" s="206"/>
      <c r="E249" s="206"/>
      <c r="F249" s="204"/>
    </row>
    <row r="250" spans="1:6" ht="18" customHeight="1" x14ac:dyDescent="0.2">
      <c r="A250" s="204"/>
      <c r="B250" s="204"/>
      <c r="C250" s="204"/>
      <c r="D250" s="206"/>
      <c r="E250" s="206"/>
      <c r="F250" s="204"/>
    </row>
    <row r="251" spans="1:6" ht="18" customHeight="1" x14ac:dyDescent="0.2">
      <c r="A251" s="204"/>
      <c r="B251" s="204"/>
      <c r="C251" s="204"/>
      <c r="D251" s="206"/>
      <c r="E251" s="206"/>
      <c r="F251" s="204"/>
    </row>
    <row r="252" spans="1:6" ht="18" customHeight="1" x14ac:dyDescent="0.2">
      <c r="A252" s="204"/>
      <c r="B252" s="204"/>
      <c r="C252" s="204"/>
      <c r="D252" s="206"/>
      <c r="E252" s="206"/>
      <c r="F252" s="204"/>
    </row>
    <row r="253" spans="1:6" ht="18" customHeight="1" x14ac:dyDescent="0.2">
      <c r="A253" s="204"/>
      <c r="B253" s="204"/>
      <c r="C253" s="204"/>
      <c r="D253" s="206"/>
      <c r="E253" s="206"/>
      <c r="F253" s="204"/>
    </row>
    <row r="254" spans="1:6" ht="18" customHeight="1" x14ac:dyDescent="0.2">
      <c r="A254" s="204"/>
      <c r="B254" s="204"/>
      <c r="C254" s="204"/>
      <c r="D254" s="206"/>
      <c r="E254" s="206"/>
      <c r="F254" s="204"/>
    </row>
    <row r="255" spans="1:6" ht="18" customHeight="1" x14ac:dyDescent="0.2">
      <c r="A255" s="204"/>
      <c r="B255" s="204"/>
      <c r="C255" s="204"/>
      <c r="D255" s="206"/>
      <c r="E255" s="206"/>
      <c r="F255" s="204"/>
    </row>
    <row r="256" spans="1:6" ht="18" customHeight="1" x14ac:dyDescent="0.2">
      <c r="A256" s="204"/>
      <c r="B256" s="204"/>
      <c r="C256" s="204"/>
      <c r="D256" s="206"/>
      <c r="E256" s="206"/>
      <c r="F256" s="204"/>
    </row>
    <row r="257" spans="1:6" ht="18" customHeight="1" x14ac:dyDescent="0.2">
      <c r="A257" s="204"/>
      <c r="B257" s="204"/>
      <c r="C257" s="204"/>
      <c r="D257" s="206"/>
      <c r="E257" s="206"/>
      <c r="F257" s="204"/>
    </row>
    <row r="258" spans="1:6" ht="18" customHeight="1" x14ac:dyDescent="0.2">
      <c r="A258" s="204"/>
      <c r="B258" s="204"/>
      <c r="C258" s="204"/>
      <c r="D258" s="206"/>
      <c r="E258" s="206"/>
      <c r="F258" s="204"/>
    </row>
    <row r="259" spans="1:6" ht="18" customHeight="1" x14ac:dyDescent="0.2">
      <c r="A259" s="204"/>
      <c r="B259" s="204"/>
      <c r="C259" s="204"/>
      <c r="D259" s="206"/>
      <c r="E259" s="206"/>
      <c r="F259" s="204"/>
    </row>
    <row r="260" spans="1:6" ht="18" customHeight="1" x14ac:dyDescent="0.2">
      <c r="A260" s="204"/>
      <c r="B260" s="204"/>
      <c r="C260" s="204"/>
      <c r="D260" s="206"/>
      <c r="E260" s="206"/>
      <c r="F260" s="204"/>
    </row>
    <row r="261" spans="1:6" ht="18" customHeight="1" x14ac:dyDescent="0.2">
      <c r="A261" s="204"/>
      <c r="B261" s="204"/>
      <c r="C261" s="204"/>
      <c r="D261" s="206"/>
      <c r="E261" s="206"/>
      <c r="F261" s="204"/>
    </row>
    <row r="262" spans="1:6" ht="18" customHeight="1" x14ac:dyDescent="0.2">
      <c r="A262" s="204"/>
      <c r="B262" s="204"/>
      <c r="C262" s="204"/>
      <c r="D262" s="206"/>
      <c r="E262" s="206"/>
      <c r="F262" s="204"/>
    </row>
    <row r="263" spans="1:6" ht="18" customHeight="1" x14ac:dyDescent="0.2">
      <c r="A263" s="204"/>
      <c r="B263" s="204"/>
      <c r="C263" s="204"/>
      <c r="D263" s="206"/>
      <c r="E263" s="206"/>
      <c r="F263" s="204"/>
    </row>
    <row r="264" spans="1:6" ht="18" customHeight="1" x14ac:dyDescent="0.2">
      <c r="A264" s="204"/>
      <c r="B264" s="204"/>
      <c r="C264" s="204"/>
      <c r="D264" s="206"/>
      <c r="E264" s="206"/>
      <c r="F264" s="204"/>
    </row>
    <row r="265" spans="1:6" ht="18" customHeight="1" x14ac:dyDescent="0.2">
      <c r="A265" s="204"/>
      <c r="B265" s="204"/>
      <c r="C265" s="204"/>
      <c r="D265" s="206"/>
      <c r="E265" s="206"/>
      <c r="F265" s="204"/>
    </row>
    <row r="266" spans="1:6" ht="18" customHeight="1" x14ac:dyDescent="0.2">
      <c r="A266" s="204"/>
      <c r="B266" s="204"/>
      <c r="C266" s="204"/>
      <c r="D266" s="206"/>
      <c r="E266" s="206"/>
      <c r="F266" s="204"/>
    </row>
    <row r="267" spans="1:6" ht="18" customHeight="1" x14ac:dyDescent="0.2">
      <c r="A267" s="204"/>
      <c r="B267" s="204"/>
      <c r="C267" s="204"/>
      <c r="D267" s="206"/>
      <c r="E267" s="206"/>
      <c r="F267" s="204"/>
    </row>
    <row r="268" spans="1:6" ht="18" customHeight="1" x14ac:dyDescent="0.2">
      <c r="A268" s="204"/>
      <c r="B268" s="204"/>
      <c r="C268" s="204"/>
      <c r="D268" s="206"/>
      <c r="E268" s="206"/>
      <c r="F268" s="204"/>
    </row>
    <row r="269" spans="1:6" ht="18" customHeight="1" x14ac:dyDescent="0.2">
      <c r="A269" s="204"/>
      <c r="B269" s="204"/>
      <c r="C269" s="204"/>
      <c r="D269" s="206"/>
      <c r="E269" s="206"/>
      <c r="F269" s="204"/>
    </row>
    <row r="270" spans="1:6" ht="18" customHeight="1" x14ac:dyDescent="0.2">
      <c r="A270" s="204"/>
      <c r="B270" s="204"/>
      <c r="C270" s="204"/>
      <c r="D270" s="206"/>
      <c r="E270" s="206"/>
      <c r="F270" s="204"/>
    </row>
    <row r="271" spans="1:6" ht="18" customHeight="1" x14ac:dyDescent="0.2">
      <c r="A271" s="204"/>
      <c r="B271" s="204"/>
      <c r="C271" s="204"/>
      <c r="D271" s="206"/>
      <c r="E271" s="206"/>
      <c r="F271" s="204"/>
    </row>
    <row r="272" spans="1:6" ht="18" customHeight="1" x14ac:dyDescent="0.2">
      <c r="A272" s="204"/>
      <c r="B272" s="204"/>
      <c r="C272" s="204"/>
      <c r="D272" s="206"/>
      <c r="E272" s="206"/>
      <c r="F272" s="204"/>
    </row>
    <row r="273" spans="1:6" ht="18" customHeight="1" x14ac:dyDescent="0.2">
      <c r="A273" s="204"/>
      <c r="B273" s="204"/>
      <c r="C273" s="204"/>
      <c r="D273" s="206"/>
      <c r="E273" s="206"/>
      <c r="F273" s="204"/>
    </row>
    <row r="274" spans="1:6" ht="18" customHeight="1" x14ac:dyDescent="0.2">
      <c r="A274" s="204"/>
      <c r="B274" s="204"/>
      <c r="C274" s="204"/>
      <c r="D274" s="206"/>
      <c r="E274" s="206"/>
      <c r="F274" s="204"/>
    </row>
    <row r="275" spans="1:6" ht="18" customHeight="1" x14ac:dyDescent="0.2">
      <c r="A275" s="204"/>
      <c r="B275" s="204"/>
      <c r="C275" s="204"/>
      <c r="D275" s="206"/>
      <c r="E275" s="206"/>
      <c r="F275" s="204"/>
    </row>
    <row r="276" spans="1:6" ht="18" customHeight="1" x14ac:dyDescent="0.2">
      <c r="A276" s="204"/>
      <c r="B276" s="204"/>
      <c r="C276" s="204"/>
      <c r="D276" s="206"/>
      <c r="E276" s="206"/>
      <c r="F276" s="204"/>
    </row>
    <row r="277" spans="1:6" ht="18" customHeight="1" x14ac:dyDescent="0.2">
      <c r="A277" s="204"/>
      <c r="B277" s="204"/>
      <c r="C277" s="204"/>
      <c r="D277" s="206"/>
      <c r="E277" s="206"/>
      <c r="F277" s="204"/>
    </row>
    <row r="278" spans="1:6" ht="18" customHeight="1" x14ac:dyDescent="0.2">
      <c r="A278" s="204"/>
      <c r="B278" s="204"/>
      <c r="C278" s="204"/>
      <c r="D278" s="206"/>
      <c r="E278" s="206"/>
      <c r="F278" s="204"/>
    </row>
    <row r="279" spans="1:6" ht="18" customHeight="1" x14ac:dyDescent="0.2">
      <c r="A279" s="204"/>
      <c r="B279" s="204"/>
      <c r="C279" s="204"/>
      <c r="D279" s="206"/>
      <c r="E279" s="206"/>
      <c r="F279" s="204"/>
    </row>
    <row r="280" spans="1:6" ht="18" customHeight="1" x14ac:dyDescent="0.2">
      <c r="A280" s="204"/>
      <c r="B280" s="204"/>
      <c r="C280" s="204"/>
      <c r="D280" s="206"/>
      <c r="E280" s="206"/>
      <c r="F280" s="204"/>
    </row>
    <row r="281" spans="1:6" ht="18" customHeight="1" x14ac:dyDescent="0.2">
      <c r="A281" s="204"/>
      <c r="B281" s="204"/>
      <c r="C281" s="204"/>
      <c r="D281" s="206"/>
      <c r="E281" s="206"/>
      <c r="F281" s="204"/>
    </row>
    <row r="282" spans="1:6" ht="18" customHeight="1" x14ac:dyDescent="0.2">
      <c r="A282" s="204"/>
      <c r="B282" s="204"/>
      <c r="C282" s="204"/>
      <c r="D282" s="206"/>
      <c r="E282" s="206"/>
      <c r="F282" s="204"/>
    </row>
    <row r="283" spans="1:6" ht="18" customHeight="1" x14ac:dyDescent="0.2">
      <c r="A283" s="204"/>
      <c r="B283" s="204"/>
      <c r="C283" s="204"/>
      <c r="D283" s="206"/>
      <c r="E283" s="206"/>
      <c r="F283" s="204"/>
    </row>
    <row r="284" spans="1:6" ht="18" customHeight="1" x14ac:dyDescent="0.2">
      <c r="A284" s="204"/>
      <c r="B284" s="204"/>
      <c r="C284" s="204"/>
      <c r="D284" s="206"/>
      <c r="E284" s="206"/>
      <c r="F284" s="204"/>
    </row>
    <row r="285" spans="1:6" ht="18" customHeight="1" x14ac:dyDescent="0.2">
      <c r="A285" s="204"/>
      <c r="B285" s="204"/>
      <c r="C285" s="204"/>
      <c r="D285" s="206"/>
      <c r="E285" s="206"/>
      <c r="F285" s="204"/>
    </row>
    <row r="286" spans="1:6" ht="18" customHeight="1" x14ac:dyDescent="0.2">
      <c r="A286" s="204"/>
      <c r="B286" s="204"/>
      <c r="C286" s="204"/>
      <c r="D286" s="206"/>
      <c r="E286" s="206"/>
      <c r="F286" s="204"/>
    </row>
    <row r="287" spans="1:6" ht="18" customHeight="1" x14ac:dyDescent="0.2">
      <c r="A287" s="204"/>
      <c r="B287" s="204"/>
      <c r="C287" s="204"/>
      <c r="D287" s="206"/>
      <c r="E287" s="206"/>
      <c r="F287" s="204"/>
    </row>
    <row r="288" spans="1:6" ht="18" customHeight="1" x14ac:dyDescent="0.2">
      <c r="A288" s="204"/>
      <c r="B288" s="204"/>
      <c r="C288" s="204"/>
      <c r="D288" s="206"/>
      <c r="E288" s="206"/>
      <c r="F288" s="204"/>
    </row>
    <row r="289" spans="1:6" ht="18" customHeight="1" x14ac:dyDescent="0.2">
      <c r="A289" s="204"/>
      <c r="B289" s="204"/>
      <c r="C289" s="204"/>
      <c r="D289" s="206"/>
      <c r="E289" s="206"/>
      <c r="F289" s="204"/>
    </row>
    <row r="290" spans="1:6" ht="18" customHeight="1" x14ac:dyDescent="0.2">
      <c r="A290" s="204"/>
      <c r="B290" s="204"/>
      <c r="C290" s="204"/>
      <c r="D290" s="206"/>
      <c r="E290" s="206"/>
      <c r="F290" s="204"/>
    </row>
    <row r="291" spans="1:6" ht="18" customHeight="1" x14ac:dyDescent="0.2">
      <c r="A291" s="204"/>
      <c r="B291" s="204"/>
      <c r="C291" s="204"/>
      <c r="D291" s="206"/>
      <c r="E291" s="206"/>
      <c r="F291" s="204"/>
    </row>
    <row r="292" spans="1:6" ht="18" customHeight="1" x14ac:dyDescent="0.2">
      <c r="A292" s="204"/>
      <c r="B292" s="204"/>
      <c r="C292" s="204"/>
      <c r="D292" s="206"/>
      <c r="E292" s="206"/>
      <c r="F292" s="204"/>
    </row>
    <row r="293" spans="1:6" ht="18" customHeight="1" x14ac:dyDescent="0.2">
      <c r="A293" s="204"/>
      <c r="B293" s="204"/>
      <c r="C293" s="204"/>
      <c r="D293" s="206"/>
      <c r="E293" s="206"/>
      <c r="F293" s="204"/>
    </row>
    <row r="294" spans="1:6" ht="18" customHeight="1" x14ac:dyDescent="0.2">
      <c r="A294" s="204"/>
      <c r="B294" s="204"/>
      <c r="C294" s="204"/>
      <c r="D294" s="206"/>
      <c r="E294" s="206"/>
      <c r="F294" s="204"/>
    </row>
    <row r="295" spans="1:6" ht="18" customHeight="1" x14ac:dyDescent="0.2">
      <c r="A295" s="204"/>
      <c r="B295" s="204"/>
      <c r="C295" s="204"/>
      <c r="D295" s="206"/>
      <c r="E295" s="206"/>
      <c r="F295" s="204"/>
    </row>
    <row r="296" spans="1:6" ht="18" customHeight="1" x14ac:dyDescent="0.2">
      <c r="A296" s="204"/>
      <c r="B296" s="204"/>
      <c r="C296" s="204"/>
      <c r="D296" s="206"/>
      <c r="E296" s="206"/>
      <c r="F296" s="204"/>
    </row>
    <row r="297" spans="1:6" ht="18" customHeight="1" x14ac:dyDescent="0.2">
      <c r="A297" s="204"/>
      <c r="B297" s="204"/>
      <c r="C297" s="204"/>
      <c r="D297" s="206"/>
      <c r="E297" s="206"/>
      <c r="F297" s="204"/>
    </row>
    <row r="298" spans="1:6" ht="18" customHeight="1" x14ac:dyDescent="0.2">
      <c r="A298" s="204"/>
      <c r="B298" s="204"/>
      <c r="C298" s="204"/>
      <c r="D298" s="206"/>
      <c r="E298" s="206"/>
      <c r="F298" s="204"/>
    </row>
    <row r="299" spans="1:6" ht="18" customHeight="1" x14ac:dyDescent="0.2">
      <c r="A299" s="204"/>
      <c r="B299" s="204"/>
      <c r="C299" s="204"/>
      <c r="D299" s="206"/>
      <c r="E299" s="206"/>
      <c r="F299" s="204"/>
    </row>
    <row r="300" spans="1:6" ht="18" customHeight="1" x14ac:dyDescent="0.2">
      <c r="A300" s="204"/>
      <c r="B300" s="204"/>
      <c r="C300" s="204"/>
      <c r="D300" s="206"/>
      <c r="E300" s="206"/>
      <c r="F300" s="204"/>
    </row>
    <row r="301" spans="1:6" ht="18" customHeight="1" x14ac:dyDescent="0.2">
      <c r="A301" s="204"/>
      <c r="B301" s="204"/>
      <c r="C301" s="204"/>
      <c r="D301" s="206"/>
      <c r="E301" s="206"/>
      <c r="F301" s="204"/>
    </row>
    <row r="302" spans="1:6" ht="18" customHeight="1" x14ac:dyDescent="0.2">
      <c r="A302" s="204"/>
      <c r="B302" s="204"/>
      <c r="C302" s="204"/>
      <c r="D302" s="206"/>
      <c r="E302" s="206"/>
      <c r="F302" s="204"/>
    </row>
  </sheetData>
  <sheetProtection formatCells="0" formatColumns="0" formatRows="0" insertColumns="0" insertRows="0" insertHyperlinks="0" deleteColumns="0" deleteRows="0" sort="0" autoFilter="0" pivotTables="0"/>
  <mergeCells count="16">
    <mergeCell ref="A69:D69"/>
    <mergeCell ref="A62:F62"/>
    <mergeCell ref="A63:D63"/>
    <mergeCell ref="A64:C64"/>
    <mergeCell ref="A65:C65"/>
    <mergeCell ref="A66:C66"/>
    <mergeCell ref="A67:D67"/>
    <mergeCell ref="A60:D60"/>
    <mergeCell ref="D3:F3"/>
    <mergeCell ref="A1:A3"/>
    <mergeCell ref="A10:F10"/>
    <mergeCell ref="B1:F1"/>
    <mergeCell ref="B2:F2"/>
    <mergeCell ref="B3:C3"/>
    <mergeCell ref="B6:F6"/>
    <mergeCell ref="B5:F5"/>
  </mergeCells>
  <dataValidations count="4">
    <dataValidation allowBlank="1" showInputMessage="1" showErrorMessage="1" prompt="diligencie la dedicación del personal relacionado._x000a_" sqref="B54:B59 C12:C59" xr:uid="{00000000-0002-0000-0A00-000000000000}"/>
    <dataValidation allowBlank="1" showInputMessage="1" showErrorMessage="1" prompt="definir la unidad de medida con la cual se asigna el valor unitario." sqref="D12:D46" xr:uid="{00000000-0002-0000-0A00-000001000000}"/>
    <dataValidation allowBlank="1" showInputMessage="1" showErrorMessage="1" prompt="traer el valor definido en la hoja &quot;honorarios Corporativos&quot;" sqref="B54:B59 C47:C59" xr:uid="{00000000-0002-0000-0A00-000002000000}"/>
    <dataValidation allowBlank="1" showInputMessage="1" showErrorMessage="1" prompt="diligencie la cantidad del personal requerido" sqref="B12:B53" xr:uid="{00000000-0002-0000-0A00-000003000000}"/>
  </dataValidations>
  <hyperlinks>
    <hyperlink ref="G1" location="ins" display="Instructivo" xr:uid="{00000000-0004-0000-0A00-000000000000}"/>
    <hyperlink ref="G2" location="impg" display="Impuestos y garantías" xr:uid="{00000000-0004-0000-0A00-000001000000}"/>
    <hyperlink ref="F66" location="IVA" display="Info IVA" xr:uid="{00000000-0004-0000-0A00-000002000000}"/>
  </hyperlinks>
  <printOptions horizontalCentered="1"/>
  <pageMargins left="0" right="0" top="0" bottom="0" header="0" footer="0"/>
  <pageSetup scale="88" fitToHeight="0" orientation="landscape"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27">
    <tabColor theme="5" tint="0.39997558519241921"/>
    <pageSetUpPr fitToPage="1"/>
  </sheetPr>
  <dimension ref="A1:BB954"/>
  <sheetViews>
    <sheetView showGridLines="0" topLeftCell="C1" zoomScale="90" zoomScaleNormal="90" workbookViewId="0">
      <selection activeCell="A17" sqref="A17:F17"/>
    </sheetView>
  </sheetViews>
  <sheetFormatPr baseColWidth="10" defaultColWidth="9.1640625" defaultRowHeight="18" customHeight="1" x14ac:dyDescent="0.2"/>
  <cols>
    <col min="1" max="1" width="9.1640625" style="513" hidden="1" customWidth="1"/>
    <col min="2" max="2" width="9.1640625" style="514" hidden="1" customWidth="1"/>
    <col min="3" max="3" width="7.5" style="205" customWidth="1"/>
    <col min="4" max="4" width="23.1640625" style="205" customWidth="1"/>
    <col min="5" max="5" width="17.5" style="205" customWidth="1"/>
    <col min="6" max="6" width="13.1640625" style="205" customWidth="1"/>
    <col min="7" max="7" width="16.6640625" style="213" customWidth="1"/>
    <col min="8" max="8" width="17" style="213" customWidth="1"/>
    <col min="9" max="9" width="13.1640625" style="205" customWidth="1"/>
    <col min="10" max="10" width="12" style="204" customWidth="1"/>
    <col min="11" max="11" width="24.83203125" style="204" customWidth="1"/>
    <col min="12" max="12" width="6.1640625" style="506" hidden="1" customWidth="1"/>
    <col min="13" max="13" width="16" style="204" customWidth="1"/>
    <col min="14" max="14" width="15.33203125" style="204" customWidth="1"/>
    <col min="15" max="15" width="17.1640625" style="204" customWidth="1"/>
    <col min="16" max="16" width="14.33203125" style="204" customWidth="1"/>
    <col min="17" max="54" width="9.1640625" style="204"/>
    <col min="55" max="16384" width="9.1640625" style="205"/>
  </cols>
  <sheetData>
    <row r="1" spans="1:18" ht="18" customHeight="1" x14ac:dyDescent="0.2">
      <c r="A1" s="710"/>
      <c r="B1" s="711"/>
      <c r="C1" s="1441"/>
      <c r="D1" s="1442"/>
      <c r="E1" s="1429" t="s">
        <v>0</v>
      </c>
      <c r="F1" s="1430"/>
      <c r="G1" s="1430"/>
      <c r="H1" s="1430"/>
      <c r="I1" s="1430"/>
      <c r="J1" s="1430"/>
      <c r="K1" s="1430"/>
      <c r="L1" s="1430"/>
      <c r="M1" s="1430"/>
      <c r="N1" s="1430"/>
      <c r="O1" s="1430"/>
      <c r="P1" s="1431"/>
      <c r="Q1" s="434" t="s">
        <v>104</v>
      </c>
      <c r="R1" s="62"/>
    </row>
    <row r="2" spans="1:18" ht="18" customHeight="1" x14ac:dyDescent="0.2">
      <c r="A2" s="712"/>
      <c r="B2" s="506"/>
      <c r="C2" s="1443"/>
      <c r="D2" s="1444"/>
      <c r="E2" s="1432" t="s">
        <v>638</v>
      </c>
      <c r="F2" s="1433"/>
      <c r="G2" s="1433"/>
      <c r="H2" s="1433"/>
      <c r="I2" s="1433"/>
      <c r="J2" s="1433"/>
      <c r="K2" s="1433"/>
      <c r="L2" s="1433"/>
      <c r="M2" s="1433"/>
      <c r="N2" s="1433"/>
      <c r="O2" s="1433"/>
      <c r="P2" s="1434"/>
    </row>
    <row r="3" spans="1:18" ht="18" customHeight="1" thickBot="1" x14ac:dyDescent="0.25">
      <c r="A3" s="713"/>
      <c r="B3" s="714"/>
      <c r="C3" s="1445"/>
      <c r="D3" s="1446"/>
      <c r="E3" s="954" t="s">
        <v>2</v>
      </c>
      <c r="F3" s="1139"/>
      <c r="G3" s="1139"/>
      <c r="H3" s="1139"/>
      <c r="I3" s="1139"/>
      <c r="J3" s="1139"/>
      <c r="K3" s="1139" t="str">
        <f>Instructivo!G3</f>
        <v>VERSIÓN: 04</v>
      </c>
      <c r="L3" s="1139"/>
      <c r="M3" s="1139"/>
      <c r="N3" s="1139"/>
      <c r="O3" s="1139"/>
      <c r="P3" s="1182"/>
    </row>
    <row r="4" spans="1:18" s="204" customFormat="1" ht="18" customHeight="1" thickBot="1" x14ac:dyDescent="0.25">
      <c r="A4" s="569"/>
      <c r="B4" s="569"/>
      <c r="C4" s="559"/>
      <c r="D4" s="559"/>
      <c r="E4" s="67"/>
      <c r="F4" s="67"/>
      <c r="G4" s="67"/>
      <c r="H4" s="67"/>
      <c r="I4" s="67"/>
      <c r="J4" s="67"/>
      <c r="K4" s="67"/>
      <c r="L4" s="67"/>
      <c r="M4" s="67"/>
      <c r="N4" s="67"/>
      <c r="O4" s="67"/>
      <c r="P4" s="67"/>
    </row>
    <row r="5" spans="1:18" s="204" customFormat="1" ht="29.25" customHeight="1" thickBot="1" x14ac:dyDescent="0.25">
      <c r="A5" s="569"/>
      <c r="B5" s="569"/>
      <c r="C5" s="1092" t="s">
        <v>106</v>
      </c>
      <c r="D5" s="1093"/>
      <c r="E5" s="956" t="str">
        <f>'Plan Ejecución'!AE5</f>
        <v>Licitación Pública</v>
      </c>
      <c r="F5" s="957"/>
      <c r="G5" s="957"/>
      <c r="H5" s="957"/>
      <c r="I5" s="957"/>
      <c r="J5" s="957"/>
      <c r="K5" s="957"/>
      <c r="L5" s="957"/>
      <c r="M5" s="957"/>
      <c r="N5" s="957"/>
      <c r="O5" s="957"/>
      <c r="P5" s="958"/>
    </row>
    <row r="6" spans="1:18" s="204" customFormat="1" ht="34.5" customHeight="1" thickBot="1" x14ac:dyDescent="0.25">
      <c r="A6" s="569"/>
      <c r="B6" s="569"/>
      <c r="C6" s="1092" t="s">
        <v>108</v>
      </c>
      <c r="D6" s="1093"/>
      <c r="E6" s="956" t="str">
        <f>'Plan Ejecución'!AE6</f>
        <v>“Adquirir el Programa de Seguros para la protección de los bienes e intereses, según los ramos y coberturas que requiera CORANTIOQUIA”.</v>
      </c>
      <c r="F6" s="957"/>
      <c r="G6" s="957"/>
      <c r="H6" s="957"/>
      <c r="I6" s="957"/>
      <c r="J6" s="957"/>
      <c r="K6" s="957"/>
      <c r="L6" s="957"/>
      <c r="M6" s="957"/>
      <c r="N6" s="957"/>
      <c r="O6" s="957"/>
      <c r="P6" s="958"/>
    </row>
    <row r="7" spans="1:18" s="204" customFormat="1" ht="18" customHeight="1" thickBot="1" x14ac:dyDescent="0.25">
      <c r="A7" s="569"/>
      <c r="B7" s="569"/>
      <c r="C7" s="559"/>
      <c r="D7" s="559"/>
      <c r="E7" s="67"/>
      <c r="F7" s="67"/>
      <c r="G7" s="67"/>
      <c r="H7" s="67"/>
      <c r="I7" s="67"/>
      <c r="J7" s="67"/>
      <c r="K7" s="67"/>
      <c r="L7" s="67"/>
      <c r="M7" s="67"/>
      <c r="N7" s="67"/>
      <c r="O7" s="67"/>
      <c r="P7" s="67"/>
    </row>
    <row r="8" spans="1:18" s="204" customFormat="1" ht="168.75" customHeight="1" thickBot="1" x14ac:dyDescent="0.25">
      <c r="A8" s="513"/>
      <c r="B8" s="514"/>
      <c r="C8" s="1423" t="s">
        <v>639</v>
      </c>
      <c r="D8" s="1424"/>
      <c r="E8" s="1424"/>
      <c r="F8" s="1424"/>
      <c r="G8" s="1424"/>
      <c r="H8" s="1424"/>
      <c r="I8" s="1424"/>
      <c r="J8" s="1424"/>
      <c r="K8" s="1424"/>
      <c r="L8" s="1424"/>
      <c r="M8" s="1424"/>
      <c r="N8" s="1424"/>
      <c r="O8" s="1424"/>
      <c r="P8" s="1425"/>
    </row>
    <row r="9" spans="1:18" s="204" customFormat="1" ht="55.5" customHeight="1" thickBot="1" x14ac:dyDescent="0.25">
      <c r="A9" s="513"/>
      <c r="B9" s="514"/>
      <c r="C9" s="1423" t="s">
        <v>640</v>
      </c>
      <c r="D9" s="1424"/>
      <c r="E9" s="1424"/>
      <c r="F9" s="1424"/>
      <c r="G9" s="1424"/>
      <c r="H9" s="1424"/>
      <c r="I9" s="1424"/>
      <c r="J9" s="1424"/>
      <c r="K9" s="1424"/>
      <c r="L9" s="1424"/>
      <c r="M9" s="1424"/>
      <c r="N9" s="1424"/>
      <c r="O9" s="1424"/>
      <c r="P9" s="1425"/>
    </row>
    <row r="10" spans="1:18" s="204" customFormat="1" ht="18" customHeight="1" thickBot="1" x14ac:dyDescent="0.25">
      <c r="A10" s="513"/>
      <c r="B10" s="514"/>
      <c r="D10" s="1443"/>
      <c r="E10" s="1443"/>
      <c r="F10" s="1443"/>
      <c r="G10" s="1443"/>
      <c r="H10" s="1443"/>
      <c r="I10" s="1443"/>
      <c r="L10" s="506"/>
    </row>
    <row r="11" spans="1:18" s="204" customFormat="1" ht="54.75" customHeight="1" thickBot="1" x14ac:dyDescent="0.25">
      <c r="A11" s="513"/>
      <c r="B11" s="514"/>
      <c r="C11" s="1423" t="s">
        <v>641</v>
      </c>
      <c r="D11" s="1424"/>
      <c r="E11" s="1424"/>
      <c r="F11" s="1424"/>
      <c r="G11" s="1424"/>
      <c r="H11" s="1424"/>
      <c r="I11" s="1424"/>
      <c r="J11" s="1424"/>
      <c r="K11" s="1424"/>
      <c r="L11" s="1424"/>
      <c r="M11" s="1424"/>
      <c r="N11" s="1424"/>
      <c r="O11" s="1424"/>
      <c r="P11" s="1425"/>
    </row>
    <row r="12" spans="1:18" s="204" customFormat="1" ht="18" customHeight="1" thickBot="1" x14ac:dyDescent="0.25">
      <c r="A12" s="513"/>
      <c r="B12" s="514"/>
      <c r="D12" s="504"/>
      <c r="E12" s="505"/>
      <c r="F12" s="505"/>
      <c r="G12" s="505"/>
      <c r="H12" s="505"/>
      <c r="I12" s="505"/>
      <c r="L12" s="506"/>
    </row>
    <row r="13" spans="1:18" s="204" customFormat="1" ht="18" customHeight="1" x14ac:dyDescent="0.2">
      <c r="A13" s="513"/>
      <c r="B13" s="514"/>
      <c r="C13" s="1420" t="s">
        <v>642</v>
      </c>
      <c r="D13" s="1421"/>
      <c r="E13" s="1421"/>
      <c r="F13" s="1421"/>
      <c r="G13" s="1421"/>
      <c r="H13" s="1421"/>
      <c r="I13" s="1421"/>
      <c r="J13" s="1421"/>
      <c r="K13" s="1422"/>
      <c r="L13" s="506"/>
      <c r="M13" s="208"/>
    </row>
    <row r="14" spans="1:18" s="204" customFormat="1" ht="29.25" customHeight="1" x14ac:dyDescent="0.2">
      <c r="A14" s="513"/>
      <c r="B14" s="514" t="s">
        <v>643</v>
      </c>
      <c r="C14" s="520" t="s">
        <v>448</v>
      </c>
      <c r="D14" s="1147" t="s">
        <v>370</v>
      </c>
      <c r="E14" s="1147"/>
      <c r="F14" s="1147"/>
      <c r="G14" s="108" t="s">
        <v>119</v>
      </c>
      <c r="H14" s="108" t="s">
        <v>373</v>
      </c>
      <c r="I14" s="1147" t="s">
        <v>384</v>
      </c>
      <c r="J14" s="1147"/>
      <c r="K14" s="522" t="s">
        <v>376</v>
      </c>
      <c r="L14" s="506"/>
      <c r="M14" s="509"/>
    </row>
    <row r="15" spans="1:18" s="204" customFormat="1" ht="18" customHeight="1" x14ac:dyDescent="0.2">
      <c r="A15" s="513"/>
      <c r="B15" s="514">
        <f t="shared" ref="B15:B46" si="0">IFERROR(K15/$K$265,0)</f>
        <v>0</v>
      </c>
      <c r="C15" s="521">
        <v>1</v>
      </c>
      <c r="D15" s="1313"/>
      <c r="E15" s="1313"/>
      <c r="F15" s="1313"/>
      <c r="G15" s="173"/>
      <c r="H15" s="173"/>
      <c r="I15" s="1428"/>
      <c r="J15" s="1428"/>
      <c r="K15" s="523">
        <f>H15*I15</f>
        <v>0</v>
      </c>
      <c r="L15" s="511"/>
      <c r="M15" s="508"/>
    </row>
    <row r="16" spans="1:18" s="204" customFormat="1" ht="18" customHeight="1" x14ac:dyDescent="0.2">
      <c r="A16" s="513"/>
      <c r="B16" s="514">
        <f t="shared" si="0"/>
        <v>0</v>
      </c>
      <c r="C16" s="521">
        <v>2</v>
      </c>
      <c r="D16" s="1313"/>
      <c r="E16" s="1313"/>
      <c r="F16" s="1313"/>
      <c r="G16" s="173"/>
      <c r="H16" s="173"/>
      <c r="I16" s="1428"/>
      <c r="J16" s="1428"/>
      <c r="K16" s="523">
        <f t="shared" ref="K16:K238" si="1">H16*I16</f>
        <v>0</v>
      </c>
      <c r="L16" s="511"/>
      <c r="M16" s="508"/>
    </row>
    <row r="17" spans="1:13" s="204" customFormat="1" ht="18" customHeight="1" x14ac:dyDescent="0.2">
      <c r="A17" s="513"/>
      <c r="B17" s="514">
        <f t="shared" si="0"/>
        <v>0</v>
      </c>
      <c r="C17" s="521">
        <v>3</v>
      </c>
      <c r="D17" s="1313"/>
      <c r="E17" s="1313"/>
      <c r="F17" s="1313"/>
      <c r="G17" s="173"/>
      <c r="H17" s="173"/>
      <c r="I17" s="1428"/>
      <c r="J17" s="1428"/>
      <c r="K17" s="523">
        <f t="shared" ref="K17:K80" si="2">H17*I17</f>
        <v>0</v>
      </c>
      <c r="L17" s="511"/>
      <c r="M17" s="508"/>
    </row>
    <row r="18" spans="1:13" s="204" customFormat="1" ht="18" customHeight="1" x14ac:dyDescent="0.2">
      <c r="A18" s="513"/>
      <c r="B18" s="514">
        <f t="shared" si="0"/>
        <v>0</v>
      </c>
      <c r="C18" s="521">
        <v>4</v>
      </c>
      <c r="D18" s="1313"/>
      <c r="E18" s="1313"/>
      <c r="F18" s="1313"/>
      <c r="G18" s="173"/>
      <c r="H18" s="173"/>
      <c r="I18" s="1428"/>
      <c r="J18" s="1428"/>
      <c r="K18" s="523">
        <f t="shared" si="2"/>
        <v>0</v>
      </c>
      <c r="L18" s="511"/>
      <c r="M18" s="508"/>
    </row>
    <row r="19" spans="1:13" s="204" customFormat="1" ht="18" customHeight="1" x14ac:dyDescent="0.2">
      <c r="A19" s="513"/>
      <c r="B19" s="514">
        <f t="shared" si="0"/>
        <v>0</v>
      </c>
      <c r="C19" s="521">
        <v>5</v>
      </c>
      <c r="D19" s="1313"/>
      <c r="E19" s="1313"/>
      <c r="F19" s="1313"/>
      <c r="G19" s="173"/>
      <c r="H19" s="173"/>
      <c r="I19" s="1428"/>
      <c r="J19" s="1428"/>
      <c r="K19" s="523">
        <f t="shared" si="2"/>
        <v>0</v>
      </c>
      <c r="L19" s="511"/>
      <c r="M19" s="508"/>
    </row>
    <row r="20" spans="1:13" s="204" customFormat="1" ht="18" hidden="1" customHeight="1" x14ac:dyDescent="0.2">
      <c r="A20" s="513"/>
      <c r="B20" s="514">
        <f t="shared" si="0"/>
        <v>0</v>
      </c>
      <c r="C20" s="521">
        <v>6</v>
      </c>
      <c r="D20" s="1313"/>
      <c r="E20" s="1313"/>
      <c r="F20" s="1313"/>
      <c r="G20" s="173"/>
      <c r="H20" s="173"/>
      <c r="I20" s="1428"/>
      <c r="J20" s="1428"/>
      <c r="K20" s="523">
        <f t="shared" si="2"/>
        <v>0</v>
      </c>
      <c r="L20" s="511"/>
      <c r="M20" s="508"/>
    </row>
    <row r="21" spans="1:13" s="204" customFormat="1" ht="18" hidden="1" customHeight="1" x14ac:dyDescent="0.2">
      <c r="A21" s="513"/>
      <c r="B21" s="514">
        <f t="shared" si="0"/>
        <v>0</v>
      </c>
      <c r="C21" s="521">
        <v>7</v>
      </c>
      <c r="D21" s="1313"/>
      <c r="E21" s="1313"/>
      <c r="F21" s="1313"/>
      <c r="G21" s="173"/>
      <c r="H21" s="173"/>
      <c r="I21" s="1428"/>
      <c r="J21" s="1428"/>
      <c r="K21" s="523">
        <f t="shared" si="2"/>
        <v>0</v>
      </c>
      <c r="L21" s="511"/>
      <c r="M21" s="508"/>
    </row>
    <row r="22" spans="1:13" s="204" customFormat="1" ht="18" hidden="1" customHeight="1" x14ac:dyDescent="0.2">
      <c r="A22" s="513"/>
      <c r="B22" s="514">
        <f t="shared" si="0"/>
        <v>0</v>
      </c>
      <c r="C22" s="521">
        <v>8</v>
      </c>
      <c r="D22" s="1313"/>
      <c r="E22" s="1313"/>
      <c r="F22" s="1313"/>
      <c r="G22" s="173"/>
      <c r="H22" s="173"/>
      <c r="I22" s="1428"/>
      <c r="J22" s="1428"/>
      <c r="K22" s="523">
        <f t="shared" si="2"/>
        <v>0</v>
      </c>
      <c r="L22" s="511"/>
      <c r="M22" s="508"/>
    </row>
    <row r="23" spans="1:13" s="204" customFormat="1" ht="18" hidden="1" customHeight="1" x14ac:dyDescent="0.2">
      <c r="A23" s="513"/>
      <c r="B23" s="514">
        <f t="shared" si="0"/>
        <v>0</v>
      </c>
      <c r="C23" s="521">
        <v>9</v>
      </c>
      <c r="D23" s="1313"/>
      <c r="E23" s="1313"/>
      <c r="F23" s="1313"/>
      <c r="G23" s="173"/>
      <c r="H23" s="173"/>
      <c r="I23" s="1428"/>
      <c r="J23" s="1428"/>
      <c r="K23" s="523">
        <f t="shared" si="2"/>
        <v>0</v>
      </c>
      <c r="L23" s="511"/>
      <c r="M23" s="508"/>
    </row>
    <row r="24" spans="1:13" s="204" customFormat="1" ht="18" hidden="1" customHeight="1" x14ac:dyDescent="0.2">
      <c r="A24" s="513"/>
      <c r="B24" s="514">
        <f t="shared" si="0"/>
        <v>0</v>
      </c>
      <c r="C24" s="521">
        <v>10</v>
      </c>
      <c r="D24" s="1313"/>
      <c r="E24" s="1313"/>
      <c r="F24" s="1313"/>
      <c r="G24" s="173"/>
      <c r="H24" s="173"/>
      <c r="I24" s="1428"/>
      <c r="J24" s="1428"/>
      <c r="K24" s="523">
        <f t="shared" si="2"/>
        <v>0</v>
      </c>
      <c r="L24" s="511"/>
      <c r="M24" s="508"/>
    </row>
    <row r="25" spans="1:13" s="204" customFormat="1" ht="18" hidden="1" customHeight="1" x14ac:dyDescent="0.2">
      <c r="A25" s="513"/>
      <c r="B25" s="514">
        <f t="shared" si="0"/>
        <v>0</v>
      </c>
      <c r="C25" s="521">
        <v>11</v>
      </c>
      <c r="D25" s="1313"/>
      <c r="E25" s="1313"/>
      <c r="F25" s="1313"/>
      <c r="G25" s="173"/>
      <c r="H25" s="173"/>
      <c r="I25" s="1428"/>
      <c r="J25" s="1428"/>
      <c r="K25" s="523">
        <f t="shared" si="2"/>
        <v>0</v>
      </c>
      <c r="L25" s="511"/>
      <c r="M25" s="508"/>
    </row>
    <row r="26" spans="1:13" s="204" customFormat="1" ht="18" hidden="1" customHeight="1" x14ac:dyDescent="0.2">
      <c r="A26" s="513"/>
      <c r="B26" s="514">
        <f t="shared" si="0"/>
        <v>0</v>
      </c>
      <c r="C26" s="521">
        <v>12</v>
      </c>
      <c r="D26" s="1313"/>
      <c r="E26" s="1313"/>
      <c r="F26" s="1313"/>
      <c r="G26" s="173"/>
      <c r="H26" s="173"/>
      <c r="I26" s="1428"/>
      <c r="J26" s="1428"/>
      <c r="K26" s="523">
        <f t="shared" si="2"/>
        <v>0</v>
      </c>
      <c r="L26" s="511"/>
      <c r="M26" s="508"/>
    </row>
    <row r="27" spans="1:13" s="204" customFormat="1" ht="18" hidden="1" customHeight="1" x14ac:dyDescent="0.2">
      <c r="A27" s="513"/>
      <c r="B27" s="514">
        <f t="shared" si="0"/>
        <v>0</v>
      </c>
      <c r="C27" s="521">
        <v>13</v>
      </c>
      <c r="D27" s="1313"/>
      <c r="E27" s="1313"/>
      <c r="F27" s="1313"/>
      <c r="G27" s="173"/>
      <c r="H27" s="173"/>
      <c r="I27" s="1428"/>
      <c r="J27" s="1428"/>
      <c r="K27" s="523">
        <f t="shared" si="2"/>
        <v>0</v>
      </c>
      <c r="L27" s="511"/>
      <c r="M27" s="508"/>
    </row>
    <row r="28" spans="1:13" s="204" customFormat="1" ht="18" hidden="1" customHeight="1" x14ac:dyDescent="0.2">
      <c r="A28" s="513"/>
      <c r="B28" s="514">
        <f t="shared" si="0"/>
        <v>0</v>
      </c>
      <c r="C28" s="521">
        <v>14</v>
      </c>
      <c r="D28" s="1313"/>
      <c r="E28" s="1313"/>
      <c r="F28" s="1313"/>
      <c r="G28" s="173"/>
      <c r="H28" s="173"/>
      <c r="I28" s="1428"/>
      <c r="J28" s="1428"/>
      <c r="K28" s="523">
        <f t="shared" si="2"/>
        <v>0</v>
      </c>
      <c r="L28" s="511"/>
      <c r="M28" s="508"/>
    </row>
    <row r="29" spans="1:13" s="204" customFormat="1" ht="18" hidden="1" customHeight="1" x14ac:dyDescent="0.2">
      <c r="A29" s="513"/>
      <c r="B29" s="514">
        <f t="shared" si="0"/>
        <v>0</v>
      </c>
      <c r="C29" s="521">
        <v>15</v>
      </c>
      <c r="D29" s="1313"/>
      <c r="E29" s="1313"/>
      <c r="F29" s="1313"/>
      <c r="G29" s="173"/>
      <c r="H29" s="173"/>
      <c r="I29" s="1428"/>
      <c r="J29" s="1428"/>
      <c r="K29" s="523">
        <f t="shared" si="2"/>
        <v>0</v>
      </c>
      <c r="L29" s="511"/>
      <c r="M29" s="508"/>
    </row>
    <row r="30" spans="1:13" s="204" customFormat="1" ht="18" hidden="1" customHeight="1" x14ac:dyDescent="0.2">
      <c r="A30" s="513"/>
      <c r="B30" s="514">
        <f t="shared" si="0"/>
        <v>0</v>
      </c>
      <c r="C30" s="521">
        <v>16</v>
      </c>
      <c r="D30" s="1313"/>
      <c r="E30" s="1313"/>
      <c r="F30" s="1313"/>
      <c r="G30" s="173"/>
      <c r="H30" s="173"/>
      <c r="I30" s="1428"/>
      <c r="J30" s="1428"/>
      <c r="K30" s="523">
        <f t="shared" si="2"/>
        <v>0</v>
      </c>
      <c r="L30" s="511"/>
      <c r="M30" s="508"/>
    </row>
    <row r="31" spans="1:13" s="204" customFormat="1" ht="18" hidden="1" customHeight="1" x14ac:dyDescent="0.2">
      <c r="A31" s="513"/>
      <c r="B31" s="514">
        <f t="shared" si="0"/>
        <v>0</v>
      </c>
      <c r="C31" s="521">
        <v>17</v>
      </c>
      <c r="D31" s="1313"/>
      <c r="E31" s="1313"/>
      <c r="F31" s="1313"/>
      <c r="G31" s="173"/>
      <c r="H31" s="173"/>
      <c r="I31" s="1428"/>
      <c r="J31" s="1428"/>
      <c r="K31" s="523">
        <f t="shared" si="2"/>
        <v>0</v>
      </c>
      <c r="L31" s="511"/>
      <c r="M31" s="508"/>
    </row>
    <row r="32" spans="1:13" s="204" customFormat="1" ht="18" hidden="1" customHeight="1" x14ac:dyDescent="0.2">
      <c r="A32" s="513"/>
      <c r="B32" s="514">
        <f t="shared" si="0"/>
        <v>0</v>
      </c>
      <c r="C32" s="521">
        <v>18</v>
      </c>
      <c r="D32" s="1313"/>
      <c r="E32" s="1313"/>
      <c r="F32" s="1313"/>
      <c r="G32" s="173"/>
      <c r="H32" s="173"/>
      <c r="I32" s="1428"/>
      <c r="J32" s="1428"/>
      <c r="K32" s="523">
        <f t="shared" si="2"/>
        <v>0</v>
      </c>
      <c r="L32" s="511"/>
      <c r="M32" s="508"/>
    </row>
    <row r="33" spans="1:13" s="204" customFormat="1" ht="18" hidden="1" customHeight="1" x14ac:dyDescent="0.2">
      <c r="A33" s="513"/>
      <c r="B33" s="514">
        <f t="shared" si="0"/>
        <v>0</v>
      </c>
      <c r="C33" s="521">
        <v>19</v>
      </c>
      <c r="D33" s="1313"/>
      <c r="E33" s="1313"/>
      <c r="F33" s="1313"/>
      <c r="G33" s="173"/>
      <c r="H33" s="173"/>
      <c r="I33" s="1428"/>
      <c r="J33" s="1428"/>
      <c r="K33" s="523">
        <f t="shared" si="2"/>
        <v>0</v>
      </c>
      <c r="L33" s="511"/>
      <c r="M33" s="508"/>
    </row>
    <row r="34" spans="1:13" s="204" customFormat="1" ht="18" hidden="1" customHeight="1" x14ac:dyDescent="0.2">
      <c r="A34" s="513"/>
      <c r="B34" s="514">
        <f t="shared" si="0"/>
        <v>0</v>
      </c>
      <c r="C34" s="521">
        <v>20</v>
      </c>
      <c r="D34" s="1313"/>
      <c r="E34" s="1313"/>
      <c r="F34" s="1313"/>
      <c r="G34" s="173"/>
      <c r="H34" s="173"/>
      <c r="I34" s="1428"/>
      <c r="J34" s="1428"/>
      <c r="K34" s="523">
        <f t="shared" si="2"/>
        <v>0</v>
      </c>
      <c r="L34" s="511"/>
      <c r="M34" s="508"/>
    </row>
    <row r="35" spans="1:13" s="204" customFormat="1" ht="18" hidden="1" customHeight="1" x14ac:dyDescent="0.2">
      <c r="A35" s="513"/>
      <c r="B35" s="514">
        <f t="shared" si="0"/>
        <v>0</v>
      </c>
      <c r="C35" s="521">
        <v>21</v>
      </c>
      <c r="D35" s="1313"/>
      <c r="E35" s="1313"/>
      <c r="F35" s="1313"/>
      <c r="G35" s="173"/>
      <c r="H35" s="173"/>
      <c r="I35" s="1428"/>
      <c r="J35" s="1428"/>
      <c r="K35" s="523">
        <f t="shared" si="2"/>
        <v>0</v>
      </c>
      <c r="L35" s="511"/>
      <c r="M35" s="508"/>
    </row>
    <row r="36" spans="1:13" s="204" customFormat="1" ht="18" hidden="1" customHeight="1" x14ac:dyDescent="0.2">
      <c r="A36" s="513"/>
      <c r="B36" s="514">
        <f t="shared" si="0"/>
        <v>0</v>
      </c>
      <c r="C36" s="521">
        <v>22</v>
      </c>
      <c r="D36" s="1313"/>
      <c r="E36" s="1313"/>
      <c r="F36" s="1313"/>
      <c r="G36" s="173"/>
      <c r="H36" s="173"/>
      <c r="I36" s="1428"/>
      <c r="J36" s="1428"/>
      <c r="K36" s="523">
        <f t="shared" si="2"/>
        <v>0</v>
      </c>
      <c r="L36" s="511"/>
      <c r="M36" s="508"/>
    </row>
    <row r="37" spans="1:13" s="204" customFormat="1" ht="18" hidden="1" customHeight="1" x14ac:dyDescent="0.2">
      <c r="A37" s="513"/>
      <c r="B37" s="514">
        <f t="shared" si="0"/>
        <v>0</v>
      </c>
      <c r="C37" s="521">
        <v>23</v>
      </c>
      <c r="D37" s="1313"/>
      <c r="E37" s="1313"/>
      <c r="F37" s="1313"/>
      <c r="G37" s="173"/>
      <c r="H37" s="173"/>
      <c r="I37" s="1428"/>
      <c r="J37" s="1428"/>
      <c r="K37" s="523">
        <f t="shared" si="2"/>
        <v>0</v>
      </c>
      <c r="L37" s="511"/>
      <c r="M37" s="508"/>
    </row>
    <row r="38" spans="1:13" s="204" customFormat="1" ht="18" hidden="1" customHeight="1" x14ac:dyDescent="0.2">
      <c r="A38" s="513"/>
      <c r="B38" s="514">
        <f t="shared" si="0"/>
        <v>0</v>
      </c>
      <c r="C38" s="521">
        <v>24</v>
      </c>
      <c r="D38" s="1313"/>
      <c r="E38" s="1313"/>
      <c r="F38" s="1313"/>
      <c r="G38" s="173"/>
      <c r="H38" s="173"/>
      <c r="I38" s="1428"/>
      <c r="J38" s="1428"/>
      <c r="K38" s="523">
        <f t="shared" si="2"/>
        <v>0</v>
      </c>
      <c r="L38" s="511"/>
      <c r="M38" s="508"/>
    </row>
    <row r="39" spans="1:13" s="204" customFormat="1" ht="18" hidden="1" customHeight="1" x14ac:dyDescent="0.2">
      <c r="A39" s="513"/>
      <c r="B39" s="514">
        <f t="shared" si="0"/>
        <v>0</v>
      </c>
      <c r="C39" s="521">
        <v>25</v>
      </c>
      <c r="D39" s="1313"/>
      <c r="E39" s="1313"/>
      <c r="F39" s="1313"/>
      <c r="G39" s="173"/>
      <c r="H39" s="173"/>
      <c r="I39" s="1428"/>
      <c r="J39" s="1428"/>
      <c r="K39" s="523">
        <f t="shared" si="2"/>
        <v>0</v>
      </c>
      <c r="L39" s="511"/>
      <c r="M39" s="508"/>
    </row>
    <row r="40" spans="1:13" s="204" customFormat="1" ht="18" hidden="1" customHeight="1" x14ac:dyDescent="0.2">
      <c r="A40" s="513"/>
      <c r="B40" s="514">
        <f t="shared" si="0"/>
        <v>0</v>
      </c>
      <c r="C40" s="521">
        <v>26</v>
      </c>
      <c r="D40" s="1313"/>
      <c r="E40" s="1313"/>
      <c r="F40" s="1313"/>
      <c r="G40" s="173"/>
      <c r="H40" s="173"/>
      <c r="I40" s="1428"/>
      <c r="J40" s="1428"/>
      <c r="K40" s="523">
        <f t="shared" si="2"/>
        <v>0</v>
      </c>
      <c r="L40" s="511"/>
      <c r="M40" s="508"/>
    </row>
    <row r="41" spans="1:13" s="204" customFormat="1" ht="18" hidden="1" customHeight="1" x14ac:dyDescent="0.2">
      <c r="A41" s="513"/>
      <c r="B41" s="514">
        <f t="shared" si="0"/>
        <v>0</v>
      </c>
      <c r="C41" s="521">
        <v>27</v>
      </c>
      <c r="D41" s="1313"/>
      <c r="E41" s="1313"/>
      <c r="F41" s="1313"/>
      <c r="G41" s="173"/>
      <c r="H41" s="173"/>
      <c r="I41" s="1428"/>
      <c r="J41" s="1428"/>
      <c r="K41" s="523">
        <f t="shared" si="2"/>
        <v>0</v>
      </c>
      <c r="L41" s="511"/>
      <c r="M41" s="508"/>
    </row>
    <row r="42" spans="1:13" s="204" customFormat="1" ht="18" hidden="1" customHeight="1" x14ac:dyDescent="0.2">
      <c r="A42" s="513"/>
      <c r="B42" s="514">
        <f t="shared" si="0"/>
        <v>0</v>
      </c>
      <c r="C42" s="521">
        <v>28</v>
      </c>
      <c r="D42" s="1313"/>
      <c r="E42" s="1313"/>
      <c r="F42" s="1313"/>
      <c r="G42" s="173"/>
      <c r="H42" s="173"/>
      <c r="I42" s="1428"/>
      <c r="J42" s="1428"/>
      <c r="K42" s="523">
        <f t="shared" si="2"/>
        <v>0</v>
      </c>
      <c r="L42" s="511"/>
      <c r="M42" s="508"/>
    </row>
    <row r="43" spans="1:13" s="204" customFormat="1" ht="18" hidden="1" customHeight="1" x14ac:dyDescent="0.2">
      <c r="A43" s="513"/>
      <c r="B43" s="514">
        <f t="shared" si="0"/>
        <v>0</v>
      </c>
      <c r="C43" s="521">
        <v>29</v>
      </c>
      <c r="D43" s="1313"/>
      <c r="E43" s="1313"/>
      <c r="F43" s="1313"/>
      <c r="G43" s="173"/>
      <c r="H43" s="173"/>
      <c r="I43" s="1428"/>
      <c r="J43" s="1428"/>
      <c r="K43" s="523">
        <f t="shared" si="2"/>
        <v>0</v>
      </c>
      <c r="L43" s="511"/>
      <c r="M43" s="508"/>
    </row>
    <row r="44" spans="1:13" s="204" customFormat="1" ht="18" hidden="1" customHeight="1" x14ac:dyDescent="0.2">
      <c r="A44" s="513"/>
      <c r="B44" s="514">
        <f t="shared" si="0"/>
        <v>0</v>
      </c>
      <c r="C44" s="521">
        <v>30</v>
      </c>
      <c r="D44" s="1313"/>
      <c r="E44" s="1313"/>
      <c r="F44" s="1313"/>
      <c r="G44" s="173"/>
      <c r="H44" s="173"/>
      <c r="I44" s="1428"/>
      <c r="J44" s="1428"/>
      <c r="K44" s="523">
        <f t="shared" si="2"/>
        <v>0</v>
      </c>
      <c r="L44" s="511"/>
      <c r="M44" s="508"/>
    </row>
    <row r="45" spans="1:13" s="204" customFormat="1" ht="18" hidden="1" customHeight="1" x14ac:dyDescent="0.2">
      <c r="A45" s="513"/>
      <c r="B45" s="514">
        <f t="shared" si="0"/>
        <v>0</v>
      </c>
      <c r="C45" s="521">
        <v>31</v>
      </c>
      <c r="D45" s="1313"/>
      <c r="E45" s="1313"/>
      <c r="F45" s="1313"/>
      <c r="G45" s="173"/>
      <c r="H45" s="173"/>
      <c r="I45" s="1428"/>
      <c r="J45" s="1428"/>
      <c r="K45" s="523">
        <f t="shared" si="2"/>
        <v>0</v>
      </c>
      <c r="L45" s="511"/>
      <c r="M45" s="508"/>
    </row>
    <row r="46" spans="1:13" s="204" customFormat="1" ht="18" hidden="1" customHeight="1" x14ac:dyDescent="0.2">
      <c r="A46" s="513"/>
      <c r="B46" s="514">
        <f t="shared" si="0"/>
        <v>0</v>
      </c>
      <c r="C46" s="521">
        <v>32</v>
      </c>
      <c r="D46" s="1313"/>
      <c r="E46" s="1313"/>
      <c r="F46" s="1313"/>
      <c r="G46" s="173"/>
      <c r="H46" s="173"/>
      <c r="I46" s="1428"/>
      <c r="J46" s="1428"/>
      <c r="K46" s="523">
        <f t="shared" si="2"/>
        <v>0</v>
      </c>
      <c r="L46" s="511"/>
      <c r="M46" s="508"/>
    </row>
    <row r="47" spans="1:13" s="204" customFormat="1" ht="18" hidden="1" customHeight="1" x14ac:dyDescent="0.2">
      <c r="A47" s="513"/>
      <c r="B47" s="514">
        <f t="shared" ref="B47:B80" si="3">IFERROR(K47/$K$265,0)</f>
        <v>0</v>
      </c>
      <c r="C47" s="521">
        <v>33</v>
      </c>
      <c r="D47" s="1313"/>
      <c r="E47" s="1313"/>
      <c r="F47" s="1313"/>
      <c r="G47" s="173"/>
      <c r="H47" s="173"/>
      <c r="I47" s="1428"/>
      <c r="J47" s="1428"/>
      <c r="K47" s="523">
        <f t="shared" si="2"/>
        <v>0</v>
      </c>
      <c r="L47" s="511"/>
      <c r="M47" s="508"/>
    </row>
    <row r="48" spans="1:13" s="204" customFormat="1" ht="18" hidden="1" customHeight="1" x14ac:dyDescent="0.2">
      <c r="A48" s="513"/>
      <c r="B48" s="514">
        <f t="shared" si="3"/>
        <v>0</v>
      </c>
      <c r="C48" s="521">
        <v>34</v>
      </c>
      <c r="D48" s="1313"/>
      <c r="E48" s="1313"/>
      <c r="F48" s="1313"/>
      <c r="G48" s="173"/>
      <c r="H48" s="173"/>
      <c r="I48" s="1428"/>
      <c r="J48" s="1428"/>
      <c r="K48" s="523">
        <f t="shared" si="2"/>
        <v>0</v>
      </c>
      <c r="L48" s="511"/>
      <c r="M48" s="508"/>
    </row>
    <row r="49" spans="1:13" s="204" customFormat="1" ht="18" hidden="1" customHeight="1" x14ac:dyDescent="0.2">
      <c r="A49" s="513"/>
      <c r="B49" s="514">
        <f t="shared" si="3"/>
        <v>0</v>
      </c>
      <c r="C49" s="521">
        <v>35</v>
      </c>
      <c r="D49" s="1313"/>
      <c r="E49" s="1313"/>
      <c r="F49" s="1313"/>
      <c r="G49" s="173"/>
      <c r="H49" s="173"/>
      <c r="I49" s="1428"/>
      <c r="J49" s="1428"/>
      <c r="K49" s="523">
        <f t="shared" si="2"/>
        <v>0</v>
      </c>
      <c r="L49" s="511"/>
      <c r="M49" s="508"/>
    </row>
    <row r="50" spans="1:13" s="204" customFormat="1" ht="18" hidden="1" customHeight="1" x14ac:dyDescent="0.2">
      <c r="A50" s="513"/>
      <c r="B50" s="514">
        <f t="shared" si="3"/>
        <v>0</v>
      </c>
      <c r="C50" s="521">
        <v>36</v>
      </c>
      <c r="D50" s="1313"/>
      <c r="E50" s="1313"/>
      <c r="F50" s="1313"/>
      <c r="G50" s="173"/>
      <c r="H50" s="173"/>
      <c r="I50" s="1428"/>
      <c r="J50" s="1428"/>
      <c r="K50" s="523">
        <f t="shared" si="2"/>
        <v>0</v>
      </c>
      <c r="L50" s="511"/>
      <c r="M50" s="508"/>
    </row>
    <row r="51" spans="1:13" s="204" customFormat="1" ht="18" hidden="1" customHeight="1" x14ac:dyDescent="0.2">
      <c r="A51" s="513"/>
      <c r="B51" s="514">
        <f t="shared" si="3"/>
        <v>0</v>
      </c>
      <c r="C51" s="521">
        <v>37</v>
      </c>
      <c r="D51" s="1313"/>
      <c r="E51" s="1313"/>
      <c r="F51" s="1313"/>
      <c r="G51" s="173"/>
      <c r="H51" s="173"/>
      <c r="I51" s="1428"/>
      <c r="J51" s="1428"/>
      <c r="K51" s="523">
        <f t="shared" si="2"/>
        <v>0</v>
      </c>
      <c r="L51" s="511"/>
      <c r="M51" s="508"/>
    </row>
    <row r="52" spans="1:13" s="204" customFormat="1" ht="18" hidden="1" customHeight="1" x14ac:dyDescent="0.2">
      <c r="A52" s="513"/>
      <c r="B52" s="514">
        <f t="shared" si="3"/>
        <v>0</v>
      </c>
      <c r="C52" s="521">
        <v>38</v>
      </c>
      <c r="D52" s="1313"/>
      <c r="E52" s="1313"/>
      <c r="F52" s="1313"/>
      <c r="G52" s="173"/>
      <c r="H52" s="173"/>
      <c r="I52" s="1428"/>
      <c r="J52" s="1428"/>
      <c r="K52" s="523">
        <f t="shared" si="2"/>
        <v>0</v>
      </c>
      <c r="L52" s="511"/>
      <c r="M52" s="508"/>
    </row>
    <row r="53" spans="1:13" s="204" customFormat="1" ht="18" hidden="1" customHeight="1" x14ac:dyDescent="0.2">
      <c r="A53" s="513"/>
      <c r="B53" s="514">
        <f t="shared" si="3"/>
        <v>0</v>
      </c>
      <c r="C53" s="521">
        <v>39</v>
      </c>
      <c r="D53" s="1313"/>
      <c r="E53" s="1313"/>
      <c r="F53" s="1313"/>
      <c r="G53" s="173"/>
      <c r="H53" s="173"/>
      <c r="I53" s="1428"/>
      <c r="J53" s="1428"/>
      <c r="K53" s="523">
        <f t="shared" si="2"/>
        <v>0</v>
      </c>
      <c r="L53" s="511"/>
      <c r="M53" s="508"/>
    </row>
    <row r="54" spans="1:13" s="204" customFormat="1" ht="18" hidden="1" customHeight="1" x14ac:dyDescent="0.2">
      <c r="A54" s="513"/>
      <c r="B54" s="514">
        <f t="shared" si="3"/>
        <v>0</v>
      </c>
      <c r="C54" s="521">
        <v>40</v>
      </c>
      <c r="D54" s="1313"/>
      <c r="E54" s="1313"/>
      <c r="F54" s="1313"/>
      <c r="G54" s="173"/>
      <c r="H54" s="173"/>
      <c r="I54" s="1428"/>
      <c r="J54" s="1428"/>
      <c r="K54" s="523">
        <f t="shared" si="2"/>
        <v>0</v>
      </c>
      <c r="L54" s="511"/>
      <c r="M54" s="508"/>
    </row>
    <row r="55" spans="1:13" s="204" customFormat="1" ht="18" hidden="1" customHeight="1" x14ac:dyDescent="0.2">
      <c r="A55" s="513"/>
      <c r="B55" s="514">
        <f t="shared" si="3"/>
        <v>0</v>
      </c>
      <c r="C55" s="521">
        <v>41</v>
      </c>
      <c r="D55" s="1313"/>
      <c r="E55" s="1313"/>
      <c r="F55" s="1313"/>
      <c r="G55" s="173"/>
      <c r="H55" s="173"/>
      <c r="I55" s="1428"/>
      <c r="J55" s="1428"/>
      <c r="K55" s="523">
        <f t="shared" si="2"/>
        <v>0</v>
      </c>
      <c r="L55" s="511"/>
      <c r="M55" s="508"/>
    </row>
    <row r="56" spans="1:13" s="204" customFormat="1" ht="18" hidden="1" customHeight="1" x14ac:dyDescent="0.2">
      <c r="A56" s="513"/>
      <c r="B56" s="514">
        <f t="shared" si="3"/>
        <v>0</v>
      </c>
      <c r="C56" s="521">
        <v>42</v>
      </c>
      <c r="D56" s="1313"/>
      <c r="E56" s="1313"/>
      <c r="F56" s="1313"/>
      <c r="G56" s="173"/>
      <c r="H56" s="173"/>
      <c r="I56" s="1428"/>
      <c r="J56" s="1428"/>
      <c r="K56" s="523">
        <f t="shared" si="2"/>
        <v>0</v>
      </c>
      <c r="L56" s="511"/>
      <c r="M56" s="508"/>
    </row>
    <row r="57" spans="1:13" s="204" customFormat="1" ht="18" hidden="1" customHeight="1" x14ac:dyDescent="0.2">
      <c r="A57" s="513"/>
      <c r="B57" s="514">
        <f t="shared" si="3"/>
        <v>0</v>
      </c>
      <c r="C57" s="521">
        <v>43</v>
      </c>
      <c r="D57" s="1313"/>
      <c r="E57" s="1313"/>
      <c r="F57" s="1313"/>
      <c r="G57" s="173"/>
      <c r="H57" s="173"/>
      <c r="I57" s="1428"/>
      <c r="J57" s="1428"/>
      <c r="K57" s="523">
        <f t="shared" si="2"/>
        <v>0</v>
      </c>
      <c r="L57" s="511"/>
      <c r="M57" s="508"/>
    </row>
    <row r="58" spans="1:13" s="204" customFormat="1" ht="18" hidden="1" customHeight="1" x14ac:dyDescent="0.2">
      <c r="A58" s="513"/>
      <c r="B58" s="514">
        <f t="shared" si="3"/>
        <v>0</v>
      </c>
      <c r="C58" s="521">
        <v>44</v>
      </c>
      <c r="D58" s="1313"/>
      <c r="E58" s="1313"/>
      <c r="F58" s="1313"/>
      <c r="G58" s="173"/>
      <c r="H58" s="173"/>
      <c r="I58" s="1428"/>
      <c r="J58" s="1428"/>
      <c r="K58" s="523">
        <f t="shared" si="2"/>
        <v>0</v>
      </c>
      <c r="L58" s="511"/>
      <c r="M58" s="508"/>
    </row>
    <row r="59" spans="1:13" s="204" customFormat="1" ht="18" hidden="1" customHeight="1" x14ac:dyDescent="0.2">
      <c r="A59" s="513"/>
      <c r="B59" s="514">
        <f t="shared" si="3"/>
        <v>0</v>
      </c>
      <c r="C59" s="521">
        <v>45</v>
      </c>
      <c r="D59" s="1313"/>
      <c r="E59" s="1313"/>
      <c r="F59" s="1313"/>
      <c r="G59" s="173"/>
      <c r="H59" s="173"/>
      <c r="I59" s="1428"/>
      <c r="J59" s="1428"/>
      <c r="K59" s="523">
        <f t="shared" si="2"/>
        <v>0</v>
      </c>
      <c r="L59" s="511"/>
      <c r="M59" s="508"/>
    </row>
    <row r="60" spans="1:13" s="204" customFormat="1" ht="18" hidden="1" customHeight="1" x14ac:dyDescent="0.2">
      <c r="A60" s="513"/>
      <c r="B60" s="514">
        <f t="shared" si="3"/>
        <v>0</v>
      </c>
      <c r="C60" s="521">
        <v>46</v>
      </c>
      <c r="D60" s="1313"/>
      <c r="E60" s="1313"/>
      <c r="F60" s="1313"/>
      <c r="G60" s="173"/>
      <c r="H60" s="173"/>
      <c r="I60" s="1428"/>
      <c r="J60" s="1428"/>
      <c r="K60" s="523">
        <f t="shared" si="2"/>
        <v>0</v>
      </c>
      <c r="L60" s="511"/>
      <c r="M60" s="508"/>
    </row>
    <row r="61" spans="1:13" s="204" customFormat="1" ht="18" hidden="1" customHeight="1" x14ac:dyDescent="0.2">
      <c r="A61" s="513"/>
      <c r="B61" s="514">
        <f t="shared" si="3"/>
        <v>0</v>
      </c>
      <c r="C61" s="521">
        <v>47</v>
      </c>
      <c r="D61" s="1313"/>
      <c r="E61" s="1313"/>
      <c r="F61" s="1313"/>
      <c r="G61" s="173"/>
      <c r="H61" s="173"/>
      <c r="I61" s="1428"/>
      <c r="J61" s="1428"/>
      <c r="K61" s="523">
        <f t="shared" si="2"/>
        <v>0</v>
      </c>
      <c r="L61" s="511"/>
      <c r="M61" s="508"/>
    </row>
    <row r="62" spans="1:13" s="204" customFormat="1" ht="18" hidden="1" customHeight="1" x14ac:dyDescent="0.2">
      <c r="A62" s="513"/>
      <c r="B62" s="514">
        <f t="shared" si="3"/>
        <v>0</v>
      </c>
      <c r="C62" s="521">
        <v>48</v>
      </c>
      <c r="D62" s="1313"/>
      <c r="E62" s="1313"/>
      <c r="F62" s="1313"/>
      <c r="G62" s="173"/>
      <c r="H62" s="173"/>
      <c r="I62" s="1428"/>
      <c r="J62" s="1428"/>
      <c r="K62" s="523">
        <f t="shared" si="2"/>
        <v>0</v>
      </c>
      <c r="L62" s="511"/>
      <c r="M62" s="508"/>
    </row>
    <row r="63" spans="1:13" s="204" customFormat="1" ht="18" hidden="1" customHeight="1" x14ac:dyDescent="0.2">
      <c r="A63" s="513"/>
      <c r="B63" s="514">
        <f t="shared" si="3"/>
        <v>0</v>
      </c>
      <c r="C63" s="521">
        <v>49</v>
      </c>
      <c r="D63" s="1313"/>
      <c r="E63" s="1313"/>
      <c r="F63" s="1313"/>
      <c r="G63" s="173"/>
      <c r="H63" s="173"/>
      <c r="I63" s="1428"/>
      <c r="J63" s="1428"/>
      <c r="K63" s="523">
        <f t="shared" si="2"/>
        <v>0</v>
      </c>
      <c r="L63" s="511"/>
      <c r="M63" s="508"/>
    </row>
    <row r="64" spans="1:13" s="204" customFormat="1" ht="18" hidden="1" customHeight="1" x14ac:dyDescent="0.2">
      <c r="A64" s="513"/>
      <c r="B64" s="514">
        <f t="shared" si="3"/>
        <v>0</v>
      </c>
      <c r="C64" s="521">
        <v>50</v>
      </c>
      <c r="D64" s="1313"/>
      <c r="E64" s="1313"/>
      <c r="F64" s="1313"/>
      <c r="G64" s="173"/>
      <c r="H64" s="173"/>
      <c r="I64" s="1428"/>
      <c r="J64" s="1428"/>
      <c r="K64" s="523">
        <f t="shared" si="2"/>
        <v>0</v>
      </c>
      <c r="L64" s="511"/>
      <c r="M64" s="508"/>
    </row>
    <row r="65" spans="1:13" s="204" customFormat="1" ht="18" hidden="1" customHeight="1" x14ac:dyDescent="0.2">
      <c r="A65" s="513"/>
      <c r="B65" s="514">
        <f t="shared" si="3"/>
        <v>0</v>
      </c>
      <c r="C65" s="521">
        <v>51</v>
      </c>
      <c r="D65" s="1313"/>
      <c r="E65" s="1313"/>
      <c r="F65" s="1313"/>
      <c r="G65" s="173"/>
      <c r="H65" s="173"/>
      <c r="I65" s="1428"/>
      <c r="J65" s="1428"/>
      <c r="K65" s="523">
        <f t="shared" si="2"/>
        <v>0</v>
      </c>
      <c r="L65" s="511"/>
      <c r="M65" s="508"/>
    </row>
    <row r="66" spans="1:13" s="204" customFormat="1" ht="18" hidden="1" customHeight="1" x14ac:dyDescent="0.2">
      <c r="A66" s="513"/>
      <c r="B66" s="514">
        <f t="shared" si="3"/>
        <v>0</v>
      </c>
      <c r="C66" s="521">
        <v>52</v>
      </c>
      <c r="D66" s="1313"/>
      <c r="E66" s="1313"/>
      <c r="F66" s="1313"/>
      <c r="G66" s="173"/>
      <c r="H66" s="173"/>
      <c r="I66" s="1428"/>
      <c r="J66" s="1428"/>
      <c r="K66" s="523">
        <f t="shared" si="2"/>
        <v>0</v>
      </c>
      <c r="L66" s="511"/>
      <c r="M66" s="508"/>
    </row>
    <row r="67" spans="1:13" s="204" customFormat="1" ht="18" hidden="1" customHeight="1" x14ac:dyDescent="0.2">
      <c r="A67" s="513"/>
      <c r="B67" s="514">
        <f t="shared" si="3"/>
        <v>0</v>
      </c>
      <c r="C67" s="521">
        <v>53</v>
      </c>
      <c r="D67" s="1313"/>
      <c r="E67" s="1313"/>
      <c r="F67" s="1313"/>
      <c r="G67" s="173"/>
      <c r="H67" s="173"/>
      <c r="I67" s="1428"/>
      <c r="J67" s="1428"/>
      <c r="K67" s="523">
        <f t="shared" si="2"/>
        <v>0</v>
      </c>
      <c r="L67" s="511"/>
      <c r="M67" s="508"/>
    </row>
    <row r="68" spans="1:13" s="204" customFormat="1" ht="18" hidden="1" customHeight="1" x14ac:dyDescent="0.2">
      <c r="A68" s="513"/>
      <c r="B68" s="514">
        <f t="shared" si="3"/>
        <v>0</v>
      </c>
      <c r="C68" s="521">
        <v>54</v>
      </c>
      <c r="D68" s="1313"/>
      <c r="E68" s="1313"/>
      <c r="F68" s="1313"/>
      <c r="G68" s="173"/>
      <c r="H68" s="173"/>
      <c r="I68" s="1428"/>
      <c r="J68" s="1428"/>
      <c r="K68" s="523">
        <f t="shared" si="2"/>
        <v>0</v>
      </c>
      <c r="L68" s="511"/>
      <c r="M68" s="508"/>
    </row>
    <row r="69" spans="1:13" s="204" customFormat="1" ht="18" hidden="1" customHeight="1" x14ac:dyDescent="0.2">
      <c r="A69" s="513"/>
      <c r="B69" s="514">
        <f t="shared" si="3"/>
        <v>0</v>
      </c>
      <c r="C69" s="521">
        <v>55</v>
      </c>
      <c r="D69" s="1313"/>
      <c r="E69" s="1313"/>
      <c r="F69" s="1313"/>
      <c r="G69" s="173"/>
      <c r="H69" s="173"/>
      <c r="I69" s="1428"/>
      <c r="J69" s="1428"/>
      <c r="K69" s="523">
        <f t="shared" si="2"/>
        <v>0</v>
      </c>
      <c r="L69" s="511"/>
      <c r="M69" s="508"/>
    </row>
    <row r="70" spans="1:13" s="204" customFormat="1" ht="18" hidden="1" customHeight="1" x14ac:dyDescent="0.2">
      <c r="A70" s="513"/>
      <c r="B70" s="514">
        <f t="shared" si="3"/>
        <v>0</v>
      </c>
      <c r="C70" s="521">
        <v>56</v>
      </c>
      <c r="D70" s="1313"/>
      <c r="E70" s="1313"/>
      <c r="F70" s="1313"/>
      <c r="G70" s="173"/>
      <c r="H70" s="173"/>
      <c r="I70" s="1428"/>
      <c r="J70" s="1428"/>
      <c r="K70" s="523">
        <f t="shared" si="2"/>
        <v>0</v>
      </c>
      <c r="L70" s="511"/>
      <c r="M70" s="508"/>
    </row>
    <row r="71" spans="1:13" s="204" customFormat="1" ht="18" hidden="1" customHeight="1" x14ac:dyDescent="0.2">
      <c r="A71" s="513"/>
      <c r="B71" s="514">
        <f t="shared" si="3"/>
        <v>0</v>
      </c>
      <c r="C71" s="521">
        <v>57</v>
      </c>
      <c r="D71" s="1313"/>
      <c r="E71" s="1313"/>
      <c r="F71" s="1313"/>
      <c r="G71" s="173"/>
      <c r="H71" s="173"/>
      <c r="I71" s="1428"/>
      <c r="J71" s="1428"/>
      <c r="K71" s="523">
        <f t="shared" si="2"/>
        <v>0</v>
      </c>
      <c r="L71" s="511"/>
      <c r="M71" s="508"/>
    </row>
    <row r="72" spans="1:13" s="204" customFormat="1" ht="18" hidden="1" customHeight="1" x14ac:dyDescent="0.2">
      <c r="A72" s="513"/>
      <c r="B72" s="514">
        <f t="shared" si="3"/>
        <v>0</v>
      </c>
      <c r="C72" s="521">
        <v>58</v>
      </c>
      <c r="D72" s="1313"/>
      <c r="E72" s="1313"/>
      <c r="F72" s="1313"/>
      <c r="G72" s="173"/>
      <c r="H72" s="173"/>
      <c r="I72" s="1428"/>
      <c r="J72" s="1428"/>
      <c r="K72" s="523">
        <f t="shared" si="2"/>
        <v>0</v>
      </c>
      <c r="L72" s="511"/>
      <c r="M72" s="508"/>
    </row>
    <row r="73" spans="1:13" s="204" customFormat="1" ht="18" hidden="1" customHeight="1" x14ac:dyDescent="0.2">
      <c r="A73" s="513"/>
      <c r="B73" s="514">
        <f t="shared" si="3"/>
        <v>0</v>
      </c>
      <c r="C73" s="521">
        <v>59</v>
      </c>
      <c r="D73" s="1313"/>
      <c r="E73" s="1313"/>
      <c r="F73" s="1313"/>
      <c r="G73" s="173"/>
      <c r="H73" s="173"/>
      <c r="I73" s="1428"/>
      <c r="J73" s="1428"/>
      <c r="K73" s="523">
        <f t="shared" si="2"/>
        <v>0</v>
      </c>
      <c r="L73" s="511"/>
      <c r="M73" s="508"/>
    </row>
    <row r="74" spans="1:13" s="204" customFormat="1" ht="18" hidden="1" customHeight="1" x14ac:dyDescent="0.2">
      <c r="A74" s="513"/>
      <c r="B74" s="514">
        <f t="shared" si="3"/>
        <v>0</v>
      </c>
      <c r="C74" s="521">
        <v>60</v>
      </c>
      <c r="D74" s="1313"/>
      <c r="E74" s="1313"/>
      <c r="F74" s="1313"/>
      <c r="G74" s="173"/>
      <c r="H74" s="173"/>
      <c r="I74" s="1428"/>
      <c r="J74" s="1428"/>
      <c r="K74" s="523">
        <f t="shared" si="2"/>
        <v>0</v>
      </c>
      <c r="L74" s="511"/>
      <c r="M74" s="508"/>
    </row>
    <row r="75" spans="1:13" s="204" customFormat="1" ht="18" hidden="1" customHeight="1" x14ac:dyDescent="0.2">
      <c r="A75" s="513"/>
      <c r="B75" s="514">
        <f t="shared" si="3"/>
        <v>0</v>
      </c>
      <c r="C75" s="521">
        <v>61</v>
      </c>
      <c r="D75" s="1313"/>
      <c r="E75" s="1313"/>
      <c r="F75" s="1313"/>
      <c r="G75" s="173"/>
      <c r="H75" s="173"/>
      <c r="I75" s="1428"/>
      <c r="J75" s="1428"/>
      <c r="K75" s="523">
        <f t="shared" si="2"/>
        <v>0</v>
      </c>
      <c r="L75" s="511"/>
      <c r="M75" s="508"/>
    </row>
    <row r="76" spans="1:13" s="204" customFormat="1" ht="18" hidden="1" customHeight="1" x14ac:dyDescent="0.2">
      <c r="A76" s="513"/>
      <c r="B76" s="514">
        <f t="shared" si="3"/>
        <v>0</v>
      </c>
      <c r="C76" s="521">
        <v>62</v>
      </c>
      <c r="D76" s="1313"/>
      <c r="E76" s="1313"/>
      <c r="F76" s="1313"/>
      <c r="G76" s="173"/>
      <c r="H76" s="173"/>
      <c r="I76" s="1428"/>
      <c r="J76" s="1428"/>
      <c r="K76" s="523">
        <f t="shared" si="2"/>
        <v>0</v>
      </c>
      <c r="L76" s="511"/>
      <c r="M76" s="508"/>
    </row>
    <row r="77" spans="1:13" s="204" customFormat="1" ht="18" hidden="1" customHeight="1" x14ac:dyDescent="0.2">
      <c r="A77" s="513"/>
      <c r="B77" s="514">
        <f t="shared" si="3"/>
        <v>0</v>
      </c>
      <c r="C77" s="521">
        <v>63</v>
      </c>
      <c r="D77" s="1313"/>
      <c r="E77" s="1313"/>
      <c r="F77" s="1313"/>
      <c r="G77" s="173"/>
      <c r="H77" s="173"/>
      <c r="I77" s="1428"/>
      <c r="J77" s="1428"/>
      <c r="K77" s="523">
        <f t="shared" si="2"/>
        <v>0</v>
      </c>
      <c r="L77" s="511"/>
      <c r="M77" s="508"/>
    </row>
    <row r="78" spans="1:13" s="204" customFormat="1" ht="18" hidden="1" customHeight="1" x14ac:dyDescent="0.2">
      <c r="A78" s="513"/>
      <c r="B78" s="514">
        <f t="shared" si="3"/>
        <v>0</v>
      </c>
      <c r="C78" s="521">
        <v>64</v>
      </c>
      <c r="D78" s="1313"/>
      <c r="E78" s="1313"/>
      <c r="F78" s="1313"/>
      <c r="G78" s="173"/>
      <c r="H78" s="173"/>
      <c r="I78" s="1428"/>
      <c r="J78" s="1428"/>
      <c r="K78" s="523">
        <f t="shared" si="2"/>
        <v>0</v>
      </c>
      <c r="L78" s="511"/>
      <c r="M78" s="508"/>
    </row>
    <row r="79" spans="1:13" s="204" customFormat="1" ht="18" hidden="1" customHeight="1" x14ac:dyDescent="0.2">
      <c r="A79" s="513"/>
      <c r="B79" s="514">
        <f t="shared" si="3"/>
        <v>0</v>
      </c>
      <c r="C79" s="521">
        <v>65</v>
      </c>
      <c r="D79" s="1313"/>
      <c r="E79" s="1313"/>
      <c r="F79" s="1313"/>
      <c r="G79" s="173"/>
      <c r="H79" s="173"/>
      <c r="I79" s="1428"/>
      <c r="J79" s="1428"/>
      <c r="K79" s="523">
        <f t="shared" si="2"/>
        <v>0</v>
      </c>
      <c r="L79" s="511"/>
      <c r="M79" s="508"/>
    </row>
    <row r="80" spans="1:13" s="204" customFormat="1" ht="18" hidden="1" customHeight="1" x14ac:dyDescent="0.2">
      <c r="A80" s="513"/>
      <c r="B80" s="514">
        <f t="shared" si="3"/>
        <v>0</v>
      </c>
      <c r="C80" s="521">
        <v>66</v>
      </c>
      <c r="D80" s="1313"/>
      <c r="E80" s="1313"/>
      <c r="F80" s="1313"/>
      <c r="G80" s="173"/>
      <c r="H80" s="173"/>
      <c r="I80" s="1428"/>
      <c r="J80" s="1428"/>
      <c r="K80" s="523">
        <f t="shared" si="2"/>
        <v>0</v>
      </c>
      <c r="L80" s="511"/>
      <c r="M80" s="508"/>
    </row>
    <row r="81" spans="1:13" s="204" customFormat="1" ht="18" hidden="1" customHeight="1" x14ac:dyDescent="0.2">
      <c r="A81" s="513"/>
      <c r="B81" s="514">
        <f t="shared" ref="B81:B144" si="4">IFERROR(K81/$K$265,0)</f>
        <v>0</v>
      </c>
      <c r="C81" s="521">
        <v>67</v>
      </c>
      <c r="D81" s="1313"/>
      <c r="E81" s="1313"/>
      <c r="F81" s="1313"/>
      <c r="G81" s="173"/>
      <c r="H81" s="173"/>
      <c r="I81" s="1428"/>
      <c r="J81" s="1428"/>
      <c r="K81" s="523">
        <f t="shared" ref="K81:K144" si="5">H81*I81</f>
        <v>0</v>
      </c>
      <c r="L81" s="511"/>
      <c r="M81" s="508"/>
    </row>
    <row r="82" spans="1:13" s="204" customFormat="1" ht="18" hidden="1" customHeight="1" x14ac:dyDescent="0.2">
      <c r="A82" s="513"/>
      <c r="B82" s="514">
        <f t="shared" si="4"/>
        <v>0</v>
      </c>
      <c r="C82" s="521">
        <v>68</v>
      </c>
      <c r="D82" s="1313"/>
      <c r="E82" s="1313"/>
      <c r="F82" s="1313"/>
      <c r="G82" s="173"/>
      <c r="H82" s="173"/>
      <c r="I82" s="1428"/>
      <c r="J82" s="1428"/>
      <c r="K82" s="523">
        <f t="shared" si="5"/>
        <v>0</v>
      </c>
      <c r="L82" s="511"/>
      <c r="M82" s="508"/>
    </row>
    <row r="83" spans="1:13" s="204" customFormat="1" ht="18" hidden="1" customHeight="1" x14ac:dyDescent="0.2">
      <c r="A83" s="513"/>
      <c r="B83" s="514">
        <f t="shared" si="4"/>
        <v>0</v>
      </c>
      <c r="C83" s="521">
        <v>69</v>
      </c>
      <c r="D83" s="1313"/>
      <c r="E83" s="1313"/>
      <c r="F83" s="1313"/>
      <c r="G83" s="173"/>
      <c r="H83" s="173"/>
      <c r="I83" s="1428"/>
      <c r="J83" s="1428"/>
      <c r="K83" s="523">
        <f t="shared" si="5"/>
        <v>0</v>
      </c>
      <c r="L83" s="511"/>
      <c r="M83" s="508"/>
    </row>
    <row r="84" spans="1:13" s="204" customFormat="1" ht="18" hidden="1" customHeight="1" x14ac:dyDescent="0.2">
      <c r="A84" s="513"/>
      <c r="B84" s="514">
        <f t="shared" si="4"/>
        <v>0</v>
      </c>
      <c r="C84" s="521">
        <v>70</v>
      </c>
      <c r="D84" s="1313"/>
      <c r="E84" s="1313"/>
      <c r="F84" s="1313"/>
      <c r="G84" s="173"/>
      <c r="H84" s="173"/>
      <c r="I84" s="1428"/>
      <c r="J84" s="1428"/>
      <c r="K84" s="523">
        <f t="shared" si="5"/>
        <v>0</v>
      </c>
      <c r="L84" s="511"/>
      <c r="M84" s="508"/>
    </row>
    <row r="85" spans="1:13" s="204" customFormat="1" ht="18" hidden="1" customHeight="1" x14ac:dyDescent="0.2">
      <c r="A85" s="513"/>
      <c r="B85" s="514">
        <f t="shared" si="4"/>
        <v>0</v>
      </c>
      <c r="C85" s="521">
        <v>71</v>
      </c>
      <c r="D85" s="1313"/>
      <c r="E85" s="1313"/>
      <c r="F85" s="1313"/>
      <c r="G85" s="173"/>
      <c r="H85" s="173"/>
      <c r="I85" s="1428"/>
      <c r="J85" s="1428"/>
      <c r="K85" s="523">
        <f t="shared" si="5"/>
        <v>0</v>
      </c>
      <c r="L85" s="511"/>
      <c r="M85" s="508"/>
    </row>
    <row r="86" spans="1:13" s="204" customFormat="1" ht="18" hidden="1" customHeight="1" x14ac:dyDescent="0.2">
      <c r="A86" s="513"/>
      <c r="B86" s="514">
        <f t="shared" si="4"/>
        <v>0</v>
      </c>
      <c r="C86" s="521">
        <v>72</v>
      </c>
      <c r="D86" s="1313"/>
      <c r="E86" s="1313"/>
      <c r="F86" s="1313"/>
      <c r="G86" s="173"/>
      <c r="H86" s="173"/>
      <c r="I86" s="1428"/>
      <c r="J86" s="1428"/>
      <c r="K86" s="523">
        <f t="shared" si="5"/>
        <v>0</v>
      </c>
      <c r="L86" s="511"/>
      <c r="M86" s="508"/>
    </row>
    <row r="87" spans="1:13" s="204" customFormat="1" ht="18" hidden="1" customHeight="1" x14ac:dyDescent="0.2">
      <c r="A87" s="513"/>
      <c r="B87" s="514">
        <f t="shared" si="4"/>
        <v>0</v>
      </c>
      <c r="C87" s="521">
        <v>73</v>
      </c>
      <c r="D87" s="1313"/>
      <c r="E87" s="1313"/>
      <c r="F87" s="1313"/>
      <c r="G87" s="173"/>
      <c r="H87" s="173"/>
      <c r="I87" s="1428"/>
      <c r="J87" s="1428"/>
      <c r="K87" s="523">
        <f t="shared" si="5"/>
        <v>0</v>
      </c>
      <c r="L87" s="511"/>
      <c r="M87" s="508"/>
    </row>
    <row r="88" spans="1:13" s="204" customFormat="1" ht="18" hidden="1" customHeight="1" x14ac:dyDescent="0.2">
      <c r="A88" s="513"/>
      <c r="B88" s="514">
        <f t="shared" si="4"/>
        <v>0</v>
      </c>
      <c r="C88" s="521">
        <v>74</v>
      </c>
      <c r="D88" s="1313"/>
      <c r="E88" s="1313"/>
      <c r="F88" s="1313"/>
      <c r="G88" s="173"/>
      <c r="H88" s="173"/>
      <c r="I88" s="1428"/>
      <c r="J88" s="1428"/>
      <c r="K88" s="523">
        <f t="shared" si="5"/>
        <v>0</v>
      </c>
      <c r="L88" s="511"/>
      <c r="M88" s="508"/>
    </row>
    <row r="89" spans="1:13" s="204" customFormat="1" ht="18" hidden="1" customHeight="1" x14ac:dyDescent="0.2">
      <c r="A89" s="513"/>
      <c r="B89" s="514">
        <f t="shared" si="4"/>
        <v>0</v>
      </c>
      <c r="C89" s="521">
        <v>75</v>
      </c>
      <c r="D89" s="1313"/>
      <c r="E89" s="1313"/>
      <c r="F89" s="1313"/>
      <c r="G89" s="173"/>
      <c r="H89" s="173"/>
      <c r="I89" s="1428"/>
      <c r="J89" s="1428"/>
      <c r="K89" s="523">
        <f t="shared" si="5"/>
        <v>0</v>
      </c>
      <c r="L89" s="511"/>
      <c r="M89" s="508"/>
    </row>
    <row r="90" spans="1:13" s="204" customFormat="1" ht="18" hidden="1" customHeight="1" x14ac:dyDescent="0.2">
      <c r="A90" s="513"/>
      <c r="B90" s="514">
        <f t="shared" si="4"/>
        <v>0</v>
      </c>
      <c r="C90" s="521">
        <v>76</v>
      </c>
      <c r="D90" s="1313"/>
      <c r="E90" s="1313"/>
      <c r="F90" s="1313"/>
      <c r="G90" s="173"/>
      <c r="H90" s="173"/>
      <c r="I90" s="1428"/>
      <c r="J90" s="1428"/>
      <c r="K90" s="523">
        <f t="shared" si="5"/>
        <v>0</v>
      </c>
      <c r="L90" s="511"/>
      <c r="M90" s="508"/>
    </row>
    <row r="91" spans="1:13" s="204" customFormat="1" ht="18" hidden="1" customHeight="1" x14ac:dyDescent="0.2">
      <c r="A91" s="513"/>
      <c r="B91" s="514">
        <f t="shared" si="4"/>
        <v>0</v>
      </c>
      <c r="C91" s="521">
        <v>77</v>
      </c>
      <c r="D91" s="1313"/>
      <c r="E91" s="1313"/>
      <c r="F91" s="1313"/>
      <c r="G91" s="173"/>
      <c r="H91" s="173"/>
      <c r="I91" s="1428"/>
      <c r="J91" s="1428"/>
      <c r="K91" s="523">
        <f t="shared" si="5"/>
        <v>0</v>
      </c>
      <c r="L91" s="511"/>
      <c r="M91" s="508"/>
    </row>
    <row r="92" spans="1:13" s="204" customFormat="1" ht="18" hidden="1" customHeight="1" x14ac:dyDescent="0.2">
      <c r="A92" s="513"/>
      <c r="B92" s="514">
        <f t="shared" si="4"/>
        <v>0</v>
      </c>
      <c r="C92" s="521">
        <v>78</v>
      </c>
      <c r="D92" s="1313"/>
      <c r="E92" s="1313"/>
      <c r="F92" s="1313"/>
      <c r="G92" s="173"/>
      <c r="H92" s="173"/>
      <c r="I92" s="1428"/>
      <c r="J92" s="1428"/>
      <c r="K92" s="523">
        <f t="shared" si="5"/>
        <v>0</v>
      </c>
      <c r="L92" s="511"/>
      <c r="M92" s="508"/>
    </row>
    <row r="93" spans="1:13" s="204" customFormat="1" ht="18" hidden="1" customHeight="1" x14ac:dyDescent="0.2">
      <c r="A93" s="513"/>
      <c r="B93" s="514">
        <f t="shared" si="4"/>
        <v>0</v>
      </c>
      <c r="C93" s="521">
        <v>79</v>
      </c>
      <c r="D93" s="1313"/>
      <c r="E93" s="1313"/>
      <c r="F93" s="1313"/>
      <c r="G93" s="173"/>
      <c r="H93" s="173"/>
      <c r="I93" s="1428"/>
      <c r="J93" s="1428"/>
      <c r="K93" s="523">
        <f t="shared" si="5"/>
        <v>0</v>
      </c>
      <c r="L93" s="511"/>
      <c r="M93" s="508"/>
    </row>
    <row r="94" spans="1:13" s="204" customFormat="1" ht="18" hidden="1" customHeight="1" x14ac:dyDescent="0.2">
      <c r="A94" s="513"/>
      <c r="B94" s="514">
        <f t="shared" si="4"/>
        <v>0</v>
      </c>
      <c r="C94" s="521">
        <v>80</v>
      </c>
      <c r="D94" s="1313"/>
      <c r="E94" s="1313"/>
      <c r="F94" s="1313"/>
      <c r="G94" s="173"/>
      <c r="H94" s="173"/>
      <c r="I94" s="1428"/>
      <c r="J94" s="1428"/>
      <c r="K94" s="523">
        <f t="shared" si="5"/>
        <v>0</v>
      </c>
      <c r="L94" s="511"/>
      <c r="M94" s="508"/>
    </row>
    <row r="95" spans="1:13" s="204" customFormat="1" ht="18" hidden="1" customHeight="1" x14ac:dyDescent="0.2">
      <c r="A95" s="513"/>
      <c r="B95" s="514">
        <f t="shared" si="4"/>
        <v>0</v>
      </c>
      <c r="C95" s="521">
        <v>81</v>
      </c>
      <c r="D95" s="1313"/>
      <c r="E95" s="1313"/>
      <c r="F95" s="1313"/>
      <c r="G95" s="173"/>
      <c r="H95" s="173"/>
      <c r="I95" s="1428"/>
      <c r="J95" s="1428"/>
      <c r="K95" s="523">
        <f t="shared" si="5"/>
        <v>0</v>
      </c>
      <c r="L95" s="511"/>
      <c r="M95" s="508"/>
    </row>
    <row r="96" spans="1:13" s="204" customFormat="1" ht="18" hidden="1" customHeight="1" x14ac:dyDescent="0.2">
      <c r="A96" s="513"/>
      <c r="B96" s="514">
        <f t="shared" si="4"/>
        <v>0</v>
      </c>
      <c r="C96" s="521">
        <v>82</v>
      </c>
      <c r="D96" s="1313"/>
      <c r="E96" s="1313"/>
      <c r="F96" s="1313"/>
      <c r="G96" s="173"/>
      <c r="H96" s="173"/>
      <c r="I96" s="1428"/>
      <c r="J96" s="1428"/>
      <c r="K96" s="523">
        <f t="shared" si="5"/>
        <v>0</v>
      </c>
      <c r="L96" s="511"/>
      <c r="M96" s="508"/>
    </row>
    <row r="97" spans="1:13" s="204" customFormat="1" ht="18" hidden="1" customHeight="1" x14ac:dyDescent="0.2">
      <c r="A97" s="513"/>
      <c r="B97" s="514">
        <f t="shared" si="4"/>
        <v>0</v>
      </c>
      <c r="C97" s="521">
        <v>83</v>
      </c>
      <c r="D97" s="1313"/>
      <c r="E97" s="1313"/>
      <c r="F97" s="1313"/>
      <c r="G97" s="173"/>
      <c r="H97" s="173"/>
      <c r="I97" s="1428"/>
      <c r="J97" s="1428"/>
      <c r="K97" s="523">
        <f t="shared" si="5"/>
        <v>0</v>
      </c>
      <c r="L97" s="511"/>
      <c r="M97" s="508"/>
    </row>
    <row r="98" spans="1:13" s="204" customFormat="1" ht="18" hidden="1" customHeight="1" x14ac:dyDescent="0.2">
      <c r="A98" s="513"/>
      <c r="B98" s="514">
        <f t="shared" si="4"/>
        <v>0</v>
      </c>
      <c r="C98" s="521">
        <v>84</v>
      </c>
      <c r="D98" s="1313"/>
      <c r="E98" s="1313"/>
      <c r="F98" s="1313"/>
      <c r="G98" s="173"/>
      <c r="H98" s="173"/>
      <c r="I98" s="1428"/>
      <c r="J98" s="1428"/>
      <c r="K98" s="523">
        <f t="shared" si="5"/>
        <v>0</v>
      </c>
      <c r="L98" s="511"/>
      <c r="M98" s="508"/>
    </row>
    <row r="99" spans="1:13" s="204" customFormat="1" ht="18" hidden="1" customHeight="1" x14ac:dyDescent="0.2">
      <c r="A99" s="513"/>
      <c r="B99" s="514">
        <f t="shared" si="4"/>
        <v>0</v>
      </c>
      <c r="C99" s="521">
        <v>85</v>
      </c>
      <c r="D99" s="1313"/>
      <c r="E99" s="1313"/>
      <c r="F99" s="1313"/>
      <c r="G99" s="173"/>
      <c r="H99" s="173"/>
      <c r="I99" s="1428"/>
      <c r="J99" s="1428"/>
      <c r="K99" s="523">
        <f t="shared" si="5"/>
        <v>0</v>
      </c>
      <c r="L99" s="511"/>
      <c r="M99" s="508"/>
    </row>
    <row r="100" spans="1:13" s="204" customFormat="1" ht="18" hidden="1" customHeight="1" x14ac:dyDescent="0.2">
      <c r="A100" s="513"/>
      <c r="B100" s="514">
        <f t="shared" si="4"/>
        <v>0</v>
      </c>
      <c r="C100" s="521">
        <v>86</v>
      </c>
      <c r="D100" s="1313"/>
      <c r="E100" s="1313"/>
      <c r="F100" s="1313"/>
      <c r="G100" s="173"/>
      <c r="H100" s="173"/>
      <c r="I100" s="1428"/>
      <c r="J100" s="1428"/>
      <c r="K100" s="523">
        <f t="shared" si="5"/>
        <v>0</v>
      </c>
      <c r="L100" s="511"/>
      <c r="M100" s="508"/>
    </row>
    <row r="101" spans="1:13" s="204" customFormat="1" ht="18" hidden="1" customHeight="1" x14ac:dyDescent="0.2">
      <c r="A101" s="513"/>
      <c r="B101" s="514">
        <f t="shared" si="4"/>
        <v>0</v>
      </c>
      <c r="C101" s="521">
        <v>87</v>
      </c>
      <c r="D101" s="1313"/>
      <c r="E101" s="1313"/>
      <c r="F101" s="1313"/>
      <c r="G101" s="173"/>
      <c r="H101" s="173"/>
      <c r="I101" s="1428"/>
      <c r="J101" s="1428"/>
      <c r="K101" s="523">
        <f t="shared" si="5"/>
        <v>0</v>
      </c>
      <c r="L101" s="511"/>
      <c r="M101" s="508"/>
    </row>
    <row r="102" spans="1:13" s="204" customFormat="1" ht="18" hidden="1" customHeight="1" x14ac:dyDescent="0.2">
      <c r="A102" s="513"/>
      <c r="B102" s="514">
        <f t="shared" si="4"/>
        <v>0</v>
      </c>
      <c r="C102" s="521">
        <v>88</v>
      </c>
      <c r="D102" s="1313"/>
      <c r="E102" s="1313"/>
      <c r="F102" s="1313"/>
      <c r="G102" s="173"/>
      <c r="H102" s="173"/>
      <c r="I102" s="1428"/>
      <c r="J102" s="1428"/>
      <c r="K102" s="523">
        <f t="shared" si="5"/>
        <v>0</v>
      </c>
      <c r="L102" s="511"/>
      <c r="M102" s="508"/>
    </row>
    <row r="103" spans="1:13" s="204" customFormat="1" ht="18" hidden="1" customHeight="1" x14ac:dyDescent="0.2">
      <c r="A103" s="513"/>
      <c r="B103" s="514">
        <f t="shared" si="4"/>
        <v>0</v>
      </c>
      <c r="C103" s="521">
        <v>89</v>
      </c>
      <c r="D103" s="1313"/>
      <c r="E103" s="1313"/>
      <c r="F103" s="1313"/>
      <c r="G103" s="173"/>
      <c r="H103" s="173"/>
      <c r="I103" s="1428"/>
      <c r="J103" s="1428"/>
      <c r="K103" s="523">
        <f t="shared" si="5"/>
        <v>0</v>
      </c>
      <c r="L103" s="511"/>
      <c r="M103" s="508"/>
    </row>
    <row r="104" spans="1:13" s="204" customFormat="1" ht="18" hidden="1" customHeight="1" x14ac:dyDescent="0.2">
      <c r="A104" s="513"/>
      <c r="B104" s="514">
        <f t="shared" si="4"/>
        <v>0</v>
      </c>
      <c r="C104" s="521">
        <v>90</v>
      </c>
      <c r="D104" s="1313"/>
      <c r="E104" s="1313"/>
      <c r="F104" s="1313"/>
      <c r="G104" s="173"/>
      <c r="H104" s="173"/>
      <c r="I104" s="1428"/>
      <c r="J104" s="1428"/>
      <c r="K104" s="523">
        <f t="shared" si="5"/>
        <v>0</v>
      </c>
      <c r="L104" s="511"/>
      <c r="M104" s="508"/>
    </row>
    <row r="105" spans="1:13" s="204" customFormat="1" ht="18" hidden="1" customHeight="1" x14ac:dyDescent="0.2">
      <c r="A105" s="513"/>
      <c r="B105" s="514">
        <f t="shared" si="4"/>
        <v>0</v>
      </c>
      <c r="C105" s="521">
        <v>91</v>
      </c>
      <c r="D105" s="1313"/>
      <c r="E105" s="1313"/>
      <c r="F105" s="1313"/>
      <c r="G105" s="173"/>
      <c r="H105" s="173"/>
      <c r="I105" s="1428"/>
      <c r="J105" s="1428"/>
      <c r="K105" s="523">
        <f t="shared" si="5"/>
        <v>0</v>
      </c>
      <c r="L105" s="511"/>
      <c r="M105" s="508"/>
    </row>
    <row r="106" spans="1:13" s="204" customFormat="1" ht="18" hidden="1" customHeight="1" x14ac:dyDescent="0.2">
      <c r="A106" s="513"/>
      <c r="B106" s="514">
        <f t="shared" si="4"/>
        <v>0</v>
      </c>
      <c r="C106" s="521">
        <v>92</v>
      </c>
      <c r="D106" s="1313"/>
      <c r="E106" s="1313"/>
      <c r="F106" s="1313"/>
      <c r="G106" s="173"/>
      <c r="H106" s="173"/>
      <c r="I106" s="1428"/>
      <c r="J106" s="1428"/>
      <c r="K106" s="523">
        <f t="shared" si="5"/>
        <v>0</v>
      </c>
      <c r="L106" s="511"/>
      <c r="M106" s="508"/>
    </row>
    <row r="107" spans="1:13" s="204" customFormat="1" ht="18" hidden="1" customHeight="1" x14ac:dyDescent="0.2">
      <c r="A107" s="513"/>
      <c r="B107" s="514">
        <f t="shared" si="4"/>
        <v>0</v>
      </c>
      <c r="C107" s="521">
        <v>93</v>
      </c>
      <c r="D107" s="1313"/>
      <c r="E107" s="1313"/>
      <c r="F107" s="1313"/>
      <c r="G107" s="173"/>
      <c r="H107" s="173"/>
      <c r="I107" s="1428"/>
      <c r="J107" s="1428"/>
      <c r="K107" s="523">
        <f t="shared" si="5"/>
        <v>0</v>
      </c>
      <c r="L107" s="511"/>
      <c r="M107" s="508"/>
    </row>
    <row r="108" spans="1:13" s="204" customFormat="1" ht="18" hidden="1" customHeight="1" x14ac:dyDescent="0.2">
      <c r="A108" s="513"/>
      <c r="B108" s="514">
        <f t="shared" si="4"/>
        <v>0</v>
      </c>
      <c r="C108" s="521">
        <v>94</v>
      </c>
      <c r="D108" s="1313"/>
      <c r="E108" s="1313"/>
      <c r="F108" s="1313"/>
      <c r="G108" s="173"/>
      <c r="H108" s="173"/>
      <c r="I108" s="1428"/>
      <c r="J108" s="1428"/>
      <c r="K108" s="523">
        <f t="shared" si="5"/>
        <v>0</v>
      </c>
      <c r="L108" s="511"/>
      <c r="M108" s="508"/>
    </row>
    <row r="109" spans="1:13" s="204" customFormat="1" ht="18" hidden="1" customHeight="1" x14ac:dyDescent="0.2">
      <c r="A109" s="513"/>
      <c r="B109" s="514">
        <f t="shared" si="4"/>
        <v>0</v>
      </c>
      <c r="C109" s="521">
        <v>95</v>
      </c>
      <c r="D109" s="1313"/>
      <c r="E109" s="1313"/>
      <c r="F109" s="1313"/>
      <c r="G109" s="173"/>
      <c r="H109" s="173"/>
      <c r="I109" s="1428"/>
      <c r="J109" s="1428"/>
      <c r="K109" s="523">
        <f t="shared" si="5"/>
        <v>0</v>
      </c>
      <c r="L109" s="511"/>
      <c r="M109" s="508"/>
    </row>
    <row r="110" spans="1:13" s="204" customFormat="1" ht="18" hidden="1" customHeight="1" x14ac:dyDescent="0.2">
      <c r="A110" s="513"/>
      <c r="B110" s="514">
        <f t="shared" si="4"/>
        <v>0</v>
      </c>
      <c r="C110" s="521">
        <v>96</v>
      </c>
      <c r="D110" s="1313"/>
      <c r="E110" s="1313"/>
      <c r="F110" s="1313"/>
      <c r="G110" s="173"/>
      <c r="H110" s="173"/>
      <c r="I110" s="1428"/>
      <c r="J110" s="1428"/>
      <c r="K110" s="523">
        <f t="shared" si="5"/>
        <v>0</v>
      </c>
      <c r="L110" s="511"/>
      <c r="M110" s="508"/>
    </row>
    <row r="111" spans="1:13" s="204" customFormat="1" ht="18" hidden="1" customHeight="1" x14ac:dyDescent="0.2">
      <c r="A111" s="513"/>
      <c r="B111" s="514">
        <f t="shared" si="4"/>
        <v>0</v>
      </c>
      <c r="C111" s="521">
        <v>97</v>
      </c>
      <c r="D111" s="1313"/>
      <c r="E111" s="1313"/>
      <c r="F111" s="1313"/>
      <c r="G111" s="173"/>
      <c r="H111" s="173"/>
      <c r="I111" s="1428"/>
      <c r="J111" s="1428"/>
      <c r="K111" s="523">
        <f t="shared" si="5"/>
        <v>0</v>
      </c>
      <c r="L111" s="511"/>
      <c r="M111" s="508"/>
    </row>
    <row r="112" spans="1:13" s="204" customFormat="1" ht="18" hidden="1" customHeight="1" x14ac:dyDescent="0.2">
      <c r="A112" s="513"/>
      <c r="B112" s="514">
        <f t="shared" si="4"/>
        <v>0</v>
      </c>
      <c r="C112" s="521">
        <v>98</v>
      </c>
      <c r="D112" s="1313"/>
      <c r="E112" s="1313"/>
      <c r="F112" s="1313"/>
      <c r="G112" s="173"/>
      <c r="H112" s="173"/>
      <c r="I112" s="1428"/>
      <c r="J112" s="1428"/>
      <c r="K112" s="523">
        <f t="shared" si="5"/>
        <v>0</v>
      </c>
      <c r="L112" s="511"/>
      <c r="M112" s="508"/>
    </row>
    <row r="113" spans="1:13" s="204" customFormat="1" ht="18" hidden="1" customHeight="1" x14ac:dyDescent="0.2">
      <c r="A113" s="513"/>
      <c r="B113" s="514">
        <f t="shared" si="4"/>
        <v>0</v>
      </c>
      <c r="C113" s="521">
        <v>99</v>
      </c>
      <c r="D113" s="1313"/>
      <c r="E113" s="1313"/>
      <c r="F113" s="1313"/>
      <c r="G113" s="173"/>
      <c r="H113" s="173"/>
      <c r="I113" s="1428"/>
      <c r="J113" s="1428"/>
      <c r="K113" s="523">
        <f t="shared" si="5"/>
        <v>0</v>
      </c>
      <c r="L113" s="511"/>
      <c r="M113" s="508"/>
    </row>
    <row r="114" spans="1:13" s="204" customFormat="1" ht="18" hidden="1" customHeight="1" x14ac:dyDescent="0.2">
      <c r="A114" s="513"/>
      <c r="B114" s="514">
        <f t="shared" si="4"/>
        <v>0</v>
      </c>
      <c r="C114" s="521">
        <v>100</v>
      </c>
      <c r="D114" s="1313"/>
      <c r="E114" s="1313"/>
      <c r="F114" s="1313"/>
      <c r="G114" s="173"/>
      <c r="H114" s="173"/>
      <c r="I114" s="1428"/>
      <c r="J114" s="1428"/>
      <c r="K114" s="523">
        <f t="shared" si="5"/>
        <v>0</v>
      </c>
      <c r="L114" s="511"/>
      <c r="M114" s="508"/>
    </row>
    <row r="115" spans="1:13" s="204" customFormat="1" ht="18" hidden="1" customHeight="1" x14ac:dyDescent="0.2">
      <c r="A115" s="513"/>
      <c r="B115" s="514">
        <f t="shared" si="4"/>
        <v>0</v>
      </c>
      <c r="C115" s="521">
        <v>101</v>
      </c>
      <c r="D115" s="1313"/>
      <c r="E115" s="1313"/>
      <c r="F115" s="1313"/>
      <c r="G115" s="173"/>
      <c r="H115" s="173"/>
      <c r="I115" s="1428"/>
      <c r="J115" s="1428"/>
      <c r="K115" s="523">
        <f t="shared" si="5"/>
        <v>0</v>
      </c>
      <c r="L115" s="511"/>
      <c r="M115" s="508"/>
    </row>
    <row r="116" spans="1:13" s="204" customFormat="1" ht="18" hidden="1" customHeight="1" x14ac:dyDescent="0.2">
      <c r="A116" s="513"/>
      <c r="B116" s="514">
        <f t="shared" si="4"/>
        <v>0</v>
      </c>
      <c r="C116" s="521">
        <v>102</v>
      </c>
      <c r="D116" s="1313"/>
      <c r="E116" s="1313"/>
      <c r="F116" s="1313"/>
      <c r="G116" s="173"/>
      <c r="H116" s="173"/>
      <c r="I116" s="1428"/>
      <c r="J116" s="1428"/>
      <c r="K116" s="523">
        <f t="shared" si="5"/>
        <v>0</v>
      </c>
      <c r="L116" s="511"/>
      <c r="M116" s="508"/>
    </row>
    <row r="117" spans="1:13" s="204" customFormat="1" ht="18" hidden="1" customHeight="1" x14ac:dyDescent="0.2">
      <c r="A117" s="513"/>
      <c r="B117" s="514">
        <f t="shared" si="4"/>
        <v>0</v>
      </c>
      <c r="C117" s="521">
        <v>103</v>
      </c>
      <c r="D117" s="1313"/>
      <c r="E117" s="1313"/>
      <c r="F117" s="1313"/>
      <c r="G117" s="173"/>
      <c r="H117" s="173"/>
      <c r="I117" s="1428"/>
      <c r="J117" s="1428"/>
      <c r="K117" s="523">
        <f t="shared" si="5"/>
        <v>0</v>
      </c>
      <c r="L117" s="511"/>
      <c r="M117" s="508"/>
    </row>
    <row r="118" spans="1:13" s="204" customFormat="1" ht="18" hidden="1" customHeight="1" x14ac:dyDescent="0.2">
      <c r="A118" s="513"/>
      <c r="B118" s="514">
        <f t="shared" si="4"/>
        <v>0</v>
      </c>
      <c r="C118" s="521">
        <v>104</v>
      </c>
      <c r="D118" s="1313"/>
      <c r="E118" s="1313"/>
      <c r="F118" s="1313"/>
      <c r="G118" s="173"/>
      <c r="H118" s="173"/>
      <c r="I118" s="1428"/>
      <c r="J118" s="1428"/>
      <c r="K118" s="523">
        <f t="shared" si="5"/>
        <v>0</v>
      </c>
      <c r="L118" s="511"/>
      <c r="M118" s="508"/>
    </row>
    <row r="119" spans="1:13" s="204" customFormat="1" ht="18" hidden="1" customHeight="1" x14ac:dyDescent="0.2">
      <c r="A119" s="513"/>
      <c r="B119" s="514">
        <f t="shared" si="4"/>
        <v>0</v>
      </c>
      <c r="C119" s="521">
        <v>105</v>
      </c>
      <c r="D119" s="1313"/>
      <c r="E119" s="1313"/>
      <c r="F119" s="1313"/>
      <c r="G119" s="173"/>
      <c r="H119" s="173"/>
      <c r="I119" s="1428"/>
      <c r="J119" s="1428"/>
      <c r="K119" s="523">
        <f t="shared" si="5"/>
        <v>0</v>
      </c>
      <c r="L119" s="511"/>
      <c r="M119" s="508"/>
    </row>
    <row r="120" spans="1:13" s="204" customFormat="1" ht="18" hidden="1" customHeight="1" x14ac:dyDescent="0.2">
      <c r="A120" s="513"/>
      <c r="B120" s="514">
        <f t="shared" si="4"/>
        <v>0</v>
      </c>
      <c r="C120" s="521">
        <v>106</v>
      </c>
      <c r="D120" s="1313"/>
      <c r="E120" s="1313"/>
      <c r="F120" s="1313"/>
      <c r="G120" s="173"/>
      <c r="H120" s="173"/>
      <c r="I120" s="1428"/>
      <c r="J120" s="1428"/>
      <c r="K120" s="523">
        <f t="shared" si="5"/>
        <v>0</v>
      </c>
      <c r="L120" s="511"/>
      <c r="M120" s="508"/>
    </row>
    <row r="121" spans="1:13" s="204" customFormat="1" ht="18" hidden="1" customHeight="1" x14ac:dyDescent="0.2">
      <c r="A121" s="513"/>
      <c r="B121" s="514">
        <f t="shared" si="4"/>
        <v>0</v>
      </c>
      <c r="C121" s="521">
        <v>107</v>
      </c>
      <c r="D121" s="1313"/>
      <c r="E121" s="1313"/>
      <c r="F121" s="1313"/>
      <c r="G121" s="173"/>
      <c r="H121" s="173"/>
      <c r="I121" s="1428"/>
      <c r="J121" s="1428"/>
      <c r="K121" s="523">
        <f t="shared" si="5"/>
        <v>0</v>
      </c>
      <c r="L121" s="511"/>
      <c r="M121" s="508"/>
    </row>
    <row r="122" spans="1:13" s="204" customFormat="1" ht="18" hidden="1" customHeight="1" x14ac:dyDescent="0.2">
      <c r="A122" s="513"/>
      <c r="B122" s="514">
        <f t="shared" si="4"/>
        <v>0</v>
      </c>
      <c r="C122" s="521">
        <v>108</v>
      </c>
      <c r="D122" s="1313"/>
      <c r="E122" s="1313"/>
      <c r="F122" s="1313"/>
      <c r="G122" s="173"/>
      <c r="H122" s="173"/>
      <c r="I122" s="1428"/>
      <c r="J122" s="1428"/>
      <c r="K122" s="523">
        <f t="shared" si="5"/>
        <v>0</v>
      </c>
      <c r="L122" s="511"/>
      <c r="M122" s="508"/>
    </row>
    <row r="123" spans="1:13" s="204" customFormat="1" ht="18" hidden="1" customHeight="1" x14ac:dyDescent="0.2">
      <c r="A123" s="513"/>
      <c r="B123" s="514">
        <f t="shared" si="4"/>
        <v>0</v>
      </c>
      <c r="C123" s="521">
        <v>109</v>
      </c>
      <c r="D123" s="1313"/>
      <c r="E123" s="1313"/>
      <c r="F123" s="1313"/>
      <c r="G123" s="173"/>
      <c r="H123" s="173"/>
      <c r="I123" s="1428"/>
      <c r="J123" s="1428"/>
      <c r="K123" s="523">
        <f t="shared" si="5"/>
        <v>0</v>
      </c>
      <c r="L123" s="511"/>
      <c r="M123" s="508"/>
    </row>
    <row r="124" spans="1:13" s="204" customFormat="1" ht="18" hidden="1" customHeight="1" x14ac:dyDescent="0.2">
      <c r="A124" s="513"/>
      <c r="B124" s="514">
        <f t="shared" si="4"/>
        <v>0</v>
      </c>
      <c r="C124" s="521">
        <v>110</v>
      </c>
      <c r="D124" s="1313"/>
      <c r="E124" s="1313"/>
      <c r="F124" s="1313"/>
      <c r="G124" s="173"/>
      <c r="H124" s="173"/>
      <c r="I124" s="1428"/>
      <c r="J124" s="1428"/>
      <c r="K124" s="523">
        <f t="shared" si="5"/>
        <v>0</v>
      </c>
      <c r="L124" s="511"/>
      <c r="M124" s="508"/>
    </row>
    <row r="125" spans="1:13" s="204" customFormat="1" ht="18" hidden="1" customHeight="1" x14ac:dyDescent="0.2">
      <c r="A125" s="513"/>
      <c r="B125" s="514">
        <f t="shared" si="4"/>
        <v>0</v>
      </c>
      <c r="C125" s="521">
        <v>111</v>
      </c>
      <c r="D125" s="1313"/>
      <c r="E125" s="1313"/>
      <c r="F125" s="1313"/>
      <c r="G125" s="173"/>
      <c r="H125" s="173"/>
      <c r="I125" s="1428"/>
      <c r="J125" s="1428"/>
      <c r="K125" s="523">
        <f t="shared" si="5"/>
        <v>0</v>
      </c>
      <c r="L125" s="511"/>
      <c r="M125" s="508"/>
    </row>
    <row r="126" spans="1:13" s="204" customFormat="1" ht="18" hidden="1" customHeight="1" x14ac:dyDescent="0.2">
      <c r="A126" s="513"/>
      <c r="B126" s="514">
        <f t="shared" si="4"/>
        <v>0</v>
      </c>
      <c r="C126" s="521">
        <v>112</v>
      </c>
      <c r="D126" s="1313"/>
      <c r="E126" s="1313"/>
      <c r="F126" s="1313"/>
      <c r="G126" s="173"/>
      <c r="H126" s="173"/>
      <c r="I126" s="1428"/>
      <c r="J126" s="1428"/>
      <c r="K126" s="523">
        <f t="shared" si="5"/>
        <v>0</v>
      </c>
      <c r="L126" s="511"/>
      <c r="M126" s="508"/>
    </row>
    <row r="127" spans="1:13" s="204" customFormat="1" ht="18" hidden="1" customHeight="1" x14ac:dyDescent="0.2">
      <c r="A127" s="513"/>
      <c r="B127" s="514">
        <f t="shared" si="4"/>
        <v>0</v>
      </c>
      <c r="C127" s="521">
        <v>113</v>
      </c>
      <c r="D127" s="1313"/>
      <c r="E127" s="1313"/>
      <c r="F127" s="1313"/>
      <c r="G127" s="173"/>
      <c r="H127" s="173"/>
      <c r="I127" s="1428"/>
      <c r="J127" s="1428"/>
      <c r="K127" s="523">
        <f t="shared" si="5"/>
        <v>0</v>
      </c>
      <c r="L127" s="511"/>
      <c r="M127" s="508"/>
    </row>
    <row r="128" spans="1:13" s="204" customFormat="1" ht="18" hidden="1" customHeight="1" x14ac:dyDescent="0.2">
      <c r="A128" s="513"/>
      <c r="B128" s="514">
        <f t="shared" si="4"/>
        <v>0</v>
      </c>
      <c r="C128" s="521">
        <v>114</v>
      </c>
      <c r="D128" s="1313"/>
      <c r="E128" s="1313"/>
      <c r="F128" s="1313"/>
      <c r="G128" s="173"/>
      <c r="H128" s="173"/>
      <c r="I128" s="1428"/>
      <c r="J128" s="1428"/>
      <c r="K128" s="523">
        <f t="shared" si="5"/>
        <v>0</v>
      </c>
      <c r="L128" s="511"/>
      <c r="M128" s="508"/>
    </row>
    <row r="129" spans="1:13" s="204" customFormat="1" ht="18" hidden="1" customHeight="1" x14ac:dyDescent="0.2">
      <c r="A129" s="513"/>
      <c r="B129" s="514">
        <f t="shared" si="4"/>
        <v>0</v>
      </c>
      <c r="C129" s="521">
        <v>115</v>
      </c>
      <c r="D129" s="1313"/>
      <c r="E129" s="1313"/>
      <c r="F129" s="1313"/>
      <c r="G129" s="173"/>
      <c r="H129" s="173"/>
      <c r="I129" s="1428"/>
      <c r="J129" s="1428"/>
      <c r="K129" s="523">
        <f t="shared" si="5"/>
        <v>0</v>
      </c>
      <c r="L129" s="511"/>
      <c r="M129" s="508"/>
    </row>
    <row r="130" spans="1:13" s="204" customFormat="1" ht="18" hidden="1" customHeight="1" x14ac:dyDescent="0.2">
      <c r="A130" s="513"/>
      <c r="B130" s="514">
        <f t="shared" si="4"/>
        <v>0</v>
      </c>
      <c r="C130" s="521">
        <v>116</v>
      </c>
      <c r="D130" s="1313"/>
      <c r="E130" s="1313"/>
      <c r="F130" s="1313"/>
      <c r="G130" s="173"/>
      <c r="H130" s="173"/>
      <c r="I130" s="1428"/>
      <c r="J130" s="1428"/>
      <c r="K130" s="523">
        <f t="shared" si="5"/>
        <v>0</v>
      </c>
      <c r="L130" s="511"/>
      <c r="M130" s="508"/>
    </row>
    <row r="131" spans="1:13" s="204" customFormat="1" ht="18" hidden="1" customHeight="1" x14ac:dyDescent="0.2">
      <c r="A131" s="513"/>
      <c r="B131" s="514">
        <f t="shared" si="4"/>
        <v>0</v>
      </c>
      <c r="C131" s="521">
        <v>117</v>
      </c>
      <c r="D131" s="1313"/>
      <c r="E131" s="1313"/>
      <c r="F131" s="1313"/>
      <c r="G131" s="173"/>
      <c r="H131" s="173"/>
      <c r="I131" s="1428"/>
      <c r="J131" s="1428"/>
      <c r="K131" s="523">
        <f t="shared" si="5"/>
        <v>0</v>
      </c>
      <c r="L131" s="511"/>
      <c r="M131" s="508"/>
    </row>
    <row r="132" spans="1:13" s="204" customFormat="1" ht="18" hidden="1" customHeight="1" x14ac:dyDescent="0.2">
      <c r="A132" s="513"/>
      <c r="B132" s="514">
        <f t="shared" si="4"/>
        <v>0</v>
      </c>
      <c r="C132" s="521">
        <v>118</v>
      </c>
      <c r="D132" s="1313"/>
      <c r="E132" s="1313"/>
      <c r="F132" s="1313"/>
      <c r="G132" s="173"/>
      <c r="H132" s="173"/>
      <c r="I132" s="1428"/>
      <c r="J132" s="1428"/>
      <c r="K132" s="523">
        <f t="shared" si="5"/>
        <v>0</v>
      </c>
      <c r="L132" s="511"/>
      <c r="M132" s="508"/>
    </row>
    <row r="133" spans="1:13" s="204" customFormat="1" ht="18" hidden="1" customHeight="1" x14ac:dyDescent="0.2">
      <c r="A133" s="513"/>
      <c r="B133" s="514">
        <f t="shared" si="4"/>
        <v>0</v>
      </c>
      <c r="C133" s="521">
        <v>119</v>
      </c>
      <c r="D133" s="1313"/>
      <c r="E133" s="1313"/>
      <c r="F133" s="1313"/>
      <c r="G133" s="173"/>
      <c r="H133" s="173"/>
      <c r="I133" s="1428"/>
      <c r="J133" s="1428"/>
      <c r="K133" s="523">
        <f t="shared" si="5"/>
        <v>0</v>
      </c>
      <c r="L133" s="511"/>
      <c r="M133" s="508"/>
    </row>
    <row r="134" spans="1:13" s="204" customFormat="1" ht="18" hidden="1" customHeight="1" x14ac:dyDescent="0.2">
      <c r="A134" s="513"/>
      <c r="B134" s="514">
        <f t="shared" si="4"/>
        <v>0</v>
      </c>
      <c r="C134" s="521">
        <v>120</v>
      </c>
      <c r="D134" s="1313"/>
      <c r="E134" s="1313"/>
      <c r="F134" s="1313"/>
      <c r="G134" s="173"/>
      <c r="H134" s="173"/>
      <c r="I134" s="1428"/>
      <c r="J134" s="1428"/>
      <c r="K134" s="523">
        <f t="shared" si="5"/>
        <v>0</v>
      </c>
      <c r="L134" s="511"/>
      <c r="M134" s="508"/>
    </row>
    <row r="135" spans="1:13" s="204" customFormat="1" ht="18" hidden="1" customHeight="1" x14ac:dyDescent="0.2">
      <c r="A135" s="513"/>
      <c r="B135" s="514">
        <f t="shared" si="4"/>
        <v>0</v>
      </c>
      <c r="C135" s="521">
        <v>121</v>
      </c>
      <c r="D135" s="1313"/>
      <c r="E135" s="1313"/>
      <c r="F135" s="1313"/>
      <c r="G135" s="173"/>
      <c r="H135" s="173"/>
      <c r="I135" s="1428"/>
      <c r="J135" s="1428"/>
      <c r="K135" s="523">
        <f t="shared" si="5"/>
        <v>0</v>
      </c>
      <c r="L135" s="511"/>
      <c r="M135" s="508"/>
    </row>
    <row r="136" spans="1:13" s="204" customFormat="1" ht="18" hidden="1" customHeight="1" x14ac:dyDescent="0.2">
      <c r="A136" s="513"/>
      <c r="B136" s="514">
        <f t="shared" si="4"/>
        <v>0</v>
      </c>
      <c r="C136" s="521">
        <v>122</v>
      </c>
      <c r="D136" s="1313"/>
      <c r="E136" s="1313"/>
      <c r="F136" s="1313"/>
      <c r="G136" s="173"/>
      <c r="H136" s="173"/>
      <c r="I136" s="1428"/>
      <c r="J136" s="1428"/>
      <c r="K136" s="523">
        <f t="shared" si="5"/>
        <v>0</v>
      </c>
      <c r="L136" s="511"/>
      <c r="M136" s="508"/>
    </row>
    <row r="137" spans="1:13" s="204" customFormat="1" ht="18" hidden="1" customHeight="1" x14ac:dyDescent="0.2">
      <c r="A137" s="513"/>
      <c r="B137" s="514">
        <f t="shared" si="4"/>
        <v>0</v>
      </c>
      <c r="C137" s="521">
        <v>123</v>
      </c>
      <c r="D137" s="1313"/>
      <c r="E137" s="1313"/>
      <c r="F137" s="1313"/>
      <c r="G137" s="173"/>
      <c r="H137" s="173"/>
      <c r="I137" s="1428"/>
      <c r="J137" s="1428"/>
      <c r="K137" s="523">
        <f t="shared" si="5"/>
        <v>0</v>
      </c>
      <c r="L137" s="511"/>
      <c r="M137" s="508"/>
    </row>
    <row r="138" spans="1:13" s="204" customFormat="1" ht="18" hidden="1" customHeight="1" x14ac:dyDescent="0.2">
      <c r="A138" s="513"/>
      <c r="B138" s="514">
        <f t="shared" si="4"/>
        <v>0</v>
      </c>
      <c r="C138" s="521">
        <v>124</v>
      </c>
      <c r="D138" s="1313"/>
      <c r="E138" s="1313"/>
      <c r="F138" s="1313"/>
      <c r="G138" s="173"/>
      <c r="H138" s="173"/>
      <c r="I138" s="1428"/>
      <c r="J138" s="1428"/>
      <c r="K138" s="523">
        <f t="shared" si="5"/>
        <v>0</v>
      </c>
      <c r="L138" s="511"/>
      <c r="M138" s="508"/>
    </row>
    <row r="139" spans="1:13" s="204" customFormat="1" ht="18" hidden="1" customHeight="1" x14ac:dyDescent="0.2">
      <c r="A139" s="513"/>
      <c r="B139" s="514">
        <f t="shared" si="4"/>
        <v>0</v>
      </c>
      <c r="C139" s="521">
        <v>125</v>
      </c>
      <c r="D139" s="1313"/>
      <c r="E139" s="1313"/>
      <c r="F139" s="1313"/>
      <c r="G139" s="173"/>
      <c r="H139" s="173"/>
      <c r="I139" s="1428"/>
      <c r="J139" s="1428"/>
      <c r="K139" s="523">
        <f t="shared" si="5"/>
        <v>0</v>
      </c>
      <c r="L139" s="511"/>
      <c r="M139" s="508"/>
    </row>
    <row r="140" spans="1:13" s="204" customFormat="1" ht="18" hidden="1" customHeight="1" x14ac:dyDescent="0.2">
      <c r="A140" s="513"/>
      <c r="B140" s="514">
        <f t="shared" si="4"/>
        <v>0</v>
      </c>
      <c r="C140" s="521">
        <v>126</v>
      </c>
      <c r="D140" s="1313"/>
      <c r="E140" s="1313"/>
      <c r="F140" s="1313"/>
      <c r="G140" s="173"/>
      <c r="H140" s="173"/>
      <c r="I140" s="1428"/>
      <c r="J140" s="1428"/>
      <c r="K140" s="523">
        <f t="shared" si="5"/>
        <v>0</v>
      </c>
      <c r="L140" s="511"/>
      <c r="M140" s="508"/>
    </row>
    <row r="141" spans="1:13" s="204" customFormat="1" ht="18" hidden="1" customHeight="1" x14ac:dyDescent="0.2">
      <c r="A141" s="513"/>
      <c r="B141" s="514">
        <f t="shared" si="4"/>
        <v>0</v>
      </c>
      <c r="C141" s="521">
        <v>127</v>
      </c>
      <c r="D141" s="1313"/>
      <c r="E141" s="1313"/>
      <c r="F141" s="1313"/>
      <c r="G141" s="173"/>
      <c r="H141" s="173"/>
      <c r="I141" s="1428"/>
      <c r="J141" s="1428"/>
      <c r="K141" s="523">
        <f t="shared" si="5"/>
        <v>0</v>
      </c>
      <c r="L141" s="511"/>
      <c r="M141" s="508"/>
    </row>
    <row r="142" spans="1:13" s="204" customFormat="1" ht="18" hidden="1" customHeight="1" x14ac:dyDescent="0.2">
      <c r="A142" s="513"/>
      <c r="B142" s="514">
        <f t="shared" si="4"/>
        <v>0</v>
      </c>
      <c r="C142" s="521">
        <v>128</v>
      </c>
      <c r="D142" s="1313"/>
      <c r="E142" s="1313"/>
      <c r="F142" s="1313"/>
      <c r="G142" s="173"/>
      <c r="H142" s="173"/>
      <c r="I142" s="1428"/>
      <c r="J142" s="1428"/>
      <c r="K142" s="523">
        <f t="shared" si="5"/>
        <v>0</v>
      </c>
      <c r="L142" s="511"/>
      <c r="M142" s="508"/>
    </row>
    <row r="143" spans="1:13" s="204" customFormat="1" ht="18" hidden="1" customHeight="1" x14ac:dyDescent="0.2">
      <c r="A143" s="513"/>
      <c r="B143" s="514">
        <f t="shared" si="4"/>
        <v>0</v>
      </c>
      <c r="C143" s="521">
        <v>129</v>
      </c>
      <c r="D143" s="1313"/>
      <c r="E143" s="1313"/>
      <c r="F143" s="1313"/>
      <c r="G143" s="173"/>
      <c r="H143" s="173"/>
      <c r="I143" s="1428"/>
      <c r="J143" s="1428"/>
      <c r="K143" s="523">
        <f t="shared" si="5"/>
        <v>0</v>
      </c>
      <c r="L143" s="511"/>
      <c r="M143" s="508"/>
    </row>
    <row r="144" spans="1:13" s="204" customFormat="1" ht="18" hidden="1" customHeight="1" x14ac:dyDescent="0.2">
      <c r="A144" s="513"/>
      <c r="B144" s="514">
        <f t="shared" si="4"/>
        <v>0</v>
      </c>
      <c r="C144" s="521">
        <v>130</v>
      </c>
      <c r="D144" s="1313"/>
      <c r="E144" s="1313"/>
      <c r="F144" s="1313"/>
      <c r="G144" s="173"/>
      <c r="H144" s="173"/>
      <c r="I144" s="1428"/>
      <c r="J144" s="1428"/>
      <c r="K144" s="523">
        <f t="shared" si="5"/>
        <v>0</v>
      </c>
      <c r="L144" s="511"/>
      <c r="M144" s="508"/>
    </row>
    <row r="145" spans="1:13" s="204" customFormat="1" ht="18" hidden="1" customHeight="1" x14ac:dyDescent="0.2">
      <c r="A145" s="513"/>
      <c r="B145" s="514">
        <f t="shared" ref="B145:B176" si="6">IFERROR(K145/$K$265,0)</f>
        <v>0</v>
      </c>
      <c r="C145" s="521">
        <v>131</v>
      </c>
      <c r="D145" s="1313"/>
      <c r="E145" s="1313"/>
      <c r="F145" s="1313"/>
      <c r="G145" s="173"/>
      <c r="H145" s="173"/>
      <c r="I145" s="1428"/>
      <c r="J145" s="1428"/>
      <c r="K145" s="523">
        <f t="shared" ref="K145:K208" si="7">H145*I145</f>
        <v>0</v>
      </c>
      <c r="L145" s="511"/>
      <c r="M145" s="508"/>
    </row>
    <row r="146" spans="1:13" s="204" customFormat="1" ht="18" hidden="1" customHeight="1" x14ac:dyDescent="0.2">
      <c r="A146" s="513"/>
      <c r="B146" s="514">
        <f t="shared" si="6"/>
        <v>0</v>
      </c>
      <c r="C146" s="521">
        <v>132</v>
      </c>
      <c r="D146" s="1313"/>
      <c r="E146" s="1313"/>
      <c r="F146" s="1313"/>
      <c r="G146" s="173"/>
      <c r="H146" s="173"/>
      <c r="I146" s="1428"/>
      <c r="J146" s="1428"/>
      <c r="K146" s="523">
        <f t="shared" si="7"/>
        <v>0</v>
      </c>
      <c r="L146" s="511"/>
      <c r="M146" s="508"/>
    </row>
    <row r="147" spans="1:13" s="204" customFormat="1" ht="18" hidden="1" customHeight="1" x14ac:dyDescent="0.2">
      <c r="A147" s="513"/>
      <c r="B147" s="514">
        <f t="shared" si="6"/>
        <v>0</v>
      </c>
      <c r="C147" s="521">
        <v>133</v>
      </c>
      <c r="D147" s="1313"/>
      <c r="E147" s="1313"/>
      <c r="F147" s="1313"/>
      <c r="G147" s="173"/>
      <c r="H147" s="173"/>
      <c r="I147" s="1428"/>
      <c r="J147" s="1428"/>
      <c r="K147" s="523">
        <f t="shared" si="7"/>
        <v>0</v>
      </c>
      <c r="L147" s="511"/>
      <c r="M147" s="508"/>
    </row>
    <row r="148" spans="1:13" s="204" customFormat="1" ht="18" hidden="1" customHeight="1" x14ac:dyDescent="0.2">
      <c r="A148" s="513"/>
      <c r="B148" s="514">
        <f t="shared" si="6"/>
        <v>0</v>
      </c>
      <c r="C148" s="521">
        <v>134</v>
      </c>
      <c r="D148" s="1313"/>
      <c r="E148" s="1313"/>
      <c r="F148" s="1313"/>
      <c r="G148" s="173"/>
      <c r="H148" s="173"/>
      <c r="I148" s="1428"/>
      <c r="J148" s="1428"/>
      <c r="K148" s="523">
        <f t="shared" si="7"/>
        <v>0</v>
      </c>
      <c r="L148" s="511"/>
      <c r="M148" s="508"/>
    </row>
    <row r="149" spans="1:13" s="204" customFormat="1" ht="18" hidden="1" customHeight="1" x14ac:dyDescent="0.2">
      <c r="A149" s="513"/>
      <c r="B149" s="514">
        <f t="shared" si="6"/>
        <v>0</v>
      </c>
      <c r="C149" s="521">
        <v>135</v>
      </c>
      <c r="D149" s="1313"/>
      <c r="E149" s="1313"/>
      <c r="F149" s="1313"/>
      <c r="G149" s="173"/>
      <c r="H149" s="173"/>
      <c r="I149" s="1428"/>
      <c r="J149" s="1428"/>
      <c r="K149" s="523">
        <f t="shared" si="7"/>
        <v>0</v>
      </c>
      <c r="L149" s="511"/>
      <c r="M149" s="508"/>
    </row>
    <row r="150" spans="1:13" s="204" customFormat="1" ht="18" hidden="1" customHeight="1" x14ac:dyDescent="0.2">
      <c r="A150" s="513"/>
      <c r="B150" s="514">
        <f t="shared" si="6"/>
        <v>0</v>
      </c>
      <c r="C150" s="521">
        <v>136</v>
      </c>
      <c r="D150" s="1313"/>
      <c r="E150" s="1313"/>
      <c r="F150" s="1313"/>
      <c r="G150" s="173"/>
      <c r="H150" s="173"/>
      <c r="I150" s="1428"/>
      <c r="J150" s="1428"/>
      <c r="K150" s="523">
        <f t="shared" si="7"/>
        <v>0</v>
      </c>
      <c r="L150" s="511"/>
      <c r="M150" s="508"/>
    </row>
    <row r="151" spans="1:13" s="204" customFormat="1" ht="18" hidden="1" customHeight="1" x14ac:dyDescent="0.2">
      <c r="A151" s="513"/>
      <c r="B151" s="514">
        <f t="shared" si="6"/>
        <v>0</v>
      </c>
      <c r="C151" s="521">
        <v>137</v>
      </c>
      <c r="D151" s="1313"/>
      <c r="E151" s="1313"/>
      <c r="F151" s="1313"/>
      <c r="G151" s="173"/>
      <c r="H151" s="173"/>
      <c r="I151" s="1428"/>
      <c r="J151" s="1428"/>
      <c r="K151" s="523">
        <f t="shared" si="7"/>
        <v>0</v>
      </c>
      <c r="L151" s="511"/>
      <c r="M151" s="508"/>
    </row>
    <row r="152" spans="1:13" s="204" customFormat="1" ht="18" hidden="1" customHeight="1" x14ac:dyDescent="0.2">
      <c r="A152" s="513"/>
      <c r="B152" s="514">
        <f t="shared" si="6"/>
        <v>0</v>
      </c>
      <c r="C152" s="521">
        <v>138</v>
      </c>
      <c r="D152" s="1313"/>
      <c r="E152" s="1313"/>
      <c r="F152" s="1313"/>
      <c r="G152" s="173"/>
      <c r="H152" s="173"/>
      <c r="I152" s="1428"/>
      <c r="J152" s="1428"/>
      <c r="K152" s="523">
        <f t="shared" si="7"/>
        <v>0</v>
      </c>
      <c r="L152" s="511"/>
      <c r="M152" s="508"/>
    </row>
    <row r="153" spans="1:13" s="204" customFormat="1" ht="18" hidden="1" customHeight="1" x14ac:dyDescent="0.2">
      <c r="A153" s="513"/>
      <c r="B153" s="514">
        <f t="shared" si="6"/>
        <v>0</v>
      </c>
      <c r="C153" s="521">
        <v>139</v>
      </c>
      <c r="D153" s="1313"/>
      <c r="E153" s="1313"/>
      <c r="F153" s="1313"/>
      <c r="G153" s="173"/>
      <c r="H153" s="173"/>
      <c r="I153" s="1428"/>
      <c r="J153" s="1428"/>
      <c r="K153" s="523">
        <f t="shared" si="7"/>
        <v>0</v>
      </c>
      <c r="L153" s="511"/>
      <c r="M153" s="508"/>
    </row>
    <row r="154" spans="1:13" s="204" customFormat="1" ht="18" hidden="1" customHeight="1" x14ac:dyDescent="0.2">
      <c r="A154" s="513"/>
      <c r="B154" s="514">
        <f t="shared" si="6"/>
        <v>0</v>
      </c>
      <c r="C154" s="521">
        <v>140</v>
      </c>
      <c r="D154" s="1313"/>
      <c r="E154" s="1313"/>
      <c r="F154" s="1313"/>
      <c r="G154" s="173"/>
      <c r="H154" s="173"/>
      <c r="I154" s="1428"/>
      <c r="J154" s="1428"/>
      <c r="K154" s="523">
        <f t="shared" si="7"/>
        <v>0</v>
      </c>
      <c r="L154" s="511"/>
      <c r="M154" s="508"/>
    </row>
    <row r="155" spans="1:13" s="204" customFormat="1" ht="18" hidden="1" customHeight="1" x14ac:dyDescent="0.2">
      <c r="A155" s="513"/>
      <c r="B155" s="514">
        <f t="shared" si="6"/>
        <v>0</v>
      </c>
      <c r="C155" s="521">
        <v>141</v>
      </c>
      <c r="D155" s="1313"/>
      <c r="E155" s="1313"/>
      <c r="F155" s="1313"/>
      <c r="G155" s="173"/>
      <c r="H155" s="173"/>
      <c r="I155" s="1428"/>
      <c r="J155" s="1428"/>
      <c r="K155" s="523">
        <f t="shared" si="7"/>
        <v>0</v>
      </c>
      <c r="L155" s="511"/>
      <c r="M155" s="508"/>
    </row>
    <row r="156" spans="1:13" s="204" customFormat="1" ht="18" hidden="1" customHeight="1" x14ac:dyDescent="0.2">
      <c r="A156" s="513"/>
      <c r="B156" s="514">
        <f t="shared" si="6"/>
        <v>0</v>
      </c>
      <c r="C156" s="521">
        <v>142</v>
      </c>
      <c r="D156" s="1313"/>
      <c r="E156" s="1313"/>
      <c r="F156" s="1313"/>
      <c r="G156" s="173"/>
      <c r="H156" s="173"/>
      <c r="I156" s="1428"/>
      <c r="J156" s="1428"/>
      <c r="K156" s="523">
        <f t="shared" si="7"/>
        <v>0</v>
      </c>
      <c r="L156" s="511"/>
      <c r="M156" s="508"/>
    </row>
    <row r="157" spans="1:13" s="204" customFormat="1" ht="18" hidden="1" customHeight="1" x14ac:dyDescent="0.2">
      <c r="A157" s="513"/>
      <c r="B157" s="514">
        <f t="shared" si="6"/>
        <v>0</v>
      </c>
      <c r="C157" s="521">
        <v>143</v>
      </c>
      <c r="D157" s="1313"/>
      <c r="E157" s="1313"/>
      <c r="F157" s="1313"/>
      <c r="G157" s="173"/>
      <c r="H157" s="173"/>
      <c r="I157" s="1428"/>
      <c r="J157" s="1428"/>
      <c r="K157" s="523">
        <f t="shared" si="7"/>
        <v>0</v>
      </c>
      <c r="L157" s="511"/>
      <c r="M157" s="508"/>
    </row>
    <row r="158" spans="1:13" s="204" customFormat="1" ht="18" hidden="1" customHeight="1" x14ac:dyDescent="0.2">
      <c r="A158" s="513"/>
      <c r="B158" s="514">
        <f t="shared" si="6"/>
        <v>0</v>
      </c>
      <c r="C158" s="521">
        <v>144</v>
      </c>
      <c r="D158" s="1313"/>
      <c r="E158" s="1313"/>
      <c r="F158" s="1313"/>
      <c r="G158" s="173"/>
      <c r="H158" s="173"/>
      <c r="I158" s="1428"/>
      <c r="J158" s="1428"/>
      <c r="K158" s="523">
        <f t="shared" si="7"/>
        <v>0</v>
      </c>
      <c r="L158" s="511"/>
      <c r="M158" s="508"/>
    </row>
    <row r="159" spans="1:13" s="204" customFormat="1" ht="18" hidden="1" customHeight="1" x14ac:dyDescent="0.2">
      <c r="A159" s="513"/>
      <c r="B159" s="514">
        <f t="shared" si="6"/>
        <v>0</v>
      </c>
      <c r="C159" s="521">
        <v>145</v>
      </c>
      <c r="D159" s="1313"/>
      <c r="E159" s="1313"/>
      <c r="F159" s="1313"/>
      <c r="G159" s="173"/>
      <c r="H159" s="173"/>
      <c r="I159" s="1428"/>
      <c r="J159" s="1428"/>
      <c r="K159" s="523">
        <f t="shared" si="7"/>
        <v>0</v>
      </c>
      <c r="L159" s="511"/>
      <c r="M159" s="508"/>
    </row>
    <row r="160" spans="1:13" s="204" customFormat="1" ht="18" hidden="1" customHeight="1" x14ac:dyDescent="0.2">
      <c r="A160" s="513"/>
      <c r="B160" s="514">
        <f t="shared" si="6"/>
        <v>0</v>
      </c>
      <c r="C160" s="521">
        <v>146</v>
      </c>
      <c r="D160" s="1313"/>
      <c r="E160" s="1313"/>
      <c r="F160" s="1313"/>
      <c r="G160" s="173"/>
      <c r="H160" s="173"/>
      <c r="I160" s="1428"/>
      <c r="J160" s="1428"/>
      <c r="K160" s="523">
        <f t="shared" si="7"/>
        <v>0</v>
      </c>
      <c r="L160" s="511"/>
      <c r="M160" s="508"/>
    </row>
    <row r="161" spans="1:13" s="204" customFormat="1" ht="18" hidden="1" customHeight="1" x14ac:dyDescent="0.2">
      <c r="A161" s="513"/>
      <c r="B161" s="514">
        <f t="shared" si="6"/>
        <v>0</v>
      </c>
      <c r="C161" s="521">
        <v>147</v>
      </c>
      <c r="D161" s="1313"/>
      <c r="E161" s="1313"/>
      <c r="F161" s="1313"/>
      <c r="G161" s="173"/>
      <c r="H161" s="173"/>
      <c r="I161" s="1428"/>
      <c r="J161" s="1428"/>
      <c r="K161" s="523">
        <f t="shared" si="7"/>
        <v>0</v>
      </c>
      <c r="L161" s="511"/>
      <c r="M161" s="508"/>
    </row>
    <row r="162" spans="1:13" s="204" customFormat="1" ht="18" hidden="1" customHeight="1" x14ac:dyDescent="0.2">
      <c r="A162" s="513"/>
      <c r="B162" s="514">
        <f t="shared" si="6"/>
        <v>0</v>
      </c>
      <c r="C162" s="521">
        <v>148</v>
      </c>
      <c r="D162" s="1313"/>
      <c r="E162" s="1313"/>
      <c r="F162" s="1313"/>
      <c r="G162" s="173"/>
      <c r="H162" s="173"/>
      <c r="I162" s="1428"/>
      <c r="J162" s="1428"/>
      <c r="K162" s="523">
        <f t="shared" si="7"/>
        <v>0</v>
      </c>
      <c r="L162" s="511"/>
      <c r="M162" s="508"/>
    </row>
    <row r="163" spans="1:13" s="204" customFormat="1" ht="18" hidden="1" customHeight="1" x14ac:dyDescent="0.2">
      <c r="A163" s="513"/>
      <c r="B163" s="514">
        <f t="shared" si="6"/>
        <v>0</v>
      </c>
      <c r="C163" s="521">
        <v>149</v>
      </c>
      <c r="D163" s="1313"/>
      <c r="E163" s="1313"/>
      <c r="F163" s="1313"/>
      <c r="G163" s="173"/>
      <c r="H163" s="173"/>
      <c r="I163" s="1428"/>
      <c r="J163" s="1428"/>
      <c r="K163" s="523">
        <f t="shared" si="7"/>
        <v>0</v>
      </c>
      <c r="L163" s="511"/>
      <c r="M163" s="508"/>
    </row>
    <row r="164" spans="1:13" s="204" customFormat="1" ht="18" hidden="1" customHeight="1" x14ac:dyDescent="0.2">
      <c r="A164" s="513"/>
      <c r="B164" s="514">
        <f t="shared" si="6"/>
        <v>0</v>
      </c>
      <c r="C164" s="521">
        <v>150</v>
      </c>
      <c r="D164" s="1313"/>
      <c r="E164" s="1313"/>
      <c r="F164" s="1313"/>
      <c r="G164" s="173"/>
      <c r="H164" s="173"/>
      <c r="I164" s="1428"/>
      <c r="J164" s="1428"/>
      <c r="K164" s="523">
        <f t="shared" si="7"/>
        <v>0</v>
      </c>
      <c r="L164" s="511"/>
      <c r="M164" s="508"/>
    </row>
    <row r="165" spans="1:13" s="204" customFormat="1" ht="18" hidden="1" customHeight="1" x14ac:dyDescent="0.2">
      <c r="A165" s="513"/>
      <c r="B165" s="514">
        <f t="shared" si="6"/>
        <v>0</v>
      </c>
      <c r="C165" s="521">
        <v>151</v>
      </c>
      <c r="D165" s="1313"/>
      <c r="E165" s="1313"/>
      <c r="F165" s="1313"/>
      <c r="G165" s="173"/>
      <c r="H165" s="173"/>
      <c r="I165" s="1428"/>
      <c r="J165" s="1428"/>
      <c r="K165" s="523">
        <f t="shared" si="7"/>
        <v>0</v>
      </c>
      <c r="L165" s="511"/>
      <c r="M165" s="508"/>
    </row>
    <row r="166" spans="1:13" s="204" customFormat="1" ht="18" hidden="1" customHeight="1" x14ac:dyDescent="0.2">
      <c r="A166" s="513"/>
      <c r="B166" s="514">
        <f t="shared" si="6"/>
        <v>0</v>
      </c>
      <c r="C166" s="521">
        <v>152</v>
      </c>
      <c r="D166" s="1313"/>
      <c r="E166" s="1313"/>
      <c r="F166" s="1313"/>
      <c r="G166" s="173"/>
      <c r="H166" s="173"/>
      <c r="I166" s="1428"/>
      <c r="J166" s="1428"/>
      <c r="K166" s="523">
        <f t="shared" si="7"/>
        <v>0</v>
      </c>
      <c r="L166" s="511"/>
      <c r="M166" s="508"/>
    </row>
    <row r="167" spans="1:13" s="204" customFormat="1" ht="18" hidden="1" customHeight="1" x14ac:dyDescent="0.2">
      <c r="A167" s="513"/>
      <c r="B167" s="514">
        <f t="shared" si="6"/>
        <v>0</v>
      </c>
      <c r="C167" s="521">
        <v>153</v>
      </c>
      <c r="D167" s="1313"/>
      <c r="E167" s="1313"/>
      <c r="F167" s="1313"/>
      <c r="G167" s="173"/>
      <c r="H167" s="173"/>
      <c r="I167" s="1428"/>
      <c r="J167" s="1428"/>
      <c r="K167" s="523">
        <f t="shared" si="7"/>
        <v>0</v>
      </c>
      <c r="L167" s="511"/>
      <c r="M167" s="508"/>
    </row>
    <row r="168" spans="1:13" s="204" customFormat="1" ht="18" hidden="1" customHeight="1" x14ac:dyDescent="0.2">
      <c r="A168" s="513"/>
      <c r="B168" s="514">
        <f t="shared" si="6"/>
        <v>0</v>
      </c>
      <c r="C168" s="521">
        <v>154</v>
      </c>
      <c r="D168" s="1313"/>
      <c r="E168" s="1313"/>
      <c r="F168" s="1313"/>
      <c r="G168" s="173"/>
      <c r="H168" s="173"/>
      <c r="I168" s="1428"/>
      <c r="J168" s="1428"/>
      <c r="K168" s="523">
        <f t="shared" si="7"/>
        <v>0</v>
      </c>
      <c r="L168" s="511"/>
      <c r="M168" s="508"/>
    </row>
    <row r="169" spans="1:13" s="204" customFormat="1" ht="18" hidden="1" customHeight="1" x14ac:dyDescent="0.2">
      <c r="A169" s="513"/>
      <c r="B169" s="514">
        <f t="shared" si="6"/>
        <v>0</v>
      </c>
      <c r="C169" s="521">
        <v>155</v>
      </c>
      <c r="D169" s="1313"/>
      <c r="E169" s="1313"/>
      <c r="F169" s="1313"/>
      <c r="G169" s="173"/>
      <c r="H169" s="173"/>
      <c r="I169" s="1428"/>
      <c r="J169" s="1428"/>
      <c r="K169" s="523">
        <f t="shared" si="7"/>
        <v>0</v>
      </c>
      <c r="L169" s="511"/>
      <c r="M169" s="508"/>
    </row>
    <row r="170" spans="1:13" s="204" customFormat="1" ht="18" hidden="1" customHeight="1" x14ac:dyDescent="0.2">
      <c r="A170" s="513"/>
      <c r="B170" s="514">
        <f t="shared" si="6"/>
        <v>0</v>
      </c>
      <c r="C170" s="521">
        <v>156</v>
      </c>
      <c r="D170" s="1313"/>
      <c r="E170" s="1313"/>
      <c r="F170" s="1313"/>
      <c r="G170" s="173"/>
      <c r="H170" s="173"/>
      <c r="I170" s="1428"/>
      <c r="J170" s="1428"/>
      <c r="K170" s="523">
        <f t="shared" si="7"/>
        <v>0</v>
      </c>
      <c r="L170" s="511"/>
      <c r="M170" s="508"/>
    </row>
    <row r="171" spans="1:13" s="204" customFormat="1" ht="18" hidden="1" customHeight="1" x14ac:dyDescent="0.2">
      <c r="A171" s="513"/>
      <c r="B171" s="514">
        <f t="shared" si="6"/>
        <v>0</v>
      </c>
      <c r="C171" s="521">
        <v>157</v>
      </c>
      <c r="D171" s="1313"/>
      <c r="E171" s="1313"/>
      <c r="F171" s="1313"/>
      <c r="G171" s="173"/>
      <c r="H171" s="173"/>
      <c r="I171" s="1428"/>
      <c r="J171" s="1428"/>
      <c r="K171" s="523">
        <f t="shared" si="7"/>
        <v>0</v>
      </c>
      <c r="L171" s="511"/>
      <c r="M171" s="508"/>
    </row>
    <row r="172" spans="1:13" s="204" customFormat="1" ht="18" hidden="1" customHeight="1" x14ac:dyDescent="0.2">
      <c r="A172" s="513"/>
      <c r="B172" s="514">
        <f t="shared" si="6"/>
        <v>0</v>
      </c>
      <c r="C172" s="521">
        <v>158</v>
      </c>
      <c r="D172" s="1313"/>
      <c r="E172" s="1313"/>
      <c r="F172" s="1313"/>
      <c r="G172" s="173"/>
      <c r="H172" s="173"/>
      <c r="I172" s="1428"/>
      <c r="J172" s="1428"/>
      <c r="K172" s="523">
        <f t="shared" si="7"/>
        <v>0</v>
      </c>
      <c r="L172" s="511"/>
      <c r="M172" s="508"/>
    </row>
    <row r="173" spans="1:13" s="204" customFormat="1" ht="18" hidden="1" customHeight="1" x14ac:dyDescent="0.2">
      <c r="A173" s="513"/>
      <c r="B173" s="514">
        <f t="shared" si="6"/>
        <v>0</v>
      </c>
      <c r="C173" s="521">
        <v>159</v>
      </c>
      <c r="D173" s="1313"/>
      <c r="E173" s="1313"/>
      <c r="F173" s="1313"/>
      <c r="G173" s="173"/>
      <c r="H173" s="173"/>
      <c r="I173" s="1428"/>
      <c r="J173" s="1428"/>
      <c r="K173" s="523">
        <f t="shared" si="7"/>
        <v>0</v>
      </c>
      <c r="L173" s="511"/>
      <c r="M173" s="508"/>
    </row>
    <row r="174" spans="1:13" s="204" customFormat="1" ht="18" hidden="1" customHeight="1" x14ac:dyDescent="0.2">
      <c r="A174" s="513"/>
      <c r="B174" s="514">
        <f t="shared" si="6"/>
        <v>0</v>
      </c>
      <c r="C174" s="521">
        <v>160</v>
      </c>
      <c r="D174" s="1313"/>
      <c r="E174" s="1313"/>
      <c r="F174" s="1313"/>
      <c r="G174" s="173"/>
      <c r="H174" s="173"/>
      <c r="I174" s="1428"/>
      <c r="J174" s="1428"/>
      <c r="K174" s="523">
        <f t="shared" si="7"/>
        <v>0</v>
      </c>
      <c r="L174" s="511"/>
      <c r="M174" s="508"/>
    </row>
    <row r="175" spans="1:13" s="204" customFormat="1" ht="18" hidden="1" customHeight="1" x14ac:dyDescent="0.2">
      <c r="A175" s="513"/>
      <c r="B175" s="514">
        <f t="shared" si="6"/>
        <v>0</v>
      </c>
      <c r="C175" s="521">
        <v>161</v>
      </c>
      <c r="D175" s="1313"/>
      <c r="E175" s="1313"/>
      <c r="F175" s="1313"/>
      <c r="G175" s="173"/>
      <c r="H175" s="173"/>
      <c r="I175" s="1428"/>
      <c r="J175" s="1428"/>
      <c r="K175" s="523">
        <f t="shared" si="7"/>
        <v>0</v>
      </c>
      <c r="L175" s="511"/>
      <c r="M175" s="508"/>
    </row>
    <row r="176" spans="1:13" s="204" customFormat="1" ht="18" hidden="1" customHeight="1" x14ac:dyDescent="0.2">
      <c r="A176" s="513"/>
      <c r="B176" s="514">
        <f t="shared" si="6"/>
        <v>0</v>
      </c>
      <c r="C176" s="521">
        <v>162</v>
      </c>
      <c r="D176" s="1313"/>
      <c r="E176" s="1313"/>
      <c r="F176" s="1313"/>
      <c r="G176" s="173"/>
      <c r="H176" s="173"/>
      <c r="I176" s="1428"/>
      <c r="J176" s="1428"/>
      <c r="K176" s="523">
        <f t="shared" si="7"/>
        <v>0</v>
      </c>
      <c r="L176" s="511"/>
      <c r="M176" s="508"/>
    </row>
    <row r="177" spans="1:13" s="204" customFormat="1" ht="18" hidden="1" customHeight="1" x14ac:dyDescent="0.2">
      <c r="A177" s="513"/>
      <c r="B177" s="514">
        <f t="shared" ref="B177:B208" si="8">IFERROR(K177/$K$265,0)</f>
        <v>0</v>
      </c>
      <c r="C177" s="521">
        <v>163</v>
      </c>
      <c r="D177" s="1313"/>
      <c r="E177" s="1313"/>
      <c r="F177" s="1313"/>
      <c r="G177" s="173"/>
      <c r="H177" s="173"/>
      <c r="I177" s="1428"/>
      <c r="J177" s="1428"/>
      <c r="K177" s="523">
        <f t="shared" si="7"/>
        <v>0</v>
      </c>
      <c r="L177" s="511"/>
      <c r="M177" s="508"/>
    </row>
    <row r="178" spans="1:13" s="204" customFormat="1" ht="18" hidden="1" customHeight="1" x14ac:dyDescent="0.2">
      <c r="A178" s="513"/>
      <c r="B178" s="514">
        <f t="shared" si="8"/>
        <v>0</v>
      </c>
      <c r="C178" s="521">
        <v>164</v>
      </c>
      <c r="D178" s="1313"/>
      <c r="E178" s="1313"/>
      <c r="F178" s="1313"/>
      <c r="G178" s="173"/>
      <c r="H178" s="173"/>
      <c r="I178" s="1428"/>
      <c r="J178" s="1428"/>
      <c r="K178" s="523">
        <f t="shared" si="7"/>
        <v>0</v>
      </c>
      <c r="L178" s="511"/>
      <c r="M178" s="508"/>
    </row>
    <row r="179" spans="1:13" s="204" customFormat="1" ht="18" hidden="1" customHeight="1" x14ac:dyDescent="0.2">
      <c r="A179" s="513"/>
      <c r="B179" s="514">
        <f t="shared" si="8"/>
        <v>0</v>
      </c>
      <c r="C179" s="521">
        <v>165</v>
      </c>
      <c r="D179" s="1313"/>
      <c r="E179" s="1313"/>
      <c r="F179" s="1313"/>
      <c r="G179" s="173"/>
      <c r="H179" s="173"/>
      <c r="I179" s="1428"/>
      <c r="J179" s="1428"/>
      <c r="K179" s="523">
        <f t="shared" si="7"/>
        <v>0</v>
      </c>
      <c r="L179" s="511"/>
      <c r="M179" s="508"/>
    </row>
    <row r="180" spans="1:13" s="204" customFormat="1" ht="18" hidden="1" customHeight="1" x14ac:dyDescent="0.2">
      <c r="A180" s="513"/>
      <c r="B180" s="514">
        <f t="shared" si="8"/>
        <v>0</v>
      </c>
      <c r="C180" s="521">
        <v>166</v>
      </c>
      <c r="D180" s="1313"/>
      <c r="E180" s="1313"/>
      <c r="F180" s="1313"/>
      <c r="G180" s="173"/>
      <c r="H180" s="173"/>
      <c r="I180" s="1428"/>
      <c r="J180" s="1428"/>
      <c r="K180" s="523">
        <f t="shared" si="7"/>
        <v>0</v>
      </c>
      <c r="L180" s="511"/>
      <c r="M180" s="508"/>
    </row>
    <row r="181" spans="1:13" s="204" customFormat="1" ht="18" hidden="1" customHeight="1" x14ac:dyDescent="0.2">
      <c r="A181" s="513"/>
      <c r="B181" s="514">
        <f t="shared" si="8"/>
        <v>0</v>
      </c>
      <c r="C181" s="521">
        <v>167</v>
      </c>
      <c r="D181" s="1313"/>
      <c r="E181" s="1313"/>
      <c r="F181" s="1313"/>
      <c r="G181" s="173"/>
      <c r="H181" s="173"/>
      <c r="I181" s="1428"/>
      <c r="J181" s="1428"/>
      <c r="K181" s="523">
        <f t="shared" si="7"/>
        <v>0</v>
      </c>
      <c r="L181" s="511"/>
      <c r="M181" s="508"/>
    </row>
    <row r="182" spans="1:13" s="204" customFormat="1" ht="18" hidden="1" customHeight="1" x14ac:dyDescent="0.2">
      <c r="A182" s="513"/>
      <c r="B182" s="514">
        <f t="shared" si="8"/>
        <v>0</v>
      </c>
      <c r="C182" s="521">
        <v>168</v>
      </c>
      <c r="D182" s="1313"/>
      <c r="E182" s="1313"/>
      <c r="F182" s="1313"/>
      <c r="G182" s="173"/>
      <c r="H182" s="173"/>
      <c r="I182" s="1428"/>
      <c r="J182" s="1428"/>
      <c r="K182" s="523">
        <f t="shared" si="7"/>
        <v>0</v>
      </c>
      <c r="L182" s="511"/>
      <c r="M182" s="508"/>
    </row>
    <row r="183" spans="1:13" s="204" customFormat="1" ht="18" hidden="1" customHeight="1" x14ac:dyDescent="0.2">
      <c r="A183" s="513"/>
      <c r="B183" s="514">
        <f t="shared" si="8"/>
        <v>0</v>
      </c>
      <c r="C183" s="521">
        <v>169</v>
      </c>
      <c r="D183" s="1313"/>
      <c r="E183" s="1313"/>
      <c r="F183" s="1313"/>
      <c r="G183" s="173"/>
      <c r="H183" s="173"/>
      <c r="I183" s="1428"/>
      <c r="J183" s="1428"/>
      <c r="K183" s="523">
        <f t="shared" si="7"/>
        <v>0</v>
      </c>
      <c r="L183" s="511"/>
      <c r="M183" s="508"/>
    </row>
    <row r="184" spans="1:13" s="204" customFormat="1" ht="18" hidden="1" customHeight="1" x14ac:dyDescent="0.2">
      <c r="A184" s="513"/>
      <c r="B184" s="514">
        <f t="shared" si="8"/>
        <v>0</v>
      </c>
      <c r="C184" s="521">
        <v>170</v>
      </c>
      <c r="D184" s="1313"/>
      <c r="E184" s="1313"/>
      <c r="F184" s="1313"/>
      <c r="G184" s="173"/>
      <c r="H184" s="173"/>
      <c r="I184" s="1428"/>
      <c r="J184" s="1428"/>
      <c r="K184" s="523">
        <f t="shared" si="7"/>
        <v>0</v>
      </c>
      <c r="L184" s="511"/>
      <c r="M184" s="508"/>
    </row>
    <row r="185" spans="1:13" s="204" customFormat="1" ht="18" hidden="1" customHeight="1" x14ac:dyDescent="0.2">
      <c r="A185" s="513"/>
      <c r="B185" s="514">
        <f t="shared" si="8"/>
        <v>0</v>
      </c>
      <c r="C185" s="521">
        <v>171</v>
      </c>
      <c r="D185" s="1313"/>
      <c r="E185" s="1313"/>
      <c r="F185" s="1313"/>
      <c r="G185" s="173"/>
      <c r="H185" s="173"/>
      <c r="I185" s="1428"/>
      <c r="J185" s="1428"/>
      <c r="K185" s="523">
        <f t="shared" si="7"/>
        <v>0</v>
      </c>
      <c r="L185" s="511"/>
      <c r="M185" s="508"/>
    </row>
    <row r="186" spans="1:13" s="204" customFormat="1" ht="18" hidden="1" customHeight="1" x14ac:dyDescent="0.2">
      <c r="A186" s="513"/>
      <c r="B186" s="514">
        <f t="shared" si="8"/>
        <v>0</v>
      </c>
      <c r="C186" s="521">
        <v>172</v>
      </c>
      <c r="D186" s="1313"/>
      <c r="E186" s="1313"/>
      <c r="F186" s="1313"/>
      <c r="G186" s="173"/>
      <c r="H186" s="173"/>
      <c r="I186" s="1428"/>
      <c r="J186" s="1428"/>
      <c r="K186" s="523">
        <f t="shared" si="7"/>
        <v>0</v>
      </c>
      <c r="L186" s="511"/>
      <c r="M186" s="508"/>
    </row>
    <row r="187" spans="1:13" s="204" customFormat="1" ht="18" hidden="1" customHeight="1" x14ac:dyDescent="0.2">
      <c r="A187" s="513"/>
      <c r="B187" s="514">
        <f t="shared" si="8"/>
        <v>0</v>
      </c>
      <c r="C187" s="521">
        <v>173</v>
      </c>
      <c r="D187" s="1313"/>
      <c r="E187" s="1313"/>
      <c r="F187" s="1313"/>
      <c r="G187" s="173"/>
      <c r="H187" s="173"/>
      <c r="I187" s="1428"/>
      <c r="J187" s="1428"/>
      <c r="K187" s="523">
        <f t="shared" si="7"/>
        <v>0</v>
      </c>
      <c r="L187" s="511"/>
      <c r="M187" s="508"/>
    </row>
    <row r="188" spans="1:13" s="204" customFormat="1" ht="18" hidden="1" customHeight="1" x14ac:dyDescent="0.2">
      <c r="A188" s="513"/>
      <c r="B188" s="514">
        <f t="shared" si="8"/>
        <v>0</v>
      </c>
      <c r="C188" s="521">
        <v>174</v>
      </c>
      <c r="D188" s="1313"/>
      <c r="E188" s="1313"/>
      <c r="F188" s="1313"/>
      <c r="G188" s="173"/>
      <c r="H188" s="173"/>
      <c r="I188" s="1428"/>
      <c r="J188" s="1428"/>
      <c r="K188" s="523">
        <f t="shared" si="7"/>
        <v>0</v>
      </c>
      <c r="L188" s="511"/>
      <c r="M188" s="508"/>
    </row>
    <row r="189" spans="1:13" s="204" customFormat="1" ht="18" hidden="1" customHeight="1" x14ac:dyDescent="0.2">
      <c r="A189" s="513"/>
      <c r="B189" s="514">
        <f t="shared" si="8"/>
        <v>0</v>
      </c>
      <c r="C189" s="521">
        <v>175</v>
      </c>
      <c r="D189" s="1313"/>
      <c r="E189" s="1313"/>
      <c r="F189" s="1313"/>
      <c r="G189" s="173"/>
      <c r="H189" s="173"/>
      <c r="I189" s="1428"/>
      <c r="J189" s="1428"/>
      <c r="K189" s="523">
        <f t="shared" si="7"/>
        <v>0</v>
      </c>
      <c r="L189" s="511"/>
      <c r="M189" s="508"/>
    </row>
    <row r="190" spans="1:13" s="204" customFormat="1" ht="18" hidden="1" customHeight="1" x14ac:dyDescent="0.2">
      <c r="A190" s="513"/>
      <c r="B190" s="514">
        <f t="shared" si="8"/>
        <v>0</v>
      </c>
      <c r="C190" s="521">
        <v>176</v>
      </c>
      <c r="D190" s="1313"/>
      <c r="E190" s="1313"/>
      <c r="F190" s="1313"/>
      <c r="G190" s="173"/>
      <c r="H190" s="173"/>
      <c r="I190" s="1428"/>
      <c r="J190" s="1428"/>
      <c r="K190" s="523">
        <f t="shared" si="7"/>
        <v>0</v>
      </c>
      <c r="L190" s="511"/>
      <c r="M190" s="508"/>
    </row>
    <row r="191" spans="1:13" s="204" customFormat="1" ht="18" hidden="1" customHeight="1" x14ac:dyDescent="0.2">
      <c r="A191" s="513"/>
      <c r="B191" s="514">
        <f t="shared" si="8"/>
        <v>0</v>
      </c>
      <c r="C191" s="521">
        <v>177</v>
      </c>
      <c r="D191" s="1313"/>
      <c r="E191" s="1313"/>
      <c r="F191" s="1313"/>
      <c r="G191" s="173"/>
      <c r="H191" s="173"/>
      <c r="I191" s="1428"/>
      <c r="J191" s="1428"/>
      <c r="K191" s="523">
        <f t="shared" si="7"/>
        <v>0</v>
      </c>
      <c r="L191" s="511"/>
      <c r="M191" s="508"/>
    </row>
    <row r="192" spans="1:13" s="204" customFormat="1" ht="18" hidden="1" customHeight="1" x14ac:dyDescent="0.2">
      <c r="A192" s="513"/>
      <c r="B192" s="514">
        <f t="shared" si="8"/>
        <v>0</v>
      </c>
      <c r="C192" s="521">
        <v>178</v>
      </c>
      <c r="D192" s="1313"/>
      <c r="E192" s="1313"/>
      <c r="F192" s="1313"/>
      <c r="G192" s="173"/>
      <c r="H192" s="173"/>
      <c r="I192" s="1428"/>
      <c r="J192" s="1428"/>
      <c r="K192" s="523">
        <f t="shared" si="7"/>
        <v>0</v>
      </c>
      <c r="L192" s="511"/>
      <c r="M192" s="508"/>
    </row>
    <row r="193" spans="1:13" s="204" customFormat="1" ht="18" hidden="1" customHeight="1" x14ac:dyDescent="0.2">
      <c r="A193" s="513"/>
      <c r="B193" s="514">
        <f t="shared" si="8"/>
        <v>0</v>
      </c>
      <c r="C193" s="521">
        <v>179</v>
      </c>
      <c r="D193" s="1313"/>
      <c r="E193" s="1313"/>
      <c r="F193" s="1313"/>
      <c r="G193" s="173"/>
      <c r="H193" s="173"/>
      <c r="I193" s="1428"/>
      <c r="J193" s="1428"/>
      <c r="K193" s="523">
        <f t="shared" si="7"/>
        <v>0</v>
      </c>
      <c r="L193" s="511"/>
      <c r="M193" s="508"/>
    </row>
    <row r="194" spans="1:13" s="204" customFormat="1" ht="18" hidden="1" customHeight="1" x14ac:dyDescent="0.2">
      <c r="A194" s="513"/>
      <c r="B194" s="514">
        <f t="shared" si="8"/>
        <v>0</v>
      </c>
      <c r="C194" s="521">
        <v>180</v>
      </c>
      <c r="D194" s="1313"/>
      <c r="E194" s="1313"/>
      <c r="F194" s="1313"/>
      <c r="G194" s="173"/>
      <c r="H194" s="173"/>
      <c r="I194" s="1428"/>
      <c r="J194" s="1428"/>
      <c r="K194" s="523">
        <f t="shared" si="7"/>
        <v>0</v>
      </c>
      <c r="L194" s="511"/>
      <c r="M194" s="508"/>
    </row>
    <row r="195" spans="1:13" s="204" customFormat="1" ht="18" hidden="1" customHeight="1" x14ac:dyDescent="0.2">
      <c r="A195" s="513"/>
      <c r="B195" s="514">
        <f t="shared" si="8"/>
        <v>0</v>
      </c>
      <c r="C195" s="521">
        <v>181</v>
      </c>
      <c r="D195" s="1313"/>
      <c r="E195" s="1313"/>
      <c r="F195" s="1313"/>
      <c r="G195" s="173"/>
      <c r="H195" s="173"/>
      <c r="I195" s="1428"/>
      <c r="J195" s="1428"/>
      <c r="K195" s="523">
        <f t="shared" si="7"/>
        <v>0</v>
      </c>
      <c r="L195" s="511"/>
      <c r="M195" s="508"/>
    </row>
    <row r="196" spans="1:13" s="204" customFormat="1" ht="18" hidden="1" customHeight="1" x14ac:dyDescent="0.2">
      <c r="A196" s="513"/>
      <c r="B196" s="514">
        <f t="shared" si="8"/>
        <v>0</v>
      </c>
      <c r="C196" s="521">
        <v>182</v>
      </c>
      <c r="D196" s="1313"/>
      <c r="E196" s="1313"/>
      <c r="F196" s="1313"/>
      <c r="G196" s="173"/>
      <c r="H196" s="173"/>
      <c r="I196" s="1428"/>
      <c r="J196" s="1428"/>
      <c r="K196" s="523">
        <f t="shared" si="7"/>
        <v>0</v>
      </c>
      <c r="L196" s="511"/>
      <c r="M196" s="508"/>
    </row>
    <row r="197" spans="1:13" s="204" customFormat="1" ht="18" hidden="1" customHeight="1" x14ac:dyDescent="0.2">
      <c r="A197" s="513"/>
      <c r="B197" s="514">
        <f t="shared" si="8"/>
        <v>0</v>
      </c>
      <c r="C197" s="521">
        <v>183</v>
      </c>
      <c r="D197" s="1313"/>
      <c r="E197" s="1313"/>
      <c r="F197" s="1313"/>
      <c r="G197" s="173"/>
      <c r="H197" s="173"/>
      <c r="I197" s="1428"/>
      <c r="J197" s="1428"/>
      <c r="K197" s="523">
        <f t="shared" si="7"/>
        <v>0</v>
      </c>
      <c r="L197" s="511"/>
      <c r="M197" s="508"/>
    </row>
    <row r="198" spans="1:13" s="204" customFormat="1" ht="18" hidden="1" customHeight="1" x14ac:dyDescent="0.2">
      <c r="A198" s="513"/>
      <c r="B198" s="514">
        <f t="shared" si="8"/>
        <v>0</v>
      </c>
      <c r="C198" s="521">
        <v>184</v>
      </c>
      <c r="D198" s="1313"/>
      <c r="E198" s="1313"/>
      <c r="F198" s="1313"/>
      <c r="G198" s="173"/>
      <c r="H198" s="173"/>
      <c r="I198" s="1428"/>
      <c r="J198" s="1428"/>
      <c r="K198" s="523">
        <f t="shared" si="7"/>
        <v>0</v>
      </c>
      <c r="L198" s="511"/>
      <c r="M198" s="508"/>
    </row>
    <row r="199" spans="1:13" s="204" customFormat="1" ht="18" hidden="1" customHeight="1" x14ac:dyDescent="0.2">
      <c r="A199" s="513"/>
      <c r="B199" s="514">
        <f t="shared" si="8"/>
        <v>0</v>
      </c>
      <c r="C199" s="521">
        <v>185</v>
      </c>
      <c r="D199" s="1313"/>
      <c r="E199" s="1313"/>
      <c r="F199" s="1313"/>
      <c r="G199" s="173"/>
      <c r="H199" s="173"/>
      <c r="I199" s="1428"/>
      <c r="J199" s="1428"/>
      <c r="K199" s="523">
        <f t="shared" si="7"/>
        <v>0</v>
      </c>
      <c r="L199" s="511"/>
      <c r="M199" s="508"/>
    </row>
    <row r="200" spans="1:13" s="204" customFormat="1" ht="18" hidden="1" customHeight="1" x14ac:dyDescent="0.2">
      <c r="A200" s="513"/>
      <c r="B200" s="514">
        <f t="shared" si="8"/>
        <v>0</v>
      </c>
      <c r="C200" s="521">
        <v>186</v>
      </c>
      <c r="D200" s="1313"/>
      <c r="E200" s="1313"/>
      <c r="F200" s="1313"/>
      <c r="G200" s="173"/>
      <c r="H200" s="173"/>
      <c r="I200" s="1428"/>
      <c r="J200" s="1428"/>
      <c r="K200" s="523">
        <f t="shared" si="7"/>
        <v>0</v>
      </c>
      <c r="L200" s="511"/>
      <c r="M200" s="508"/>
    </row>
    <row r="201" spans="1:13" s="204" customFormat="1" ht="18" hidden="1" customHeight="1" x14ac:dyDescent="0.2">
      <c r="A201" s="513"/>
      <c r="B201" s="514">
        <f t="shared" si="8"/>
        <v>0</v>
      </c>
      <c r="C201" s="521">
        <v>187</v>
      </c>
      <c r="D201" s="1313"/>
      <c r="E201" s="1313"/>
      <c r="F201" s="1313"/>
      <c r="G201" s="173"/>
      <c r="H201" s="173"/>
      <c r="I201" s="1428"/>
      <c r="J201" s="1428"/>
      <c r="K201" s="523">
        <f t="shared" si="7"/>
        <v>0</v>
      </c>
      <c r="L201" s="511"/>
      <c r="M201" s="508"/>
    </row>
    <row r="202" spans="1:13" s="204" customFormat="1" ht="18" hidden="1" customHeight="1" x14ac:dyDescent="0.2">
      <c r="A202" s="513"/>
      <c r="B202" s="514">
        <f t="shared" si="8"/>
        <v>0</v>
      </c>
      <c r="C202" s="521">
        <v>188</v>
      </c>
      <c r="D202" s="1313"/>
      <c r="E202" s="1313"/>
      <c r="F202" s="1313"/>
      <c r="G202" s="173"/>
      <c r="H202" s="173"/>
      <c r="I202" s="1428"/>
      <c r="J202" s="1428"/>
      <c r="K202" s="523">
        <f t="shared" si="7"/>
        <v>0</v>
      </c>
      <c r="L202" s="511"/>
      <c r="M202" s="508"/>
    </row>
    <row r="203" spans="1:13" s="204" customFormat="1" ht="18" hidden="1" customHeight="1" x14ac:dyDescent="0.2">
      <c r="A203" s="513"/>
      <c r="B203" s="514">
        <f t="shared" si="8"/>
        <v>0</v>
      </c>
      <c r="C203" s="521">
        <v>189</v>
      </c>
      <c r="D203" s="1313"/>
      <c r="E203" s="1313"/>
      <c r="F203" s="1313"/>
      <c r="G203" s="173"/>
      <c r="H203" s="173"/>
      <c r="I203" s="1428"/>
      <c r="J203" s="1428"/>
      <c r="K203" s="523">
        <f t="shared" si="7"/>
        <v>0</v>
      </c>
      <c r="L203" s="511"/>
      <c r="M203" s="508"/>
    </row>
    <row r="204" spans="1:13" s="204" customFormat="1" ht="18" hidden="1" customHeight="1" x14ac:dyDescent="0.2">
      <c r="A204" s="513"/>
      <c r="B204" s="514">
        <f t="shared" si="8"/>
        <v>0</v>
      </c>
      <c r="C204" s="521">
        <v>190</v>
      </c>
      <c r="D204" s="1313"/>
      <c r="E204" s="1313"/>
      <c r="F204" s="1313"/>
      <c r="G204" s="173"/>
      <c r="H204" s="173"/>
      <c r="I204" s="1428"/>
      <c r="J204" s="1428"/>
      <c r="K204" s="523">
        <f t="shared" si="7"/>
        <v>0</v>
      </c>
      <c r="L204" s="511"/>
      <c r="M204" s="508"/>
    </row>
    <row r="205" spans="1:13" s="204" customFormat="1" ht="18" hidden="1" customHeight="1" x14ac:dyDescent="0.2">
      <c r="A205" s="513"/>
      <c r="B205" s="514">
        <f t="shared" si="8"/>
        <v>0</v>
      </c>
      <c r="C205" s="521">
        <v>191</v>
      </c>
      <c r="D205" s="1313"/>
      <c r="E205" s="1313"/>
      <c r="F205" s="1313"/>
      <c r="G205" s="173"/>
      <c r="H205" s="173"/>
      <c r="I205" s="1428"/>
      <c r="J205" s="1428"/>
      <c r="K205" s="523">
        <f t="shared" si="7"/>
        <v>0</v>
      </c>
      <c r="L205" s="511"/>
      <c r="M205" s="508"/>
    </row>
    <row r="206" spans="1:13" s="204" customFormat="1" ht="18" hidden="1" customHeight="1" x14ac:dyDescent="0.2">
      <c r="A206" s="513"/>
      <c r="B206" s="514">
        <f t="shared" si="8"/>
        <v>0</v>
      </c>
      <c r="C206" s="521">
        <v>192</v>
      </c>
      <c r="D206" s="1313"/>
      <c r="E206" s="1313"/>
      <c r="F206" s="1313"/>
      <c r="G206" s="173"/>
      <c r="H206" s="173"/>
      <c r="I206" s="1428"/>
      <c r="J206" s="1428"/>
      <c r="K206" s="523">
        <f t="shared" si="7"/>
        <v>0</v>
      </c>
      <c r="L206" s="511"/>
      <c r="M206" s="508"/>
    </row>
    <row r="207" spans="1:13" s="204" customFormat="1" ht="18" hidden="1" customHeight="1" x14ac:dyDescent="0.2">
      <c r="A207" s="513"/>
      <c r="B207" s="514">
        <f t="shared" si="8"/>
        <v>0</v>
      </c>
      <c r="C207" s="521">
        <v>193</v>
      </c>
      <c r="D207" s="1313"/>
      <c r="E207" s="1313"/>
      <c r="F207" s="1313"/>
      <c r="G207" s="173"/>
      <c r="H207" s="173"/>
      <c r="I207" s="1428"/>
      <c r="J207" s="1428"/>
      <c r="K207" s="523">
        <f t="shared" si="7"/>
        <v>0</v>
      </c>
      <c r="L207" s="511"/>
      <c r="M207" s="508"/>
    </row>
    <row r="208" spans="1:13" s="204" customFormat="1" ht="18" hidden="1" customHeight="1" x14ac:dyDescent="0.2">
      <c r="A208" s="513"/>
      <c r="B208" s="514">
        <f t="shared" si="8"/>
        <v>0</v>
      </c>
      <c r="C208" s="521">
        <v>194</v>
      </c>
      <c r="D208" s="1313"/>
      <c r="E208" s="1313"/>
      <c r="F208" s="1313"/>
      <c r="G208" s="173"/>
      <c r="H208" s="173"/>
      <c r="I208" s="1428"/>
      <c r="J208" s="1428"/>
      <c r="K208" s="523">
        <f t="shared" si="7"/>
        <v>0</v>
      </c>
      <c r="L208" s="511"/>
      <c r="M208" s="508"/>
    </row>
    <row r="209" spans="1:13" s="204" customFormat="1" ht="18" hidden="1" customHeight="1" x14ac:dyDescent="0.2">
      <c r="A209" s="513"/>
      <c r="B209" s="514">
        <f t="shared" ref="B209:B245" si="9">IFERROR(K209/$K$265,0)</f>
        <v>0</v>
      </c>
      <c r="C209" s="521">
        <v>195</v>
      </c>
      <c r="D209" s="1313"/>
      <c r="E209" s="1313"/>
      <c r="F209" s="1313"/>
      <c r="G209" s="173"/>
      <c r="H209" s="173"/>
      <c r="I209" s="1428"/>
      <c r="J209" s="1428"/>
      <c r="K209" s="523">
        <f t="shared" si="1"/>
        <v>0</v>
      </c>
      <c r="L209" s="511"/>
      <c r="M209" s="508"/>
    </row>
    <row r="210" spans="1:13" s="204" customFormat="1" ht="18" hidden="1" customHeight="1" x14ac:dyDescent="0.2">
      <c r="A210" s="513"/>
      <c r="B210" s="514">
        <f t="shared" si="9"/>
        <v>0</v>
      </c>
      <c r="C210" s="521">
        <v>196</v>
      </c>
      <c r="D210" s="1313"/>
      <c r="E210" s="1313"/>
      <c r="F210" s="1313"/>
      <c r="G210" s="173"/>
      <c r="H210" s="173"/>
      <c r="I210" s="1428"/>
      <c r="J210" s="1428"/>
      <c r="K210" s="523">
        <f t="shared" si="1"/>
        <v>0</v>
      </c>
      <c r="L210" s="511"/>
      <c r="M210" s="508"/>
    </row>
    <row r="211" spans="1:13" s="204" customFormat="1" ht="18" hidden="1" customHeight="1" x14ac:dyDescent="0.2">
      <c r="A211" s="513"/>
      <c r="B211" s="514">
        <f t="shared" si="9"/>
        <v>0</v>
      </c>
      <c r="C211" s="521">
        <v>197</v>
      </c>
      <c r="D211" s="1313"/>
      <c r="E211" s="1313"/>
      <c r="F211" s="1313"/>
      <c r="G211" s="173"/>
      <c r="H211" s="173"/>
      <c r="I211" s="1428"/>
      <c r="J211" s="1428"/>
      <c r="K211" s="523">
        <f t="shared" si="1"/>
        <v>0</v>
      </c>
      <c r="L211" s="511"/>
      <c r="M211" s="508"/>
    </row>
    <row r="212" spans="1:13" s="204" customFormat="1" ht="18" hidden="1" customHeight="1" x14ac:dyDescent="0.2">
      <c r="A212" s="513"/>
      <c r="B212" s="514">
        <f t="shared" si="9"/>
        <v>0</v>
      </c>
      <c r="C212" s="521">
        <v>198</v>
      </c>
      <c r="D212" s="1313"/>
      <c r="E212" s="1313"/>
      <c r="F212" s="1313"/>
      <c r="G212" s="173"/>
      <c r="H212" s="173"/>
      <c r="I212" s="1428"/>
      <c r="J212" s="1428"/>
      <c r="K212" s="523">
        <f t="shared" si="1"/>
        <v>0</v>
      </c>
      <c r="L212" s="511"/>
      <c r="M212" s="508"/>
    </row>
    <row r="213" spans="1:13" s="204" customFormat="1" ht="18" hidden="1" customHeight="1" x14ac:dyDescent="0.2">
      <c r="A213" s="513"/>
      <c r="B213" s="514">
        <f t="shared" si="9"/>
        <v>0</v>
      </c>
      <c r="C213" s="521">
        <v>199</v>
      </c>
      <c r="D213" s="1313"/>
      <c r="E213" s="1313"/>
      <c r="F213" s="1313"/>
      <c r="G213" s="173"/>
      <c r="H213" s="173"/>
      <c r="I213" s="1428"/>
      <c r="J213" s="1428"/>
      <c r="K213" s="523">
        <f t="shared" si="1"/>
        <v>0</v>
      </c>
      <c r="L213" s="511"/>
      <c r="M213" s="508"/>
    </row>
    <row r="214" spans="1:13" s="204" customFormat="1" ht="18" hidden="1" customHeight="1" x14ac:dyDescent="0.2">
      <c r="A214" s="513"/>
      <c r="B214" s="514">
        <f t="shared" si="9"/>
        <v>0</v>
      </c>
      <c r="C214" s="521">
        <v>200</v>
      </c>
      <c r="D214" s="1313"/>
      <c r="E214" s="1313"/>
      <c r="F214" s="1313"/>
      <c r="G214" s="173"/>
      <c r="H214" s="173"/>
      <c r="I214" s="1428"/>
      <c r="J214" s="1428"/>
      <c r="K214" s="523">
        <f t="shared" si="1"/>
        <v>0</v>
      </c>
      <c r="L214" s="511"/>
      <c r="M214" s="508"/>
    </row>
    <row r="215" spans="1:13" s="204" customFormat="1" ht="18" hidden="1" customHeight="1" x14ac:dyDescent="0.2">
      <c r="A215" s="513"/>
      <c r="B215" s="514">
        <f t="shared" si="9"/>
        <v>0</v>
      </c>
      <c r="C215" s="521">
        <v>201</v>
      </c>
      <c r="D215" s="1313"/>
      <c r="E215" s="1313"/>
      <c r="F215" s="1313"/>
      <c r="G215" s="173"/>
      <c r="H215" s="173"/>
      <c r="I215" s="1428"/>
      <c r="J215" s="1428"/>
      <c r="K215" s="523">
        <f t="shared" si="1"/>
        <v>0</v>
      </c>
      <c r="L215" s="511"/>
      <c r="M215" s="508"/>
    </row>
    <row r="216" spans="1:13" s="204" customFormat="1" ht="18" hidden="1" customHeight="1" x14ac:dyDescent="0.2">
      <c r="A216" s="513"/>
      <c r="B216" s="514">
        <f t="shared" si="9"/>
        <v>0</v>
      </c>
      <c r="C216" s="521">
        <v>202</v>
      </c>
      <c r="D216" s="1313"/>
      <c r="E216" s="1313"/>
      <c r="F216" s="1313"/>
      <c r="G216" s="173"/>
      <c r="H216" s="173"/>
      <c r="I216" s="1428"/>
      <c r="J216" s="1428"/>
      <c r="K216" s="523">
        <f t="shared" si="1"/>
        <v>0</v>
      </c>
      <c r="L216" s="511"/>
      <c r="M216" s="508"/>
    </row>
    <row r="217" spans="1:13" s="204" customFormat="1" ht="18" hidden="1" customHeight="1" x14ac:dyDescent="0.2">
      <c r="A217" s="513"/>
      <c r="B217" s="514">
        <f t="shared" si="9"/>
        <v>0</v>
      </c>
      <c r="C217" s="521">
        <v>203</v>
      </c>
      <c r="D217" s="1313"/>
      <c r="E217" s="1313"/>
      <c r="F217" s="1313"/>
      <c r="G217" s="173"/>
      <c r="H217" s="173"/>
      <c r="I217" s="1428"/>
      <c r="J217" s="1428"/>
      <c r="K217" s="523">
        <f t="shared" si="1"/>
        <v>0</v>
      </c>
      <c r="L217" s="511"/>
      <c r="M217" s="508"/>
    </row>
    <row r="218" spans="1:13" s="204" customFormat="1" ht="18" hidden="1" customHeight="1" x14ac:dyDescent="0.2">
      <c r="A218" s="513"/>
      <c r="B218" s="514">
        <f t="shared" si="9"/>
        <v>0</v>
      </c>
      <c r="C218" s="521">
        <v>204</v>
      </c>
      <c r="D218" s="1313"/>
      <c r="E218" s="1313"/>
      <c r="F218" s="1313"/>
      <c r="G218" s="173"/>
      <c r="H218" s="173"/>
      <c r="I218" s="1428"/>
      <c r="J218" s="1428"/>
      <c r="K218" s="523">
        <f t="shared" si="1"/>
        <v>0</v>
      </c>
      <c r="L218" s="511"/>
      <c r="M218" s="508"/>
    </row>
    <row r="219" spans="1:13" s="204" customFormat="1" ht="18" hidden="1" customHeight="1" x14ac:dyDescent="0.2">
      <c r="A219" s="513"/>
      <c r="B219" s="514">
        <f t="shared" si="9"/>
        <v>0</v>
      </c>
      <c r="C219" s="521">
        <v>205</v>
      </c>
      <c r="D219" s="1313"/>
      <c r="E219" s="1313"/>
      <c r="F219" s="1313"/>
      <c r="G219" s="173"/>
      <c r="H219" s="173"/>
      <c r="I219" s="1428"/>
      <c r="J219" s="1428"/>
      <c r="K219" s="523">
        <f t="shared" si="1"/>
        <v>0</v>
      </c>
      <c r="L219" s="511"/>
      <c r="M219" s="508"/>
    </row>
    <row r="220" spans="1:13" s="204" customFormat="1" ht="18" hidden="1" customHeight="1" x14ac:dyDescent="0.2">
      <c r="A220" s="513"/>
      <c r="B220" s="514">
        <f t="shared" si="9"/>
        <v>0</v>
      </c>
      <c r="C220" s="521">
        <v>206</v>
      </c>
      <c r="D220" s="1313"/>
      <c r="E220" s="1313"/>
      <c r="F220" s="1313"/>
      <c r="G220" s="173"/>
      <c r="H220" s="173"/>
      <c r="I220" s="1428"/>
      <c r="J220" s="1428"/>
      <c r="K220" s="523">
        <f t="shared" si="1"/>
        <v>0</v>
      </c>
      <c r="L220" s="511"/>
      <c r="M220" s="508"/>
    </row>
    <row r="221" spans="1:13" s="204" customFormat="1" ht="18" hidden="1" customHeight="1" x14ac:dyDescent="0.2">
      <c r="A221" s="513"/>
      <c r="B221" s="514">
        <f t="shared" si="9"/>
        <v>0</v>
      </c>
      <c r="C221" s="521">
        <v>207</v>
      </c>
      <c r="D221" s="1313"/>
      <c r="E221" s="1313"/>
      <c r="F221" s="1313"/>
      <c r="G221" s="173"/>
      <c r="H221" s="173"/>
      <c r="I221" s="1428"/>
      <c r="J221" s="1428"/>
      <c r="K221" s="523">
        <f t="shared" si="1"/>
        <v>0</v>
      </c>
      <c r="L221" s="511"/>
      <c r="M221" s="508"/>
    </row>
    <row r="222" spans="1:13" s="204" customFormat="1" ht="18" hidden="1" customHeight="1" x14ac:dyDescent="0.2">
      <c r="A222" s="513"/>
      <c r="B222" s="514">
        <f t="shared" si="9"/>
        <v>0</v>
      </c>
      <c r="C222" s="521">
        <v>208</v>
      </c>
      <c r="D222" s="1313"/>
      <c r="E222" s="1313"/>
      <c r="F222" s="1313"/>
      <c r="G222" s="173"/>
      <c r="H222" s="173"/>
      <c r="I222" s="1428"/>
      <c r="J222" s="1428"/>
      <c r="K222" s="523">
        <f t="shared" si="1"/>
        <v>0</v>
      </c>
      <c r="L222" s="511"/>
      <c r="M222" s="508"/>
    </row>
    <row r="223" spans="1:13" s="204" customFormat="1" ht="18" hidden="1" customHeight="1" x14ac:dyDescent="0.2">
      <c r="A223" s="513"/>
      <c r="B223" s="514">
        <f t="shared" si="9"/>
        <v>0</v>
      </c>
      <c r="C223" s="521">
        <v>209</v>
      </c>
      <c r="D223" s="1313"/>
      <c r="E223" s="1313"/>
      <c r="F223" s="1313"/>
      <c r="G223" s="173"/>
      <c r="H223" s="173"/>
      <c r="I223" s="1428"/>
      <c r="J223" s="1428"/>
      <c r="K223" s="523">
        <f t="shared" si="1"/>
        <v>0</v>
      </c>
      <c r="L223" s="511"/>
      <c r="M223" s="508"/>
    </row>
    <row r="224" spans="1:13" s="204" customFormat="1" ht="18" hidden="1" customHeight="1" x14ac:dyDescent="0.2">
      <c r="A224" s="513"/>
      <c r="B224" s="514">
        <f t="shared" si="9"/>
        <v>0</v>
      </c>
      <c r="C224" s="521">
        <v>210</v>
      </c>
      <c r="D224" s="1313"/>
      <c r="E224" s="1313"/>
      <c r="F224" s="1313"/>
      <c r="G224" s="173"/>
      <c r="H224" s="173"/>
      <c r="I224" s="1428"/>
      <c r="J224" s="1428"/>
      <c r="K224" s="523">
        <f t="shared" si="1"/>
        <v>0</v>
      </c>
      <c r="L224" s="511"/>
      <c r="M224" s="508"/>
    </row>
    <row r="225" spans="1:13" s="204" customFormat="1" ht="18" hidden="1" customHeight="1" x14ac:dyDescent="0.2">
      <c r="A225" s="513"/>
      <c r="B225" s="514">
        <f t="shared" si="9"/>
        <v>0</v>
      </c>
      <c r="C225" s="521">
        <v>211</v>
      </c>
      <c r="D225" s="1313"/>
      <c r="E225" s="1313"/>
      <c r="F225" s="1313"/>
      <c r="G225" s="173"/>
      <c r="H225" s="173"/>
      <c r="I225" s="1428"/>
      <c r="J225" s="1428"/>
      <c r="K225" s="523">
        <f t="shared" si="1"/>
        <v>0</v>
      </c>
      <c r="L225" s="511"/>
      <c r="M225" s="508"/>
    </row>
    <row r="226" spans="1:13" s="204" customFormat="1" ht="18" hidden="1" customHeight="1" x14ac:dyDescent="0.2">
      <c r="A226" s="513"/>
      <c r="B226" s="514">
        <f t="shared" si="9"/>
        <v>0</v>
      </c>
      <c r="C226" s="521">
        <v>212</v>
      </c>
      <c r="D226" s="1313"/>
      <c r="E226" s="1313"/>
      <c r="F226" s="1313"/>
      <c r="G226" s="173"/>
      <c r="H226" s="173"/>
      <c r="I226" s="1428"/>
      <c r="J226" s="1428"/>
      <c r="K226" s="523">
        <f t="shared" si="1"/>
        <v>0</v>
      </c>
      <c r="L226" s="511"/>
      <c r="M226" s="508"/>
    </row>
    <row r="227" spans="1:13" s="204" customFormat="1" ht="18" hidden="1" customHeight="1" x14ac:dyDescent="0.2">
      <c r="A227" s="513"/>
      <c r="B227" s="514">
        <f t="shared" si="9"/>
        <v>0</v>
      </c>
      <c r="C227" s="521">
        <v>213</v>
      </c>
      <c r="D227" s="1313"/>
      <c r="E227" s="1313"/>
      <c r="F227" s="1313"/>
      <c r="G227" s="173"/>
      <c r="H227" s="173"/>
      <c r="I227" s="1428"/>
      <c r="J227" s="1428"/>
      <c r="K227" s="523">
        <f t="shared" si="1"/>
        <v>0</v>
      </c>
      <c r="L227" s="511"/>
      <c r="M227" s="508"/>
    </row>
    <row r="228" spans="1:13" s="204" customFormat="1" ht="18" hidden="1" customHeight="1" x14ac:dyDescent="0.2">
      <c r="A228" s="513"/>
      <c r="B228" s="514">
        <f t="shared" si="9"/>
        <v>0</v>
      </c>
      <c r="C228" s="521">
        <v>214</v>
      </c>
      <c r="D228" s="1313"/>
      <c r="E228" s="1313"/>
      <c r="F228" s="1313"/>
      <c r="G228" s="173"/>
      <c r="H228" s="173"/>
      <c r="I228" s="1428"/>
      <c r="J228" s="1428"/>
      <c r="K228" s="523">
        <f t="shared" si="1"/>
        <v>0</v>
      </c>
      <c r="L228" s="511"/>
      <c r="M228" s="508"/>
    </row>
    <row r="229" spans="1:13" s="204" customFormat="1" ht="18" hidden="1" customHeight="1" x14ac:dyDescent="0.2">
      <c r="A229" s="513"/>
      <c r="B229" s="514">
        <f t="shared" si="9"/>
        <v>0</v>
      </c>
      <c r="C229" s="521">
        <v>215</v>
      </c>
      <c r="D229" s="1313"/>
      <c r="E229" s="1313"/>
      <c r="F229" s="1313"/>
      <c r="G229" s="173"/>
      <c r="H229" s="173"/>
      <c r="I229" s="1428"/>
      <c r="J229" s="1428"/>
      <c r="K229" s="523">
        <f t="shared" si="1"/>
        <v>0</v>
      </c>
      <c r="L229" s="511"/>
      <c r="M229" s="508"/>
    </row>
    <row r="230" spans="1:13" s="204" customFormat="1" ht="18" hidden="1" customHeight="1" x14ac:dyDescent="0.2">
      <c r="A230" s="513"/>
      <c r="B230" s="514">
        <f t="shared" si="9"/>
        <v>0</v>
      </c>
      <c r="C230" s="521">
        <v>216</v>
      </c>
      <c r="D230" s="1313"/>
      <c r="E230" s="1313"/>
      <c r="F230" s="1313"/>
      <c r="G230" s="173"/>
      <c r="H230" s="173"/>
      <c r="I230" s="1428"/>
      <c r="J230" s="1428"/>
      <c r="K230" s="523">
        <f t="shared" si="1"/>
        <v>0</v>
      </c>
      <c r="L230" s="511"/>
      <c r="M230" s="508"/>
    </row>
    <row r="231" spans="1:13" s="204" customFormat="1" ht="18" hidden="1" customHeight="1" x14ac:dyDescent="0.2">
      <c r="A231" s="513"/>
      <c r="B231" s="514">
        <f t="shared" si="9"/>
        <v>0</v>
      </c>
      <c r="C231" s="521">
        <v>217</v>
      </c>
      <c r="D231" s="1313"/>
      <c r="E231" s="1313"/>
      <c r="F231" s="1313"/>
      <c r="G231" s="173"/>
      <c r="H231" s="173"/>
      <c r="I231" s="1428"/>
      <c r="J231" s="1428"/>
      <c r="K231" s="523">
        <f t="shared" si="1"/>
        <v>0</v>
      </c>
      <c r="L231" s="511"/>
      <c r="M231" s="508"/>
    </row>
    <row r="232" spans="1:13" s="204" customFormat="1" ht="18" hidden="1" customHeight="1" x14ac:dyDescent="0.2">
      <c r="A232" s="513"/>
      <c r="B232" s="514">
        <f t="shared" si="9"/>
        <v>0</v>
      </c>
      <c r="C232" s="521">
        <v>218</v>
      </c>
      <c r="D232" s="1313"/>
      <c r="E232" s="1313"/>
      <c r="F232" s="1313"/>
      <c r="G232" s="173"/>
      <c r="H232" s="173"/>
      <c r="I232" s="1428"/>
      <c r="J232" s="1428"/>
      <c r="K232" s="523">
        <f t="shared" si="1"/>
        <v>0</v>
      </c>
      <c r="L232" s="511"/>
      <c r="M232" s="508"/>
    </row>
    <row r="233" spans="1:13" s="204" customFormat="1" ht="18" hidden="1" customHeight="1" x14ac:dyDescent="0.2">
      <c r="A233" s="513"/>
      <c r="B233" s="514">
        <f t="shared" si="9"/>
        <v>0</v>
      </c>
      <c r="C233" s="521">
        <v>219</v>
      </c>
      <c r="D233" s="1313"/>
      <c r="E233" s="1313"/>
      <c r="F233" s="1313"/>
      <c r="G233" s="173"/>
      <c r="H233" s="173"/>
      <c r="I233" s="1428"/>
      <c r="J233" s="1428"/>
      <c r="K233" s="523">
        <f t="shared" si="1"/>
        <v>0</v>
      </c>
      <c r="L233" s="511"/>
      <c r="M233" s="508"/>
    </row>
    <row r="234" spans="1:13" s="204" customFormat="1" ht="18" hidden="1" customHeight="1" x14ac:dyDescent="0.2">
      <c r="A234" s="513"/>
      <c r="B234" s="514">
        <f t="shared" si="9"/>
        <v>0</v>
      </c>
      <c r="C234" s="521">
        <v>220</v>
      </c>
      <c r="D234" s="1313"/>
      <c r="E234" s="1313"/>
      <c r="F234" s="1313"/>
      <c r="G234" s="173"/>
      <c r="H234" s="173"/>
      <c r="I234" s="1428"/>
      <c r="J234" s="1428"/>
      <c r="K234" s="523">
        <f t="shared" si="1"/>
        <v>0</v>
      </c>
      <c r="L234" s="511"/>
      <c r="M234" s="508"/>
    </row>
    <row r="235" spans="1:13" s="204" customFormat="1" ht="18" hidden="1" customHeight="1" x14ac:dyDescent="0.2">
      <c r="A235" s="513"/>
      <c r="B235" s="514">
        <f t="shared" si="9"/>
        <v>0</v>
      </c>
      <c r="C235" s="521">
        <v>221</v>
      </c>
      <c r="D235" s="1313"/>
      <c r="E235" s="1313"/>
      <c r="F235" s="1313"/>
      <c r="G235" s="173"/>
      <c r="H235" s="173"/>
      <c r="I235" s="1428"/>
      <c r="J235" s="1428"/>
      <c r="K235" s="523">
        <f t="shared" si="1"/>
        <v>0</v>
      </c>
      <c r="L235" s="511"/>
      <c r="M235" s="508"/>
    </row>
    <row r="236" spans="1:13" s="204" customFormat="1" ht="18" hidden="1" customHeight="1" x14ac:dyDescent="0.2">
      <c r="A236" s="513"/>
      <c r="B236" s="514">
        <f t="shared" si="9"/>
        <v>0</v>
      </c>
      <c r="C236" s="521">
        <v>222</v>
      </c>
      <c r="D236" s="1313"/>
      <c r="E236" s="1313"/>
      <c r="F236" s="1313"/>
      <c r="G236" s="173"/>
      <c r="H236" s="173"/>
      <c r="I236" s="1428"/>
      <c r="J236" s="1428"/>
      <c r="K236" s="523">
        <f t="shared" si="1"/>
        <v>0</v>
      </c>
      <c r="L236" s="511"/>
      <c r="M236" s="508"/>
    </row>
    <row r="237" spans="1:13" s="204" customFormat="1" ht="18" hidden="1" customHeight="1" x14ac:dyDescent="0.2">
      <c r="A237" s="513"/>
      <c r="B237" s="514">
        <f t="shared" si="9"/>
        <v>0</v>
      </c>
      <c r="C237" s="521">
        <v>223</v>
      </c>
      <c r="D237" s="1313"/>
      <c r="E237" s="1313"/>
      <c r="F237" s="1313"/>
      <c r="G237" s="173"/>
      <c r="H237" s="173"/>
      <c r="I237" s="1428"/>
      <c r="J237" s="1428"/>
      <c r="K237" s="523">
        <f t="shared" si="1"/>
        <v>0</v>
      </c>
      <c r="L237" s="511"/>
      <c r="M237" s="508"/>
    </row>
    <row r="238" spans="1:13" s="204" customFormat="1" ht="18" hidden="1" customHeight="1" x14ac:dyDescent="0.2">
      <c r="A238" s="513"/>
      <c r="B238" s="514">
        <f t="shared" si="9"/>
        <v>0</v>
      </c>
      <c r="C238" s="521">
        <v>224</v>
      </c>
      <c r="D238" s="1313"/>
      <c r="E238" s="1313"/>
      <c r="F238" s="1313"/>
      <c r="G238" s="173"/>
      <c r="H238" s="173"/>
      <c r="I238" s="1428"/>
      <c r="J238" s="1428"/>
      <c r="K238" s="523">
        <f t="shared" si="1"/>
        <v>0</v>
      </c>
      <c r="L238" s="511"/>
      <c r="M238" s="508"/>
    </row>
    <row r="239" spans="1:13" s="204" customFormat="1" ht="18" hidden="1" customHeight="1" x14ac:dyDescent="0.2">
      <c r="A239" s="513"/>
      <c r="B239" s="514">
        <f t="shared" si="9"/>
        <v>0</v>
      </c>
      <c r="C239" s="521">
        <v>225</v>
      </c>
      <c r="D239" s="1313"/>
      <c r="E239" s="1313"/>
      <c r="F239" s="1313"/>
      <c r="G239" s="173"/>
      <c r="H239" s="173"/>
      <c r="I239" s="1428"/>
      <c r="J239" s="1428"/>
      <c r="K239" s="523">
        <f t="shared" ref="K239:K264" si="10">H239*I239</f>
        <v>0</v>
      </c>
      <c r="L239" s="511"/>
      <c r="M239" s="508"/>
    </row>
    <row r="240" spans="1:13" s="204" customFormat="1" ht="18" hidden="1" customHeight="1" x14ac:dyDescent="0.2">
      <c r="A240" s="513"/>
      <c r="B240" s="514">
        <f t="shared" si="9"/>
        <v>0</v>
      </c>
      <c r="C240" s="521">
        <v>226</v>
      </c>
      <c r="D240" s="1313"/>
      <c r="E240" s="1313"/>
      <c r="F240" s="1313"/>
      <c r="G240" s="173"/>
      <c r="H240" s="173"/>
      <c r="I240" s="1428"/>
      <c r="J240" s="1428"/>
      <c r="K240" s="523">
        <f t="shared" si="10"/>
        <v>0</v>
      </c>
      <c r="L240" s="511"/>
      <c r="M240" s="508"/>
    </row>
    <row r="241" spans="1:13" s="204" customFormat="1" ht="18" hidden="1" customHeight="1" x14ac:dyDescent="0.2">
      <c r="A241" s="513"/>
      <c r="B241" s="514">
        <f t="shared" si="9"/>
        <v>0</v>
      </c>
      <c r="C241" s="521">
        <v>227</v>
      </c>
      <c r="D241" s="1313"/>
      <c r="E241" s="1313"/>
      <c r="F241" s="1313"/>
      <c r="G241" s="173"/>
      <c r="H241" s="173"/>
      <c r="I241" s="1428"/>
      <c r="J241" s="1428"/>
      <c r="K241" s="523">
        <f t="shared" si="10"/>
        <v>0</v>
      </c>
      <c r="L241" s="511"/>
      <c r="M241" s="508"/>
    </row>
    <row r="242" spans="1:13" s="204" customFormat="1" ht="18" hidden="1" customHeight="1" x14ac:dyDescent="0.2">
      <c r="A242" s="513"/>
      <c r="B242" s="514">
        <f t="shared" si="9"/>
        <v>0</v>
      </c>
      <c r="C242" s="521">
        <v>228</v>
      </c>
      <c r="D242" s="1313"/>
      <c r="E242" s="1313"/>
      <c r="F242" s="1313"/>
      <c r="G242" s="173"/>
      <c r="H242" s="173"/>
      <c r="I242" s="1428"/>
      <c r="J242" s="1428"/>
      <c r="K242" s="523">
        <f t="shared" si="10"/>
        <v>0</v>
      </c>
      <c r="L242" s="511"/>
      <c r="M242" s="508"/>
    </row>
    <row r="243" spans="1:13" s="204" customFormat="1" ht="18" hidden="1" customHeight="1" x14ac:dyDescent="0.2">
      <c r="A243" s="513"/>
      <c r="B243" s="514">
        <f t="shared" si="9"/>
        <v>0</v>
      </c>
      <c r="C243" s="521">
        <v>229</v>
      </c>
      <c r="D243" s="1313"/>
      <c r="E243" s="1313"/>
      <c r="F243" s="1313"/>
      <c r="G243" s="173"/>
      <c r="H243" s="173"/>
      <c r="I243" s="1428"/>
      <c r="J243" s="1428"/>
      <c r="K243" s="523">
        <f t="shared" si="10"/>
        <v>0</v>
      </c>
      <c r="L243" s="511"/>
      <c r="M243" s="508"/>
    </row>
    <row r="244" spans="1:13" s="204" customFormat="1" ht="18" hidden="1" customHeight="1" x14ac:dyDescent="0.2">
      <c r="A244" s="513"/>
      <c r="B244" s="514">
        <f t="shared" si="9"/>
        <v>0</v>
      </c>
      <c r="C244" s="521">
        <v>230</v>
      </c>
      <c r="D244" s="1313"/>
      <c r="E244" s="1313"/>
      <c r="F244" s="1313"/>
      <c r="G244" s="173"/>
      <c r="H244" s="173"/>
      <c r="I244" s="1428"/>
      <c r="J244" s="1428"/>
      <c r="K244" s="523">
        <f t="shared" si="10"/>
        <v>0</v>
      </c>
      <c r="L244" s="511"/>
      <c r="M244" s="508"/>
    </row>
    <row r="245" spans="1:13" s="204" customFormat="1" ht="18" hidden="1" customHeight="1" x14ac:dyDescent="0.2">
      <c r="A245" s="513"/>
      <c r="B245" s="514">
        <f t="shared" si="9"/>
        <v>0</v>
      </c>
      <c r="C245" s="521">
        <v>231</v>
      </c>
      <c r="D245" s="1313"/>
      <c r="E245" s="1313"/>
      <c r="F245" s="1313"/>
      <c r="G245" s="173"/>
      <c r="H245" s="173"/>
      <c r="I245" s="1428"/>
      <c r="J245" s="1428"/>
      <c r="K245" s="523">
        <f t="shared" si="10"/>
        <v>0</v>
      </c>
      <c r="L245" s="511"/>
      <c r="M245" s="508"/>
    </row>
    <row r="246" spans="1:13" s="204" customFormat="1" ht="18" hidden="1" customHeight="1" x14ac:dyDescent="0.2">
      <c r="A246" s="513"/>
      <c r="B246" s="514">
        <f t="shared" ref="B246:B253" si="11">IFERROR(K246/$K$265,0)</f>
        <v>0</v>
      </c>
      <c r="C246" s="521">
        <v>232</v>
      </c>
      <c r="D246" s="1313"/>
      <c r="E246" s="1313"/>
      <c r="F246" s="1313"/>
      <c r="G246" s="173"/>
      <c r="H246" s="173"/>
      <c r="I246" s="1428"/>
      <c r="J246" s="1428"/>
      <c r="K246" s="523">
        <f t="shared" ref="K246:K253" si="12">H246*I246</f>
        <v>0</v>
      </c>
      <c r="L246" s="511"/>
      <c r="M246" s="508"/>
    </row>
    <row r="247" spans="1:13" s="204" customFormat="1" ht="18" hidden="1" customHeight="1" x14ac:dyDescent="0.2">
      <c r="A247" s="513"/>
      <c r="B247" s="514">
        <f t="shared" si="11"/>
        <v>0</v>
      </c>
      <c r="C247" s="521">
        <v>233</v>
      </c>
      <c r="D247" s="1313"/>
      <c r="E247" s="1313"/>
      <c r="F247" s="1313"/>
      <c r="G247" s="173"/>
      <c r="H247" s="173"/>
      <c r="I247" s="1428"/>
      <c r="J247" s="1428"/>
      <c r="K247" s="523">
        <f t="shared" si="12"/>
        <v>0</v>
      </c>
      <c r="L247" s="511"/>
      <c r="M247" s="508"/>
    </row>
    <row r="248" spans="1:13" s="204" customFormat="1" ht="18" hidden="1" customHeight="1" x14ac:dyDescent="0.2">
      <c r="A248" s="513"/>
      <c r="B248" s="514">
        <f t="shared" si="11"/>
        <v>0</v>
      </c>
      <c r="C248" s="521">
        <v>234</v>
      </c>
      <c r="D248" s="1313"/>
      <c r="E248" s="1313"/>
      <c r="F248" s="1313"/>
      <c r="G248" s="173"/>
      <c r="H248" s="173"/>
      <c r="I248" s="1428"/>
      <c r="J248" s="1428"/>
      <c r="K248" s="523">
        <f t="shared" si="12"/>
        <v>0</v>
      </c>
      <c r="L248" s="511"/>
      <c r="M248" s="508"/>
    </row>
    <row r="249" spans="1:13" s="204" customFormat="1" ht="18" hidden="1" customHeight="1" x14ac:dyDescent="0.2">
      <c r="A249" s="513"/>
      <c r="B249" s="514">
        <f t="shared" si="11"/>
        <v>0</v>
      </c>
      <c r="C249" s="521">
        <v>235</v>
      </c>
      <c r="D249" s="1313"/>
      <c r="E249" s="1313"/>
      <c r="F249" s="1313"/>
      <c r="G249" s="173"/>
      <c r="H249" s="173"/>
      <c r="I249" s="1428"/>
      <c r="J249" s="1428"/>
      <c r="K249" s="523">
        <f t="shared" si="12"/>
        <v>0</v>
      </c>
      <c r="L249" s="511"/>
      <c r="M249" s="508"/>
    </row>
    <row r="250" spans="1:13" s="204" customFormat="1" ht="18" hidden="1" customHeight="1" x14ac:dyDescent="0.2">
      <c r="A250" s="513"/>
      <c r="B250" s="514">
        <f t="shared" si="11"/>
        <v>0</v>
      </c>
      <c r="C250" s="521">
        <v>236</v>
      </c>
      <c r="D250" s="1313"/>
      <c r="E250" s="1313"/>
      <c r="F250" s="1313"/>
      <c r="G250" s="173"/>
      <c r="H250" s="173"/>
      <c r="I250" s="1428"/>
      <c r="J250" s="1428"/>
      <c r="K250" s="523">
        <f t="shared" si="12"/>
        <v>0</v>
      </c>
      <c r="L250" s="511"/>
      <c r="M250" s="508"/>
    </row>
    <row r="251" spans="1:13" s="204" customFormat="1" ht="18" hidden="1" customHeight="1" x14ac:dyDescent="0.2">
      <c r="A251" s="513"/>
      <c r="B251" s="514">
        <f t="shared" si="11"/>
        <v>0</v>
      </c>
      <c r="C251" s="521">
        <v>237</v>
      </c>
      <c r="D251" s="1313"/>
      <c r="E251" s="1313"/>
      <c r="F251" s="1313"/>
      <c r="G251" s="173"/>
      <c r="H251" s="173"/>
      <c r="I251" s="1428"/>
      <c r="J251" s="1428"/>
      <c r="K251" s="523">
        <f t="shared" si="12"/>
        <v>0</v>
      </c>
      <c r="L251" s="511"/>
      <c r="M251" s="508"/>
    </row>
    <row r="252" spans="1:13" s="204" customFormat="1" ht="18" hidden="1" customHeight="1" x14ac:dyDescent="0.2">
      <c r="A252" s="513"/>
      <c r="B252" s="514">
        <f t="shared" si="11"/>
        <v>0</v>
      </c>
      <c r="C252" s="521">
        <v>238</v>
      </c>
      <c r="D252" s="1313"/>
      <c r="E252" s="1313"/>
      <c r="F252" s="1313"/>
      <c r="G252" s="173"/>
      <c r="H252" s="173"/>
      <c r="I252" s="1428"/>
      <c r="J252" s="1428"/>
      <c r="K252" s="523">
        <f t="shared" si="12"/>
        <v>0</v>
      </c>
      <c r="L252" s="511"/>
      <c r="M252" s="508"/>
    </row>
    <row r="253" spans="1:13" s="204" customFormat="1" ht="18" hidden="1" customHeight="1" x14ac:dyDescent="0.2">
      <c r="A253" s="513"/>
      <c r="B253" s="514">
        <f t="shared" si="11"/>
        <v>0</v>
      </c>
      <c r="C253" s="521">
        <v>239</v>
      </c>
      <c r="D253" s="1313"/>
      <c r="E253" s="1313"/>
      <c r="F253" s="1313"/>
      <c r="G253" s="173"/>
      <c r="H253" s="173"/>
      <c r="I253" s="1428"/>
      <c r="J253" s="1428"/>
      <c r="K253" s="523">
        <f t="shared" si="12"/>
        <v>0</v>
      </c>
      <c r="L253" s="511"/>
      <c r="M253" s="508"/>
    </row>
    <row r="254" spans="1:13" s="204" customFormat="1" ht="18" hidden="1" customHeight="1" x14ac:dyDescent="0.2">
      <c r="A254" s="513"/>
      <c r="B254" s="514">
        <f t="shared" ref="B254:B264" si="13">IFERROR(K254/$K$265,0)</f>
        <v>0</v>
      </c>
      <c r="C254" s="521">
        <v>240</v>
      </c>
      <c r="D254" s="1313"/>
      <c r="E254" s="1313"/>
      <c r="F254" s="1313"/>
      <c r="G254" s="173"/>
      <c r="H254" s="173"/>
      <c r="I254" s="1428"/>
      <c r="J254" s="1428"/>
      <c r="K254" s="523">
        <f t="shared" si="10"/>
        <v>0</v>
      </c>
      <c r="L254" s="511"/>
      <c r="M254" s="508"/>
    </row>
    <row r="255" spans="1:13" s="204" customFormat="1" ht="18" hidden="1" customHeight="1" x14ac:dyDescent="0.2">
      <c r="A255" s="513"/>
      <c r="B255" s="514">
        <f t="shared" si="13"/>
        <v>0</v>
      </c>
      <c r="C255" s="521">
        <v>241</v>
      </c>
      <c r="D255" s="1313"/>
      <c r="E255" s="1313"/>
      <c r="F255" s="1313"/>
      <c r="G255" s="173"/>
      <c r="H255" s="173"/>
      <c r="I255" s="1428"/>
      <c r="J255" s="1428"/>
      <c r="K255" s="523">
        <f t="shared" si="10"/>
        <v>0</v>
      </c>
      <c r="L255" s="511"/>
      <c r="M255" s="508"/>
    </row>
    <row r="256" spans="1:13" s="204" customFormat="1" ht="18" hidden="1" customHeight="1" x14ac:dyDescent="0.2">
      <c r="A256" s="513"/>
      <c r="B256" s="514">
        <f t="shared" si="13"/>
        <v>0</v>
      </c>
      <c r="C256" s="521">
        <v>242</v>
      </c>
      <c r="D256" s="1313"/>
      <c r="E256" s="1313"/>
      <c r="F256" s="1313"/>
      <c r="G256" s="173"/>
      <c r="H256" s="173"/>
      <c r="I256" s="1428"/>
      <c r="J256" s="1428"/>
      <c r="K256" s="523">
        <f>H256*I256</f>
        <v>0</v>
      </c>
      <c r="L256" s="511"/>
      <c r="M256" s="508"/>
    </row>
    <row r="257" spans="1:16" s="204" customFormat="1" ht="18" hidden="1" customHeight="1" x14ac:dyDescent="0.2">
      <c r="A257" s="513"/>
      <c r="B257" s="514">
        <f t="shared" si="13"/>
        <v>0</v>
      </c>
      <c r="C257" s="521">
        <v>243</v>
      </c>
      <c r="D257" s="1313"/>
      <c r="E257" s="1313"/>
      <c r="F257" s="1313"/>
      <c r="G257" s="173"/>
      <c r="H257" s="173"/>
      <c r="I257" s="1428"/>
      <c r="J257" s="1428"/>
      <c r="K257" s="523">
        <f t="shared" si="10"/>
        <v>0</v>
      </c>
      <c r="L257" s="511"/>
      <c r="M257" s="508"/>
    </row>
    <row r="258" spans="1:16" s="204" customFormat="1" ht="18" hidden="1" customHeight="1" x14ac:dyDescent="0.2">
      <c r="A258" s="513"/>
      <c r="B258" s="514">
        <f t="shared" si="13"/>
        <v>0</v>
      </c>
      <c r="C258" s="521">
        <v>244</v>
      </c>
      <c r="D258" s="1313"/>
      <c r="E258" s="1313"/>
      <c r="F258" s="1313"/>
      <c r="G258" s="173"/>
      <c r="H258" s="173"/>
      <c r="I258" s="1428"/>
      <c r="J258" s="1428"/>
      <c r="K258" s="523">
        <f t="shared" si="10"/>
        <v>0</v>
      </c>
      <c r="L258" s="511"/>
      <c r="M258" s="508"/>
    </row>
    <row r="259" spans="1:16" s="204" customFormat="1" ht="18" hidden="1" customHeight="1" x14ac:dyDescent="0.2">
      <c r="A259" s="513"/>
      <c r="B259" s="514">
        <f t="shared" si="13"/>
        <v>0</v>
      </c>
      <c r="C259" s="521">
        <v>245</v>
      </c>
      <c r="D259" s="1313"/>
      <c r="E259" s="1313"/>
      <c r="F259" s="1313"/>
      <c r="G259" s="173"/>
      <c r="H259" s="173"/>
      <c r="I259" s="1428"/>
      <c r="J259" s="1428"/>
      <c r="K259" s="523">
        <f t="shared" si="10"/>
        <v>0</v>
      </c>
      <c r="L259" s="511"/>
      <c r="M259" s="508"/>
    </row>
    <row r="260" spans="1:16" s="204" customFormat="1" ht="18" hidden="1" customHeight="1" x14ac:dyDescent="0.2">
      <c r="A260" s="513"/>
      <c r="B260" s="514">
        <f t="shared" si="13"/>
        <v>0</v>
      </c>
      <c r="C260" s="521">
        <v>246</v>
      </c>
      <c r="D260" s="1313"/>
      <c r="E260" s="1313"/>
      <c r="F260" s="1313"/>
      <c r="G260" s="173"/>
      <c r="H260" s="173"/>
      <c r="I260" s="1428"/>
      <c r="J260" s="1428"/>
      <c r="K260" s="523">
        <f t="shared" si="10"/>
        <v>0</v>
      </c>
      <c r="L260" s="511"/>
      <c r="M260" s="508"/>
    </row>
    <row r="261" spans="1:16" s="204" customFormat="1" ht="18" hidden="1" customHeight="1" x14ac:dyDescent="0.2">
      <c r="A261" s="513"/>
      <c r="B261" s="514">
        <f t="shared" si="13"/>
        <v>0</v>
      </c>
      <c r="C261" s="521">
        <v>247</v>
      </c>
      <c r="D261" s="1313"/>
      <c r="E261" s="1313"/>
      <c r="F261" s="1313"/>
      <c r="G261" s="173"/>
      <c r="H261" s="173"/>
      <c r="I261" s="1428"/>
      <c r="J261" s="1428"/>
      <c r="K261" s="523">
        <f t="shared" si="10"/>
        <v>0</v>
      </c>
      <c r="L261" s="511"/>
      <c r="M261" s="508"/>
    </row>
    <row r="262" spans="1:16" s="204" customFormat="1" ht="18" hidden="1" customHeight="1" x14ac:dyDescent="0.2">
      <c r="A262" s="513"/>
      <c r="B262" s="514">
        <f t="shared" si="13"/>
        <v>0</v>
      </c>
      <c r="C262" s="521">
        <v>248</v>
      </c>
      <c r="D262" s="1313"/>
      <c r="E262" s="1313"/>
      <c r="F262" s="1313"/>
      <c r="G262" s="173"/>
      <c r="H262" s="173"/>
      <c r="I262" s="1428"/>
      <c r="J262" s="1428"/>
      <c r="K262" s="523">
        <f t="shared" si="10"/>
        <v>0</v>
      </c>
      <c r="L262" s="511"/>
      <c r="M262" s="508"/>
    </row>
    <row r="263" spans="1:16" s="204" customFormat="1" ht="18" hidden="1" customHeight="1" x14ac:dyDescent="0.2">
      <c r="A263" s="513"/>
      <c r="B263" s="514">
        <f t="shared" si="13"/>
        <v>0</v>
      </c>
      <c r="C263" s="521">
        <v>249</v>
      </c>
      <c r="D263" s="1313"/>
      <c r="E263" s="1313"/>
      <c r="F263" s="1313"/>
      <c r="G263" s="173"/>
      <c r="H263" s="173"/>
      <c r="I263" s="1428"/>
      <c r="J263" s="1428"/>
      <c r="K263" s="523">
        <f>H263*I263</f>
        <v>0</v>
      </c>
      <c r="L263" s="511"/>
      <c r="M263" s="508"/>
    </row>
    <row r="264" spans="1:16" s="204" customFormat="1" ht="18" hidden="1" customHeight="1" x14ac:dyDescent="0.2">
      <c r="A264" s="513"/>
      <c r="B264" s="514">
        <f t="shared" si="13"/>
        <v>0</v>
      </c>
      <c r="C264" s="521">
        <v>250</v>
      </c>
      <c r="D264" s="1313"/>
      <c r="E264" s="1313"/>
      <c r="F264" s="1313"/>
      <c r="G264" s="173"/>
      <c r="H264" s="173"/>
      <c r="I264" s="1428"/>
      <c r="J264" s="1428"/>
      <c r="K264" s="523">
        <f t="shared" si="10"/>
        <v>0</v>
      </c>
      <c r="L264" s="511"/>
      <c r="M264" s="508"/>
    </row>
    <row r="265" spans="1:16" s="204" customFormat="1" ht="18" customHeight="1" thickBot="1" x14ac:dyDescent="0.25">
      <c r="A265" s="513"/>
      <c r="B265" s="514"/>
      <c r="C265" s="1426" t="s">
        <v>644</v>
      </c>
      <c r="D265" s="1427"/>
      <c r="E265" s="1427"/>
      <c r="F265" s="1427"/>
      <c r="G265" s="1427"/>
      <c r="H265" s="1427"/>
      <c r="I265" s="1427"/>
      <c r="J265" s="1427"/>
      <c r="K265" s="524">
        <f>SUM(K15:K264)</f>
        <v>0</v>
      </c>
      <c r="L265" s="512"/>
      <c r="M265" s="510"/>
    </row>
    <row r="266" spans="1:16" s="204" customFormat="1" ht="18" customHeight="1" thickBot="1" x14ac:dyDescent="0.25">
      <c r="A266" s="513"/>
      <c r="B266" s="514"/>
      <c r="G266" s="206"/>
      <c r="H266" s="206"/>
      <c r="L266" s="506"/>
    </row>
    <row r="267" spans="1:16" s="204" customFormat="1" ht="53.25" customHeight="1" thickBot="1" x14ac:dyDescent="0.25">
      <c r="A267" s="513"/>
      <c r="B267" s="514"/>
      <c r="C267" s="1423" t="s">
        <v>645</v>
      </c>
      <c r="D267" s="1424"/>
      <c r="E267" s="1424"/>
      <c r="F267" s="1424"/>
      <c r="G267" s="1424"/>
      <c r="H267" s="1424"/>
      <c r="I267" s="1424"/>
      <c r="J267" s="1424"/>
      <c r="K267" s="1424"/>
      <c r="L267" s="1424"/>
      <c r="M267" s="1424"/>
      <c r="N267" s="1424"/>
      <c r="O267" s="1424"/>
      <c r="P267" s="1425"/>
    </row>
    <row r="268" spans="1:16" s="204" customFormat="1" ht="18" customHeight="1" x14ac:dyDescent="0.2">
      <c r="A268" s="513"/>
      <c r="B268" s="514"/>
      <c r="G268" s="206"/>
      <c r="H268" s="206"/>
      <c r="L268" s="506"/>
    </row>
    <row r="269" spans="1:16" s="204" customFormat="1" ht="18" customHeight="1" x14ac:dyDescent="0.2">
      <c r="A269" s="515"/>
      <c r="B269" s="513"/>
      <c r="C269" s="1435" t="s">
        <v>646</v>
      </c>
      <c r="D269" s="1436"/>
      <c r="E269" s="1436"/>
      <c r="F269" s="1436"/>
      <c r="G269" s="1436"/>
      <c r="H269" s="1436"/>
      <c r="I269" s="1436"/>
      <c r="J269" s="1436"/>
      <c r="K269" s="1436"/>
      <c r="L269" s="1436"/>
      <c r="M269" s="1436"/>
      <c r="N269" s="1436"/>
      <c r="O269" s="1436"/>
      <c r="P269" s="1437"/>
    </row>
    <row r="270" spans="1:16" s="204" customFormat="1" ht="54.75" customHeight="1" x14ac:dyDescent="0.2">
      <c r="A270" s="516" t="s">
        <v>647</v>
      </c>
      <c r="B270" s="729" t="s">
        <v>648</v>
      </c>
      <c r="C270" s="525" t="s">
        <v>448</v>
      </c>
      <c r="D270" s="1418" t="s">
        <v>370</v>
      </c>
      <c r="E270" s="1418"/>
      <c r="F270" s="1418"/>
      <c r="G270" s="525" t="s">
        <v>119</v>
      </c>
      <c r="H270" s="525" t="s">
        <v>373</v>
      </c>
      <c r="I270" s="1418" t="s">
        <v>384</v>
      </c>
      <c r="J270" s="1418"/>
      <c r="K270" s="525" t="s">
        <v>376</v>
      </c>
      <c r="L270" s="519"/>
      <c r="M270" s="525" t="s">
        <v>649</v>
      </c>
      <c r="N270" s="525" t="s">
        <v>650</v>
      </c>
      <c r="O270" s="525" t="s">
        <v>651</v>
      </c>
      <c r="P270" s="525" t="s">
        <v>652</v>
      </c>
    </row>
    <row r="271" spans="1:16" s="204" customFormat="1" ht="18" customHeight="1" x14ac:dyDescent="0.2">
      <c r="A271" s="518" t="str">
        <f>P271</f>
        <v/>
      </c>
      <c r="B271" s="517">
        <f>LARGE($B$15:$B$264,1)</f>
        <v>0</v>
      </c>
      <c r="C271" s="526" t="str">
        <f>IFERROR(IF(B271=0,"",VLOOKUP(B271,$B$15:$J$264,2,FALSE)),"")</f>
        <v/>
      </c>
      <c r="D271" s="1416" t="str">
        <f>IFERROR(IF(B271=0,"",VLOOKUP(B271,$B$15:$J$264,3,FALSE)),"")</f>
        <v/>
      </c>
      <c r="E271" s="1416"/>
      <c r="F271" s="1416"/>
      <c r="G271" s="526" t="str">
        <f>IFERROR(IF(B271=0,"",VLOOKUP(B271,$B$15:$J$264,6,FALSE)),"")</f>
        <v/>
      </c>
      <c r="H271" s="526" t="str">
        <f>IFERROR(IF(B271=0,"",VLOOKUP(B271,$B$15:$J$264,7,FALSE)),"")</f>
        <v/>
      </c>
      <c r="I271" s="1417" t="str">
        <f>IF(B271=0,"",VLOOKUP(B271,$B$15:$J$264,8,FALSE))</f>
        <v/>
      </c>
      <c r="J271" s="1417"/>
      <c r="K271" s="527" t="str">
        <f>IF(B271=0,"",H271*I271)</f>
        <v/>
      </c>
      <c r="L271" s="518" t="str">
        <f>O271</f>
        <v/>
      </c>
      <c r="M271" s="528" t="str">
        <f>IF(B271=0,"",B271)</f>
        <v/>
      </c>
      <c r="N271" s="528" t="str">
        <f>IF(B271=0,"",M271)</f>
        <v/>
      </c>
      <c r="O271" s="526" t="str">
        <f>IF(B271=0,"",(IF(N271&lt;80%,"Si","No")))</f>
        <v/>
      </c>
      <c r="P271" s="528" t="str">
        <f>IF(B271=0,"",(IF(M271=$M$521,"Si",(IF(M271&gt;$M$521,"Si","No")))))</f>
        <v/>
      </c>
    </row>
    <row r="272" spans="1:16" s="204" customFormat="1" ht="18" customHeight="1" x14ac:dyDescent="0.2">
      <c r="A272" s="518" t="str">
        <f>P272</f>
        <v/>
      </c>
      <c r="B272" s="517">
        <f>LARGE($B$15:$B$264,2)</f>
        <v>0</v>
      </c>
      <c r="C272" s="526" t="str">
        <f t="shared" ref="C272:C335" si="14">IFERROR(IF(B272=0,"",VLOOKUP(B272,$B$15:$J$264,2,FALSE)),"")</f>
        <v/>
      </c>
      <c r="D272" s="1416" t="str">
        <f t="shared" ref="D272:D335" si="15">IFERROR(IF(B272=0,"",VLOOKUP(B272,$B$15:$J$264,3,FALSE)),"")</f>
        <v/>
      </c>
      <c r="E272" s="1416"/>
      <c r="F272" s="1416"/>
      <c r="G272" s="526" t="str">
        <f t="shared" ref="G272:G335" si="16">IFERROR(IF(B272=0,"",VLOOKUP(B272,$B$15:$J$264,6,FALSE)),"")</f>
        <v/>
      </c>
      <c r="H272" s="526" t="str">
        <f t="shared" ref="H272:H335" si="17">IFERROR(IF(B272=0,"",VLOOKUP(B272,$B$15:$J$264,7,FALSE)),"")</f>
        <v/>
      </c>
      <c r="I272" s="1417" t="str">
        <f t="shared" ref="I272:I335" si="18">IF(B272=0,"",VLOOKUP(B272,$B$15:$J$264,8,FALSE))</f>
        <v/>
      </c>
      <c r="J272" s="1417"/>
      <c r="K272" s="527" t="str">
        <f t="shared" ref="K272:K335" si="19">IF(B272=0,"",H272*I272)</f>
        <v/>
      </c>
      <c r="L272" s="518" t="str">
        <f t="shared" ref="L272:L335" si="20">O272</f>
        <v/>
      </c>
      <c r="M272" s="528" t="str">
        <f>IF(B272=0,"",B272)</f>
        <v/>
      </c>
      <c r="N272" s="528" t="str">
        <f>IF(B272=0,"",M272+N271)</f>
        <v/>
      </c>
      <c r="O272" s="526" t="str">
        <f t="shared" ref="O272:O335" si="21">IF(B272=0,"",(IF(N272&lt;80%,"Si","No")))</f>
        <v/>
      </c>
      <c r="P272" s="528" t="str">
        <f t="shared" ref="P272:P335" si="22">IF(B272=0,"",(IF(M272=$M$521,"Si",(IF(M272&gt;$M$521,"Si","No")))))</f>
        <v/>
      </c>
    </row>
    <row r="273" spans="1:16" s="204" customFormat="1" ht="18" customHeight="1" x14ac:dyDescent="0.2">
      <c r="A273" s="518" t="str">
        <f t="shared" ref="A273:A335" si="23">P273</f>
        <v/>
      </c>
      <c r="B273" s="517">
        <f>LARGE($B$15:$B$264,3)</f>
        <v>0</v>
      </c>
      <c r="C273" s="526" t="str">
        <f t="shared" si="14"/>
        <v/>
      </c>
      <c r="D273" s="1416" t="str">
        <f t="shared" si="15"/>
        <v/>
      </c>
      <c r="E273" s="1416"/>
      <c r="F273" s="1416"/>
      <c r="G273" s="526" t="str">
        <f t="shared" si="16"/>
        <v/>
      </c>
      <c r="H273" s="526" t="str">
        <f t="shared" si="17"/>
        <v/>
      </c>
      <c r="I273" s="1417" t="str">
        <f t="shared" si="18"/>
        <v/>
      </c>
      <c r="J273" s="1417"/>
      <c r="K273" s="527" t="str">
        <f t="shared" si="19"/>
        <v/>
      </c>
      <c r="L273" s="518" t="str">
        <f t="shared" si="20"/>
        <v/>
      </c>
      <c r="M273" s="528" t="str">
        <f t="shared" ref="M273:M335" si="24">IF(B273=0,"",B273)</f>
        <v/>
      </c>
      <c r="N273" s="528" t="str">
        <f t="shared" ref="N273:N336" si="25">IF(B273=0,"",M273+N272)</f>
        <v/>
      </c>
      <c r="O273" s="526" t="str">
        <f t="shared" si="21"/>
        <v/>
      </c>
      <c r="P273" s="528" t="str">
        <f t="shared" si="22"/>
        <v/>
      </c>
    </row>
    <row r="274" spans="1:16" s="204" customFormat="1" ht="18" customHeight="1" x14ac:dyDescent="0.2">
      <c r="A274" s="518" t="str">
        <f t="shared" si="23"/>
        <v/>
      </c>
      <c r="B274" s="517">
        <f>LARGE($B$15:$B$264,4)</f>
        <v>0</v>
      </c>
      <c r="C274" s="526" t="str">
        <f t="shared" si="14"/>
        <v/>
      </c>
      <c r="D274" s="1416" t="str">
        <f t="shared" si="15"/>
        <v/>
      </c>
      <c r="E274" s="1416"/>
      <c r="F274" s="1416"/>
      <c r="G274" s="526" t="str">
        <f t="shared" si="16"/>
        <v/>
      </c>
      <c r="H274" s="526" t="str">
        <f t="shared" si="17"/>
        <v/>
      </c>
      <c r="I274" s="1417" t="str">
        <f t="shared" si="18"/>
        <v/>
      </c>
      <c r="J274" s="1417"/>
      <c r="K274" s="527" t="str">
        <f t="shared" si="19"/>
        <v/>
      </c>
      <c r="L274" s="518" t="str">
        <f t="shared" si="20"/>
        <v/>
      </c>
      <c r="M274" s="528" t="str">
        <f t="shared" si="24"/>
        <v/>
      </c>
      <c r="N274" s="528" t="str">
        <f t="shared" si="25"/>
        <v/>
      </c>
      <c r="O274" s="526" t="str">
        <f t="shared" si="21"/>
        <v/>
      </c>
      <c r="P274" s="528" t="str">
        <f t="shared" si="22"/>
        <v/>
      </c>
    </row>
    <row r="275" spans="1:16" s="204" customFormat="1" ht="18" customHeight="1" x14ac:dyDescent="0.2">
      <c r="A275" s="518" t="str">
        <f t="shared" si="23"/>
        <v/>
      </c>
      <c r="B275" s="517">
        <f>LARGE($B$15:$B$264,5)</f>
        <v>0</v>
      </c>
      <c r="C275" s="526" t="str">
        <f t="shared" si="14"/>
        <v/>
      </c>
      <c r="D275" s="1416" t="str">
        <f t="shared" si="15"/>
        <v/>
      </c>
      <c r="E275" s="1416"/>
      <c r="F275" s="1416"/>
      <c r="G275" s="526" t="str">
        <f t="shared" si="16"/>
        <v/>
      </c>
      <c r="H275" s="526" t="str">
        <f t="shared" si="17"/>
        <v/>
      </c>
      <c r="I275" s="1417" t="str">
        <f t="shared" si="18"/>
        <v/>
      </c>
      <c r="J275" s="1417"/>
      <c r="K275" s="527" t="str">
        <f t="shared" si="19"/>
        <v/>
      </c>
      <c r="L275" s="518" t="str">
        <f t="shared" si="20"/>
        <v/>
      </c>
      <c r="M275" s="528" t="str">
        <f t="shared" si="24"/>
        <v/>
      </c>
      <c r="N275" s="528" t="str">
        <f t="shared" si="25"/>
        <v/>
      </c>
      <c r="O275" s="526" t="str">
        <f t="shared" si="21"/>
        <v/>
      </c>
      <c r="P275" s="528" t="str">
        <f t="shared" si="22"/>
        <v/>
      </c>
    </row>
    <row r="276" spans="1:16" s="204" customFormat="1" ht="18" hidden="1" customHeight="1" x14ac:dyDescent="0.2">
      <c r="A276" s="518" t="str">
        <f t="shared" si="23"/>
        <v/>
      </c>
      <c r="B276" s="517">
        <f>LARGE($B$15:$B$264,6)</f>
        <v>0</v>
      </c>
      <c r="C276" s="526" t="str">
        <f t="shared" si="14"/>
        <v/>
      </c>
      <c r="D276" s="1416" t="str">
        <f t="shared" si="15"/>
        <v/>
      </c>
      <c r="E276" s="1416"/>
      <c r="F276" s="1416"/>
      <c r="G276" s="526" t="str">
        <f t="shared" si="16"/>
        <v/>
      </c>
      <c r="H276" s="526" t="str">
        <f t="shared" si="17"/>
        <v/>
      </c>
      <c r="I276" s="1417" t="str">
        <f t="shared" si="18"/>
        <v/>
      </c>
      <c r="J276" s="1417"/>
      <c r="K276" s="527" t="str">
        <f t="shared" si="19"/>
        <v/>
      </c>
      <c r="L276" s="518" t="str">
        <f t="shared" si="20"/>
        <v/>
      </c>
      <c r="M276" s="528" t="str">
        <f t="shared" si="24"/>
        <v/>
      </c>
      <c r="N276" s="528" t="str">
        <f t="shared" si="25"/>
        <v/>
      </c>
      <c r="O276" s="526" t="str">
        <f t="shared" si="21"/>
        <v/>
      </c>
      <c r="P276" s="528" t="str">
        <f t="shared" si="22"/>
        <v/>
      </c>
    </row>
    <row r="277" spans="1:16" s="204" customFormat="1" ht="18" hidden="1" customHeight="1" x14ac:dyDescent="0.2">
      <c r="A277" s="518" t="str">
        <f t="shared" si="23"/>
        <v/>
      </c>
      <c r="B277" s="517">
        <f>LARGE($B$15:$B$264,7)</f>
        <v>0</v>
      </c>
      <c r="C277" s="526" t="str">
        <f t="shared" si="14"/>
        <v/>
      </c>
      <c r="D277" s="1416" t="str">
        <f t="shared" si="15"/>
        <v/>
      </c>
      <c r="E277" s="1416"/>
      <c r="F277" s="1416"/>
      <c r="G277" s="526" t="str">
        <f t="shared" si="16"/>
        <v/>
      </c>
      <c r="H277" s="526" t="str">
        <f t="shared" si="17"/>
        <v/>
      </c>
      <c r="I277" s="1417" t="str">
        <f t="shared" si="18"/>
        <v/>
      </c>
      <c r="J277" s="1417"/>
      <c r="K277" s="527" t="str">
        <f t="shared" si="19"/>
        <v/>
      </c>
      <c r="L277" s="518" t="str">
        <f t="shared" si="20"/>
        <v/>
      </c>
      <c r="M277" s="528" t="str">
        <f t="shared" si="24"/>
        <v/>
      </c>
      <c r="N277" s="528" t="str">
        <f t="shared" si="25"/>
        <v/>
      </c>
      <c r="O277" s="526" t="str">
        <f t="shared" si="21"/>
        <v/>
      </c>
      <c r="P277" s="528" t="str">
        <f t="shared" si="22"/>
        <v/>
      </c>
    </row>
    <row r="278" spans="1:16" s="204" customFormat="1" ht="18" hidden="1" customHeight="1" x14ac:dyDescent="0.2">
      <c r="A278" s="518" t="str">
        <f t="shared" si="23"/>
        <v/>
      </c>
      <c r="B278" s="517">
        <f>LARGE($B$15:$B$264,8)</f>
        <v>0</v>
      </c>
      <c r="C278" s="526" t="str">
        <f t="shared" si="14"/>
        <v/>
      </c>
      <c r="D278" s="1416" t="str">
        <f t="shared" si="15"/>
        <v/>
      </c>
      <c r="E278" s="1416"/>
      <c r="F278" s="1416"/>
      <c r="G278" s="526" t="str">
        <f t="shared" si="16"/>
        <v/>
      </c>
      <c r="H278" s="526" t="str">
        <f t="shared" si="17"/>
        <v/>
      </c>
      <c r="I278" s="1417" t="str">
        <f t="shared" si="18"/>
        <v/>
      </c>
      <c r="J278" s="1417"/>
      <c r="K278" s="527" t="str">
        <f t="shared" si="19"/>
        <v/>
      </c>
      <c r="L278" s="518" t="str">
        <f t="shared" si="20"/>
        <v/>
      </c>
      <c r="M278" s="528" t="str">
        <f t="shared" si="24"/>
        <v/>
      </c>
      <c r="N278" s="528" t="str">
        <f t="shared" si="25"/>
        <v/>
      </c>
      <c r="O278" s="526" t="str">
        <f t="shared" si="21"/>
        <v/>
      </c>
      <c r="P278" s="528" t="str">
        <f t="shared" si="22"/>
        <v/>
      </c>
    </row>
    <row r="279" spans="1:16" s="204" customFormat="1" ht="18" hidden="1" customHeight="1" x14ac:dyDescent="0.2">
      <c r="A279" s="518" t="str">
        <f t="shared" si="23"/>
        <v/>
      </c>
      <c r="B279" s="517">
        <f>LARGE($B$15:$B$264,9)</f>
        <v>0</v>
      </c>
      <c r="C279" s="526" t="str">
        <f t="shared" si="14"/>
        <v/>
      </c>
      <c r="D279" s="1416" t="str">
        <f t="shared" si="15"/>
        <v/>
      </c>
      <c r="E279" s="1416"/>
      <c r="F279" s="1416"/>
      <c r="G279" s="526" t="str">
        <f t="shared" si="16"/>
        <v/>
      </c>
      <c r="H279" s="526" t="str">
        <f t="shared" si="17"/>
        <v/>
      </c>
      <c r="I279" s="1417" t="str">
        <f t="shared" si="18"/>
        <v/>
      </c>
      <c r="J279" s="1417"/>
      <c r="K279" s="527" t="str">
        <f t="shared" si="19"/>
        <v/>
      </c>
      <c r="L279" s="518" t="str">
        <f t="shared" si="20"/>
        <v/>
      </c>
      <c r="M279" s="528" t="str">
        <f t="shared" si="24"/>
        <v/>
      </c>
      <c r="N279" s="528" t="str">
        <f t="shared" si="25"/>
        <v/>
      </c>
      <c r="O279" s="526" t="str">
        <f t="shared" si="21"/>
        <v/>
      </c>
      <c r="P279" s="528" t="str">
        <f t="shared" si="22"/>
        <v/>
      </c>
    </row>
    <row r="280" spans="1:16" s="204" customFormat="1" ht="18" hidden="1" customHeight="1" x14ac:dyDescent="0.2">
      <c r="A280" s="518" t="str">
        <f t="shared" si="23"/>
        <v/>
      </c>
      <c r="B280" s="517">
        <f>LARGE($B$15:$B$264,10)</f>
        <v>0</v>
      </c>
      <c r="C280" s="526" t="str">
        <f t="shared" si="14"/>
        <v/>
      </c>
      <c r="D280" s="1416" t="str">
        <f t="shared" si="15"/>
        <v/>
      </c>
      <c r="E280" s="1416"/>
      <c r="F280" s="1416"/>
      <c r="G280" s="526" t="str">
        <f t="shared" si="16"/>
        <v/>
      </c>
      <c r="H280" s="526" t="str">
        <f t="shared" si="17"/>
        <v/>
      </c>
      <c r="I280" s="1417" t="str">
        <f t="shared" si="18"/>
        <v/>
      </c>
      <c r="J280" s="1417"/>
      <c r="K280" s="527" t="str">
        <f t="shared" si="19"/>
        <v/>
      </c>
      <c r="L280" s="518" t="str">
        <f t="shared" si="20"/>
        <v/>
      </c>
      <c r="M280" s="528" t="str">
        <f t="shared" si="24"/>
        <v/>
      </c>
      <c r="N280" s="528" t="str">
        <f t="shared" si="25"/>
        <v/>
      </c>
      <c r="O280" s="526" t="str">
        <f t="shared" si="21"/>
        <v/>
      </c>
      <c r="P280" s="528" t="str">
        <f t="shared" si="22"/>
        <v/>
      </c>
    </row>
    <row r="281" spans="1:16" s="204" customFormat="1" ht="18" hidden="1" customHeight="1" x14ac:dyDescent="0.2">
      <c r="A281" s="518" t="str">
        <f t="shared" si="23"/>
        <v/>
      </c>
      <c r="B281" s="517">
        <f>LARGE($B$15:$B$264,11)</f>
        <v>0</v>
      </c>
      <c r="C281" s="526" t="str">
        <f t="shared" si="14"/>
        <v/>
      </c>
      <c r="D281" s="1416" t="str">
        <f t="shared" si="15"/>
        <v/>
      </c>
      <c r="E281" s="1416"/>
      <c r="F281" s="1416"/>
      <c r="G281" s="526" t="str">
        <f t="shared" si="16"/>
        <v/>
      </c>
      <c r="H281" s="526" t="str">
        <f t="shared" si="17"/>
        <v/>
      </c>
      <c r="I281" s="1417" t="str">
        <f t="shared" si="18"/>
        <v/>
      </c>
      <c r="J281" s="1417"/>
      <c r="K281" s="527" t="str">
        <f t="shared" si="19"/>
        <v/>
      </c>
      <c r="L281" s="518" t="str">
        <f t="shared" si="20"/>
        <v/>
      </c>
      <c r="M281" s="528" t="str">
        <f t="shared" si="24"/>
        <v/>
      </c>
      <c r="N281" s="528" t="str">
        <f t="shared" si="25"/>
        <v/>
      </c>
      <c r="O281" s="526" t="str">
        <f t="shared" si="21"/>
        <v/>
      </c>
      <c r="P281" s="528" t="str">
        <f t="shared" si="22"/>
        <v/>
      </c>
    </row>
    <row r="282" spans="1:16" s="204" customFormat="1" ht="18" hidden="1" customHeight="1" x14ac:dyDescent="0.2">
      <c r="A282" s="518" t="str">
        <f t="shared" si="23"/>
        <v/>
      </c>
      <c r="B282" s="517">
        <f>LARGE($B$15:$B$264,12)</f>
        <v>0</v>
      </c>
      <c r="C282" s="526" t="str">
        <f t="shared" si="14"/>
        <v/>
      </c>
      <c r="D282" s="1416" t="str">
        <f t="shared" si="15"/>
        <v/>
      </c>
      <c r="E282" s="1416"/>
      <c r="F282" s="1416"/>
      <c r="G282" s="526" t="str">
        <f t="shared" si="16"/>
        <v/>
      </c>
      <c r="H282" s="526" t="str">
        <f t="shared" si="17"/>
        <v/>
      </c>
      <c r="I282" s="1417" t="str">
        <f t="shared" si="18"/>
        <v/>
      </c>
      <c r="J282" s="1417"/>
      <c r="K282" s="527" t="str">
        <f t="shared" si="19"/>
        <v/>
      </c>
      <c r="L282" s="518" t="str">
        <f t="shared" si="20"/>
        <v/>
      </c>
      <c r="M282" s="528" t="str">
        <f t="shared" si="24"/>
        <v/>
      </c>
      <c r="N282" s="528" t="str">
        <f t="shared" si="25"/>
        <v/>
      </c>
      <c r="O282" s="526" t="str">
        <f t="shared" si="21"/>
        <v/>
      </c>
      <c r="P282" s="528" t="str">
        <f t="shared" si="22"/>
        <v/>
      </c>
    </row>
    <row r="283" spans="1:16" s="204" customFormat="1" ht="18" hidden="1" customHeight="1" x14ac:dyDescent="0.2">
      <c r="A283" s="518" t="str">
        <f t="shared" si="23"/>
        <v/>
      </c>
      <c r="B283" s="517">
        <f>LARGE($B$15:$B$264,13)</f>
        <v>0</v>
      </c>
      <c r="C283" s="526" t="str">
        <f t="shared" si="14"/>
        <v/>
      </c>
      <c r="D283" s="1416" t="str">
        <f t="shared" si="15"/>
        <v/>
      </c>
      <c r="E283" s="1416"/>
      <c r="F283" s="1416"/>
      <c r="G283" s="526" t="str">
        <f t="shared" si="16"/>
        <v/>
      </c>
      <c r="H283" s="526" t="str">
        <f t="shared" si="17"/>
        <v/>
      </c>
      <c r="I283" s="1417" t="str">
        <f t="shared" si="18"/>
        <v/>
      </c>
      <c r="J283" s="1417"/>
      <c r="K283" s="527" t="str">
        <f t="shared" si="19"/>
        <v/>
      </c>
      <c r="L283" s="518" t="str">
        <f t="shared" si="20"/>
        <v/>
      </c>
      <c r="M283" s="528" t="str">
        <f t="shared" si="24"/>
        <v/>
      </c>
      <c r="N283" s="528" t="str">
        <f t="shared" si="25"/>
        <v/>
      </c>
      <c r="O283" s="526" t="str">
        <f t="shared" si="21"/>
        <v/>
      </c>
      <c r="P283" s="528" t="str">
        <f t="shared" si="22"/>
        <v/>
      </c>
    </row>
    <row r="284" spans="1:16" s="204" customFormat="1" ht="18" hidden="1" customHeight="1" x14ac:dyDescent="0.2">
      <c r="A284" s="518" t="str">
        <f t="shared" si="23"/>
        <v/>
      </c>
      <c r="B284" s="517">
        <f>LARGE($B$15:$B$264,14)</f>
        <v>0</v>
      </c>
      <c r="C284" s="526" t="str">
        <f t="shared" si="14"/>
        <v/>
      </c>
      <c r="D284" s="1416" t="str">
        <f t="shared" si="15"/>
        <v/>
      </c>
      <c r="E284" s="1416"/>
      <c r="F284" s="1416"/>
      <c r="G284" s="526" t="str">
        <f t="shared" si="16"/>
        <v/>
      </c>
      <c r="H284" s="526" t="str">
        <f t="shared" si="17"/>
        <v/>
      </c>
      <c r="I284" s="1417" t="str">
        <f t="shared" si="18"/>
        <v/>
      </c>
      <c r="J284" s="1417"/>
      <c r="K284" s="527" t="str">
        <f t="shared" si="19"/>
        <v/>
      </c>
      <c r="L284" s="518" t="str">
        <f t="shared" si="20"/>
        <v/>
      </c>
      <c r="M284" s="528" t="str">
        <f t="shared" si="24"/>
        <v/>
      </c>
      <c r="N284" s="528" t="str">
        <f t="shared" si="25"/>
        <v/>
      </c>
      <c r="O284" s="526" t="str">
        <f t="shared" si="21"/>
        <v/>
      </c>
      <c r="P284" s="528" t="str">
        <f t="shared" si="22"/>
        <v/>
      </c>
    </row>
    <row r="285" spans="1:16" s="204" customFormat="1" ht="18" hidden="1" customHeight="1" x14ac:dyDescent="0.2">
      <c r="A285" s="518" t="str">
        <f t="shared" si="23"/>
        <v/>
      </c>
      <c r="B285" s="517">
        <f>LARGE($B$15:$B$264,15)</f>
        <v>0</v>
      </c>
      <c r="C285" s="526" t="str">
        <f t="shared" si="14"/>
        <v/>
      </c>
      <c r="D285" s="1416" t="str">
        <f t="shared" si="15"/>
        <v/>
      </c>
      <c r="E285" s="1416"/>
      <c r="F285" s="1416"/>
      <c r="G285" s="526" t="str">
        <f t="shared" si="16"/>
        <v/>
      </c>
      <c r="H285" s="526" t="str">
        <f t="shared" si="17"/>
        <v/>
      </c>
      <c r="I285" s="1417" t="str">
        <f t="shared" si="18"/>
        <v/>
      </c>
      <c r="J285" s="1417"/>
      <c r="K285" s="527" t="str">
        <f t="shared" si="19"/>
        <v/>
      </c>
      <c r="L285" s="518" t="str">
        <f t="shared" si="20"/>
        <v/>
      </c>
      <c r="M285" s="528" t="str">
        <f t="shared" si="24"/>
        <v/>
      </c>
      <c r="N285" s="528" t="str">
        <f t="shared" si="25"/>
        <v/>
      </c>
      <c r="O285" s="526" t="str">
        <f t="shared" si="21"/>
        <v/>
      </c>
      <c r="P285" s="528" t="str">
        <f t="shared" si="22"/>
        <v/>
      </c>
    </row>
    <row r="286" spans="1:16" s="204" customFormat="1" ht="18" hidden="1" customHeight="1" x14ac:dyDescent="0.2">
      <c r="A286" s="518" t="str">
        <f t="shared" si="23"/>
        <v/>
      </c>
      <c r="B286" s="517">
        <f>LARGE($B$15:$B$264,16)</f>
        <v>0</v>
      </c>
      <c r="C286" s="526" t="str">
        <f t="shared" si="14"/>
        <v/>
      </c>
      <c r="D286" s="1416" t="str">
        <f t="shared" si="15"/>
        <v/>
      </c>
      <c r="E286" s="1416"/>
      <c r="F286" s="1416"/>
      <c r="G286" s="526" t="str">
        <f t="shared" si="16"/>
        <v/>
      </c>
      <c r="H286" s="526" t="str">
        <f t="shared" si="17"/>
        <v/>
      </c>
      <c r="I286" s="1417" t="str">
        <f t="shared" si="18"/>
        <v/>
      </c>
      <c r="J286" s="1417"/>
      <c r="K286" s="527" t="str">
        <f t="shared" si="19"/>
        <v/>
      </c>
      <c r="L286" s="518" t="str">
        <f t="shared" si="20"/>
        <v/>
      </c>
      <c r="M286" s="528" t="str">
        <f t="shared" si="24"/>
        <v/>
      </c>
      <c r="N286" s="528" t="str">
        <f t="shared" si="25"/>
        <v/>
      </c>
      <c r="O286" s="526" t="str">
        <f t="shared" si="21"/>
        <v/>
      </c>
      <c r="P286" s="528" t="str">
        <f t="shared" si="22"/>
        <v/>
      </c>
    </row>
    <row r="287" spans="1:16" s="204" customFormat="1" ht="18" hidden="1" customHeight="1" x14ac:dyDescent="0.2">
      <c r="A287" s="518" t="str">
        <f t="shared" si="23"/>
        <v/>
      </c>
      <c r="B287" s="517">
        <f>LARGE($B$15:$B$264,17)</f>
        <v>0</v>
      </c>
      <c r="C287" s="526" t="str">
        <f t="shared" si="14"/>
        <v/>
      </c>
      <c r="D287" s="1416" t="str">
        <f t="shared" si="15"/>
        <v/>
      </c>
      <c r="E287" s="1416"/>
      <c r="F287" s="1416"/>
      <c r="G287" s="526" t="str">
        <f t="shared" si="16"/>
        <v/>
      </c>
      <c r="H287" s="526" t="str">
        <f t="shared" si="17"/>
        <v/>
      </c>
      <c r="I287" s="1417" t="str">
        <f t="shared" si="18"/>
        <v/>
      </c>
      <c r="J287" s="1417"/>
      <c r="K287" s="527" t="str">
        <f t="shared" si="19"/>
        <v/>
      </c>
      <c r="L287" s="518" t="str">
        <f t="shared" si="20"/>
        <v/>
      </c>
      <c r="M287" s="528" t="str">
        <f t="shared" si="24"/>
        <v/>
      </c>
      <c r="N287" s="528" t="str">
        <f t="shared" si="25"/>
        <v/>
      </c>
      <c r="O287" s="526" t="str">
        <f t="shared" si="21"/>
        <v/>
      </c>
      <c r="P287" s="528" t="str">
        <f t="shared" si="22"/>
        <v/>
      </c>
    </row>
    <row r="288" spans="1:16" s="204" customFormat="1" ht="18" hidden="1" customHeight="1" x14ac:dyDescent="0.2">
      <c r="A288" s="518" t="str">
        <f t="shared" si="23"/>
        <v/>
      </c>
      <c r="B288" s="517">
        <f>LARGE($B$15:$B$264,18)</f>
        <v>0</v>
      </c>
      <c r="C288" s="526" t="str">
        <f t="shared" si="14"/>
        <v/>
      </c>
      <c r="D288" s="1416" t="str">
        <f t="shared" si="15"/>
        <v/>
      </c>
      <c r="E288" s="1416"/>
      <c r="F288" s="1416"/>
      <c r="G288" s="526" t="str">
        <f t="shared" si="16"/>
        <v/>
      </c>
      <c r="H288" s="526" t="str">
        <f t="shared" si="17"/>
        <v/>
      </c>
      <c r="I288" s="1417" t="str">
        <f t="shared" si="18"/>
        <v/>
      </c>
      <c r="J288" s="1417"/>
      <c r="K288" s="527" t="str">
        <f t="shared" si="19"/>
        <v/>
      </c>
      <c r="L288" s="518" t="str">
        <f t="shared" si="20"/>
        <v/>
      </c>
      <c r="M288" s="528" t="str">
        <f t="shared" si="24"/>
        <v/>
      </c>
      <c r="N288" s="528" t="str">
        <f t="shared" si="25"/>
        <v/>
      </c>
      <c r="O288" s="526" t="str">
        <f t="shared" si="21"/>
        <v/>
      </c>
      <c r="P288" s="528" t="str">
        <f t="shared" si="22"/>
        <v/>
      </c>
    </row>
    <row r="289" spans="1:16" s="204" customFormat="1" ht="18" hidden="1" customHeight="1" x14ac:dyDescent="0.2">
      <c r="A289" s="518" t="str">
        <f t="shared" si="23"/>
        <v/>
      </c>
      <c r="B289" s="517">
        <f>LARGE($B$15:$B$264,19)</f>
        <v>0</v>
      </c>
      <c r="C289" s="526" t="str">
        <f t="shared" si="14"/>
        <v/>
      </c>
      <c r="D289" s="1416" t="str">
        <f t="shared" si="15"/>
        <v/>
      </c>
      <c r="E289" s="1416"/>
      <c r="F289" s="1416"/>
      <c r="G289" s="526" t="str">
        <f t="shared" si="16"/>
        <v/>
      </c>
      <c r="H289" s="526" t="str">
        <f t="shared" si="17"/>
        <v/>
      </c>
      <c r="I289" s="1417" t="str">
        <f t="shared" si="18"/>
        <v/>
      </c>
      <c r="J289" s="1417"/>
      <c r="K289" s="527" t="str">
        <f t="shared" si="19"/>
        <v/>
      </c>
      <c r="L289" s="518" t="str">
        <f t="shared" si="20"/>
        <v/>
      </c>
      <c r="M289" s="528" t="str">
        <f t="shared" si="24"/>
        <v/>
      </c>
      <c r="N289" s="528" t="str">
        <f t="shared" si="25"/>
        <v/>
      </c>
      <c r="O289" s="526" t="str">
        <f t="shared" si="21"/>
        <v/>
      </c>
      <c r="P289" s="528" t="str">
        <f t="shared" si="22"/>
        <v/>
      </c>
    </row>
    <row r="290" spans="1:16" s="204" customFormat="1" ht="18" hidden="1" customHeight="1" x14ac:dyDescent="0.2">
      <c r="A290" s="518" t="str">
        <f t="shared" si="23"/>
        <v/>
      </c>
      <c r="B290" s="517">
        <f>LARGE($B$15:$B$264,20)</f>
        <v>0</v>
      </c>
      <c r="C290" s="526" t="str">
        <f t="shared" si="14"/>
        <v/>
      </c>
      <c r="D290" s="1416" t="str">
        <f t="shared" si="15"/>
        <v/>
      </c>
      <c r="E290" s="1416"/>
      <c r="F290" s="1416"/>
      <c r="G290" s="526" t="str">
        <f t="shared" si="16"/>
        <v/>
      </c>
      <c r="H290" s="526" t="str">
        <f t="shared" si="17"/>
        <v/>
      </c>
      <c r="I290" s="1417" t="str">
        <f t="shared" si="18"/>
        <v/>
      </c>
      <c r="J290" s="1417"/>
      <c r="K290" s="527" t="str">
        <f t="shared" si="19"/>
        <v/>
      </c>
      <c r="L290" s="518" t="str">
        <f t="shared" si="20"/>
        <v/>
      </c>
      <c r="M290" s="528" t="str">
        <f t="shared" si="24"/>
        <v/>
      </c>
      <c r="N290" s="528" t="str">
        <f t="shared" si="25"/>
        <v/>
      </c>
      <c r="O290" s="526" t="str">
        <f t="shared" si="21"/>
        <v/>
      </c>
      <c r="P290" s="528" t="str">
        <f t="shared" si="22"/>
        <v/>
      </c>
    </row>
    <row r="291" spans="1:16" s="204" customFormat="1" ht="18" hidden="1" customHeight="1" x14ac:dyDescent="0.2">
      <c r="A291" s="518" t="str">
        <f t="shared" si="23"/>
        <v/>
      </c>
      <c r="B291" s="517">
        <f>LARGE($B$15:$B$264,21)</f>
        <v>0</v>
      </c>
      <c r="C291" s="526" t="str">
        <f t="shared" si="14"/>
        <v/>
      </c>
      <c r="D291" s="1416" t="str">
        <f t="shared" si="15"/>
        <v/>
      </c>
      <c r="E291" s="1416"/>
      <c r="F291" s="1416"/>
      <c r="G291" s="526" t="str">
        <f t="shared" si="16"/>
        <v/>
      </c>
      <c r="H291" s="526" t="str">
        <f t="shared" si="17"/>
        <v/>
      </c>
      <c r="I291" s="1417" t="str">
        <f t="shared" si="18"/>
        <v/>
      </c>
      <c r="J291" s="1417"/>
      <c r="K291" s="527" t="str">
        <f t="shared" si="19"/>
        <v/>
      </c>
      <c r="L291" s="518" t="str">
        <f t="shared" si="20"/>
        <v/>
      </c>
      <c r="M291" s="528" t="str">
        <f t="shared" si="24"/>
        <v/>
      </c>
      <c r="N291" s="528" t="str">
        <f t="shared" si="25"/>
        <v/>
      </c>
      <c r="O291" s="526" t="str">
        <f t="shared" si="21"/>
        <v/>
      </c>
      <c r="P291" s="528" t="str">
        <f t="shared" si="22"/>
        <v/>
      </c>
    </row>
    <row r="292" spans="1:16" s="204" customFormat="1" ht="18" hidden="1" customHeight="1" x14ac:dyDescent="0.2">
      <c r="A292" s="518" t="str">
        <f t="shared" si="23"/>
        <v/>
      </c>
      <c r="B292" s="517">
        <f>LARGE($B$15:$B$264,22)</f>
        <v>0</v>
      </c>
      <c r="C292" s="526" t="str">
        <f t="shared" si="14"/>
        <v/>
      </c>
      <c r="D292" s="1416" t="str">
        <f t="shared" si="15"/>
        <v/>
      </c>
      <c r="E292" s="1416"/>
      <c r="F292" s="1416"/>
      <c r="G292" s="526" t="str">
        <f t="shared" si="16"/>
        <v/>
      </c>
      <c r="H292" s="526" t="str">
        <f t="shared" si="17"/>
        <v/>
      </c>
      <c r="I292" s="1417" t="str">
        <f t="shared" si="18"/>
        <v/>
      </c>
      <c r="J292" s="1417"/>
      <c r="K292" s="527" t="str">
        <f t="shared" si="19"/>
        <v/>
      </c>
      <c r="L292" s="518" t="str">
        <f t="shared" si="20"/>
        <v/>
      </c>
      <c r="M292" s="528" t="str">
        <f t="shared" si="24"/>
        <v/>
      </c>
      <c r="N292" s="528" t="str">
        <f t="shared" si="25"/>
        <v/>
      </c>
      <c r="O292" s="526" t="str">
        <f t="shared" si="21"/>
        <v/>
      </c>
      <c r="P292" s="528" t="str">
        <f t="shared" si="22"/>
        <v/>
      </c>
    </row>
    <row r="293" spans="1:16" s="204" customFormat="1" ht="18" hidden="1" customHeight="1" x14ac:dyDescent="0.2">
      <c r="A293" s="518" t="str">
        <f t="shared" si="23"/>
        <v/>
      </c>
      <c r="B293" s="517">
        <f>LARGE($B$15:$B$264,23)</f>
        <v>0</v>
      </c>
      <c r="C293" s="526" t="str">
        <f t="shared" si="14"/>
        <v/>
      </c>
      <c r="D293" s="1416" t="str">
        <f t="shared" si="15"/>
        <v/>
      </c>
      <c r="E293" s="1416"/>
      <c r="F293" s="1416"/>
      <c r="G293" s="526" t="str">
        <f t="shared" si="16"/>
        <v/>
      </c>
      <c r="H293" s="526" t="str">
        <f t="shared" si="17"/>
        <v/>
      </c>
      <c r="I293" s="1417" t="str">
        <f t="shared" si="18"/>
        <v/>
      </c>
      <c r="J293" s="1417"/>
      <c r="K293" s="527" t="str">
        <f t="shared" si="19"/>
        <v/>
      </c>
      <c r="L293" s="518" t="str">
        <f t="shared" si="20"/>
        <v/>
      </c>
      <c r="M293" s="528" t="str">
        <f t="shared" si="24"/>
        <v/>
      </c>
      <c r="N293" s="528" t="str">
        <f t="shared" si="25"/>
        <v/>
      </c>
      <c r="O293" s="526" t="str">
        <f t="shared" si="21"/>
        <v/>
      </c>
      <c r="P293" s="528" t="str">
        <f t="shared" si="22"/>
        <v/>
      </c>
    </row>
    <row r="294" spans="1:16" s="204" customFormat="1" ht="18" hidden="1" customHeight="1" x14ac:dyDescent="0.2">
      <c r="A294" s="518" t="str">
        <f t="shared" si="23"/>
        <v/>
      </c>
      <c r="B294" s="517">
        <f>LARGE($B$15:$B$264,24)</f>
        <v>0</v>
      </c>
      <c r="C294" s="526" t="str">
        <f t="shared" si="14"/>
        <v/>
      </c>
      <c r="D294" s="1416" t="str">
        <f t="shared" si="15"/>
        <v/>
      </c>
      <c r="E294" s="1416"/>
      <c r="F294" s="1416"/>
      <c r="G294" s="526" t="str">
        <f t="shared" si="16"/>
        <v/>
      </c>
      <c r="H294" s="526" t="str">
        <f t="shared" si="17"/>
        <v/>
      </c>
      <c r="I294" s="1417" t="str">
        <f t="shared" si="18"/>
        <v/>
      </c>
      <c r="J294" s="1417"/>
      <c r="K294" s="527" t="str">
        <f t="shared" si="19"/>
        <v/>
      </c>
      <c r="L294" s="518" t="str">
        <f t="shared" si="20"/>
        <v/>
      </c>
      <c r="M294" s="528" t="str">
        <f t="shared" si="24"/>
        <v/>
      </c>
      <c r="N294" s="528" t="str">
        <f t="shared" si="25"/>
        <v/>
      </c>
      <c r="O294" s="526" t="str">
        <f t="shared" si="21"/>
        <v/>
      </c>
      <c r="P294" s="528" t="str">
        <f t="shared" si="22"/>
        <v/>
      </c>
    </row>
    <row r="295" spans="1:16" s="204" customFormat="1" ht="18" hidden="1" customHeight="1" x14ac:dyDescent="0.2">
      <c r="A295" s="518" t="str">
        <f t="shared" si="23"/>
        <v/>
      </c>
      <c r="B295" s="517">
        <f>LARGE($B$15:$B$264,25)</f>
        <v>0</v>
      </c>
      <c r="C295" s="526" t="str">
        <f t="shared" si="14"/>
        <v/>
      </c>
      <c r="D295" s="1416" t="str">
        <f t="shared" si="15"/>
        <v/>
      </c>
      <c r="E295" s="1416"/>
      <c r="F295" s="1416"/>
      <c r="G295" s="526" t="str">
        <f t="shared" si="16"/>
        <v/>
      </c>
      <c r="H295" s="526" t="str">
        <f t="shared" si="17"/>
        <v/>
      </c>
      <c r="I295" s="1417" t="str">
        <f t="shared" si="18"/>
        <v/>
      </c>
      <c r="J295" s="1417"/>
      <c r="K295" s="527" t="str">
        <f t="shared" si="19"/>
        <v/>
      </c>
      <c r="L295" s="518" t="str">
        <f t="shared" si="20"/>
        <v/>
      </c>
      <c r="M295" s="528" t="str">
        <f t="shared" si="24"/>
        <v/>
      </c>
      <c r="N295" s="528" t="str">
        <f t="shared" si="25"/>
        <v/>
      </c>
      <c r="O295" s="526" t="str">
        <f t="shared" si="21"/>
        <v/>
      </c>
      <c r="P295" s="528" t="str">
        <f t="shared" si="22"/>
        <v/>
      </c>
    </row>
    <row r="296" spans="1:16" s="204" customFormat="1" ht="18" hidden="1" customHeight="1" x14ac:dyDescent="0.2">
      <c r="A296" s="518" t="str">
        <f t="shared" si="23"/>
        <v/>
      </c>
      <c r="B296" s="517">
        <f>LARGE($B$15:$B$264,26)</f>
        <v>0</v>
      </c>
      <c r="C296" s="526" t="str">
        <f t="shared" si="14"/>
        <v/>
      </c>
      <c r="D296" s="1416" t="str">
        <f t="shared" si="15"/>
        <v/>
      </c>
      <c r="E296" s="1416"/>
      <c r="F296" s="1416"/>
      <c r="G296" s="526" t="str">
        <f t="shared" si="16"/>
        <v/>
      </c>
      <c r="H296" s="526" t="str">
        <f t="shared" si="17"/>
        <v/>
      </c>
      <c r="I296" s="1417" t="str">
        <f t="shared" si="18"/>
        <v/>
      </c>
      <c r="J296" s="1417"/>
      <c r="K296" s="527" t="str">
        <f t="shared" si="19"/>
        <v/>
      </c>
      <c r="L296" s="518" t="str">
        <f t="shared" si="20"/>
        <v/>
      </c>
      <c r="M296" s="528" t="str">
        <f t="shared" si="24"/>
        <v/>
      </c>
      <c r="N296" s="528" t="str">
        <f t="shared" si="25"/>
        <v/>
      </c>
      <c r="O296" s="526" t="str">
        <f t="shared" si="21"/>
        <v/>
      </c>
      <c r="P296" s="528" t="str">
        <f t="shared" si="22"/>
        <v/>
      </c>
    </row>
    <row r="297" spans="1:16" s="204" customFormat="1" ht="18" hidden="1" customHeight="1" x14ac:dyDescent="0.2">
      <c r="A297" s="518" t="str">
        <f t="shared" si="23"/>
        <v/>
      </c>
      <c r="B297" s="517">
        <f>LARGE($B$15:$B$264,27)</f>
        <v>0</v>
      </c>
      <c r="C297" s="526" t="str">
        <f t="shared" si="14"/>
        <v/>
      </c>
      <c r="D297" s="1416" t="str">
        <f t="shared" si="15"/>
        <v/>
      </c>
      <c r="E297" s="1416"/>
      <c r="F297" s="1416"/>
      <c r="G297" s="526" t="str">
        <f t="shared" si="16"/>
        <v/>
      </c>
      <c r="H297" s="526" t="str">
        <f t="shared" si="17"/>
        <v/>
      </c>
      <c r="I297" s="1417" t="str">
        <f t="shared" si="18"/>
        <v/>
      </c>
      <c r="J297" s="1417"/>
      <c r="K297" s="527" t="str">
        <f t="shared" si="19"/>
        <v/>
      </c>
      <c r="L297" s="518" t="str">
        <f t="shared" si="20"/>
        <v/>
      </c>
      <c r="M297" s="528" t="str">
        <f t="shared" si="24"/>
        <v/>
      </c>
      <c r="N297" s="528" t="str">
        <f t="shared" si="25"/>
        <v/>
      </c>
      <c r="O297" s="526" t="str">
        <f t="shared" si="21"/>
        <v/>
      </c>
      <c r="P297" s="528" t="str">
        <f t="shared" si="22"/>
        <v/>
      </c>
    </row>
    <row r="298" spans="1:16" s="204" customFormat="1" ht="18" hidden="1" customHeight="1" x14ac:dyDescent="0.2">
      <c r="A298" s="518" t="str">
        <f t="shared" si="23"/>
        <v/>
      </c>
      <c r="B298" s="517">
        <f>LARGE($B$15:$B$264,28)</f>
        <v>0</v>
      </c>
      <c r="C298" s="526" t="str">
        <f t="shared" si="14"/>
        <v/>
      </c>
      <c r="D298" s="1416" t="str">
        <f t="shared" si="15"/>
        <v/>
      </c>
      <c r="E298" s="1416"/>
      <c r="F298" s="1416"/>
      <c r="G298" s="526" t="str">
        <f t="shared" si="16"/>
        <v/>
      </c>
      <c r="H298" s="526" t="str">
        <f t="shared" si="17"/>
        <v/>
      </c>
      <c r="I298" s="1417" t="str">
        <f t="shared" si="18"/>
        <v/>
      </c>
      <c r="J298" s="1417"/>
      <c r="K298" s="527" t="str">
        <f t="shared" si="19"/>
        <v/>
      </c>
      <c r="L298" s="518" t="str">
        <f t="shared" si="20"/>
        <v/>
      </c>
      <c r="M298" s="528" t="str">
        <f t="shared" si="24"/>
        <v/>
      </c>
      <c r="N298" s="528" t="str">
        <f t="shared" si="25"/>
        <v/>
      </c>
      <c r="O298" s="526" t="str">
        <f t="shared" si="21"/>
        <v/>
      </c>
      <c r="P298" s="528" t="str">
        <f t="shared" si="22"/>
        <v/>
      </c>
    </row>
    <row r="299" spans="1:16" s="204" customFormat="1" ht="18" hidden="1" customHeight="1" x14ac:dyDescent="0.2">
      <c r="A299" s="518" t="str">
        <f t="shared" si="23"/>
        <v/>
      </c>
      <c r="B299" s="517">
        <f>LARGE($B$15:$B$264,29)</f>
        <v>0</v>
      </c>
      <c r="C299" s="526" t="str">
        <f t="shared" si="14"/>
        <v/>
      </c>
      <c r="D299" s="1416" t="str">
        <f t="shared" si="15"/>
        <v/>
      </c>
      <c r="E299" s="1416"/>
      <c r="F299" s="1416"/>
      <c r="G299" s="526" t="str">
        <f t="shared" si="16"/>
        <v/>
      </c>
      <c r="H299" s="526" t="str">
        <f t="shared" si="17"/>
        <v/>
      </c>
      <c r="I299" s="1417" t="str">
        <f t="shared" si="18"/>
        <v/>
      </c>
      <c r="J299" s="1417"/>
      <c r="K299" s="527" t="str">
        <f t="shared" si="19"/>
        <v/>
      </c>
      <c r="L299" s="518" t="str">
        <f t="shared" si="20"/>
        <v/>
      </c>
      <c r="M299" s="528" t="str">
        <f t="shared" si="24"/>
        <v/>
      </c>
      <c r="N299" s="528" t="str">
        <f t="shared" si="25"/>
        <v/>
      </c>
      <c r="O299" s="526" t="str">
        <f t="shared" si="21"/>
        <v/>
      </c>
      <c r="P299" s="528" t="str">
        <f t="shared" si="22"/>
        <v/>
      </c>
    </row>
    <row r="300" spans="1:16" s="204" customFormat="1" ht="18" hidden="1" customHeight="1" x14ac:dyDescent="0.2">
      <c r="A300" s="518" t="str">
        <f t="shared" si="23"/>
        <v/>
      </c>
      <c r="B300" s="517">
        <f>LARGE($B$15:$B$264,30)</f>
        <v>0</v>
      </c>
      <c r="C300" s="526" t="str">
        <f t="shared" si="14"/>
        <v/>
      </c>
      <c r="D300" s="1416" t="str">
        <f t="shared" si="15"/>
        <v/>
      </c>
      <c r="E300" s="1416"/>
      <c r="F300" s="1416"/>
      <c r="G300" s="526" t="str">
        <f t="shared" si="16"/>
        <v/>
      </c>
      <c r="H300" s="526" t="str">
        <f t="shared" si="17"/>
        <v/>
      </c>
      <c r="I300" s="1417" t="str">
        <f t="shared" si="18"/>
        <v/>
      </c>
      <c r="J300" s="1417"/>
      <c r="K300" s="527" t="str">
        <f t="shared" si="19"/>
        <v/>
      </c>
      <c r="L300" s="518" t="str">
        <f t="shared" si="20"/>
        <v/>
      </c>
      <c r="M300" s="528" t="str">
        <f t="shared" si="24"/>
        <v/>
      </c>
      <c r="N300" s="528" t="str">
        <f t="shared" si="25"/>
        <v/>
      </c>
      <c r="O300" s="526" t="str">
        <f t="shared" si="21"/>
        <v/>
      </c>
      <c r="P300" s="528" t="str">
        <f t="shared" si="22"/>
        <v/>
      </c>
    </row>
    <row r="301" spans="1:16" s="204" customFormat="1" ht="18" hidden="1" customHeight="1" x14ac:dyDescent="0.2">
      <c r="A301" s="518" t="str">
        <f t="shared" si="23"/>
        <v/>
      </c>
      <c r="B301" s="517">
        <f>LARGE($B$15:$B$264,31)</f>
        <v>0</v>
      </c>
      <c r="C301" s="526" t="str">
        <f t="shared" si="14"/>
        <v/>
      </c>
      <c r="D301" s="1416" t="str">
        <f t="shared" si="15"/>
        <v/>
      </c>
      <c r="E301" s="1416"/>
      <c r="F301" s="1416"/>
      <c r="G301" s="526" t="str">
        <f t="shared" si="16"/>
        <v/>
      </c>
      <c r="H301" s="526" t="str">
        <f t="shared" si="17"/>
        <v/>
      </c>
      <c r="I301" s="1417" t="str">
        <f t="shared" si="18"/>
        <v/>
      </c>
      <c r="J301" s="1417"/>
      <c r="K301" s="527" t="str">
        <f t="shared" si="19"/>
        <v/>
      </c>
      <c r="L301" s="518" t="str">
        <f t="shared" si="20"/>
        <v/>
      </c>
      <c r="M301" s="528" t="str">
        <f t="shared" si="24"/>
        <v/>
      </c>
      <c r="N301" s="528" t="str">
        <f t="shared" si="25"/>
        <v/>
      </c>
      <c r="O301" s="526" t="str">
        <f t="shared" si="21"/>
        <v/>
      </c>
      <c r="P301" s="528" t="str">
        <f t="shared" si="22"/>
        <v/>
      </c>
    </row>
    <row r="302" spans="1:16" s="204" customFormat="1" ht="18" hidden="1" customHeight="1" x14ac:dyDescent="0.2">
      <c r="A302" s="518" t="str">
        <f t="shared" si="23"/>
        <v/>
      </c>
      <c r="B302" s="517">
        <f>LARGE($B$15:$B$264,32)</f>
        <v>0</v>
      </c>
      <c r="C302" s="526" t="str">
        <f t="shared" si="14"/>
        <v/>
      </c>
      <c r="D302" s="1416" t="str">
        <f t="shared" si="15"/>
        <v/>
      </c>
      <c r="E302" s="1416"/>
      <c r="F302" s="1416"/>
      <c r="G302" s="526" t="str">
        <f t="shared" si="16"/>
        <v/>
      </c>
      <c r="H302" s="526" t="str">
        <f t="shared" si="17"/>
        <v/>
      </c>
      <c r="I302" s="1417" t="str">
        <f t="shared" si="18"/>
        <v/>
      </c>
      <c r="J302" s="1417"/>
      <c r="K302" s="527" t="str">
        <f t="shared" si="19"/>
        <v/>
      </c>
      <c r="L302" s="518" t="str">
        <f t="shared" si="20"/>
        <v/>
      </c>
      <c r="M302" s="528" t="str">
        <f t="shared" si="24"/>
        <v/>
      </c>
      <c r="N302" s="528" t="str">
        <f t="shared" si="25"/>
        <v/>
      </c>
      <c r="O302" s="526" t="str">
        <f t="shared" si="21"/>
        <v/>
      </c>
      <c r="P302" s="528" t="str">
        <f t="shared" si="22"/>
        <v/>
      </c>
    </row>
    <row r="303" spans="1:16" s="204" customFormat="1" ht="18" hidden="1" customHeight="1" x14ac:dyDescent="0.2">
      <c r="A303" s="518" t="str">
        <f t="shared" si="23"/>
        <v/>
      </c>
      <c r="B303" s="517">
        <f>LARGE($B$15:$B$264,33)</f>
        <v>0</v>
      </c>
      <c r="C303" s="526" t="str">
        <f t="shared" si="14"/>
        <v/>
      </c>
      <c r="D303" s="1416" t="str">
        <f t="shared" si="15"/>
        <v/>
      </c>
      <c r="E303" s="1416"/>
      <c r="F303" s="1416"/>
      <c r="G303" s="526" t="str">
        <f t="shared" si="16"/>
        <v/>
      </c>
      <c r="H303" s="526" t="str">
        <f t="shared" si="17"/>
        <v/>
      </c>
      <c r="I303" s="1417" t="str">
        <f t="shared" si="18"/>
        <v/>
      </c>
      <c r="J303" s="1417"/>
      <c r="K303" s="527" t="str">
        <f t="shared" si="19"/>
        <v/>
      </c>
      <c r="L303" s="518" t="str">
        <f t="shared" si="20"/>
        <v/>
      </c>
      <c r="M303" s="528" t="str">
        <f t="shared" si="24"/>
        <v/>
      </c>
      <c r="N303" s="528" t="str">
        <f t="shared" si="25"/>
        <v/>
      </c>
      <c r="O303" s="526" t="str">
        <f t="shared" si="21"/>
        <v/>
      </c>
      <c r="P303" s="528" t="str">
        <f t="shared" si="22"/>
        <v/>
      </c>
    </row>
    <row r="304" spans="1:16" s="204" customFormat="1" ht="18" hidden="1" customHeight="1" x14ac:dyDescent="0.2">
      <c r="A304" s="518" t="str">
        <f t="shared" si="23"/>
        <v/>
      </c>
      <c r="B304" s="517">
        <f>LARGE($B$15:$B$264,34)</f>
        <v>0</v>
      </c>
      <c r="C304" s="526" t="str">
        <f t="shared" si="14"/>
        <v/>
      </c>
      <c r="D304" s="1416" t="str">
        <f t="shared" si="15"/>
        <v/>
      </c>
      <c r="E304" s="1416"/>
      <c r="F304" s="1416"/>
      <c r="G304" s="526" t="str">
        <f t="shared" si="16"/>
        <v/>
      </c>
      <c r="H304" s="526" t="str">
        <f t="shared" si="17"/>
        <v/>
      </c>
      <c r="I304" s="1417" t="str">
        <f t="shared" si="18"/>
        <v/>
      </c>
      <c r="J304" s="1417"/>
      <c r="K304" s="527" t="str">
        <f t="shared" si="19"/>
        <v/>
      </c>
      <c r="L304" s="518" t="str">
        <f t="shared" si="20"/>
        <v/>
      </c>
      <c r="M304" s="528" t="str">
        <f t="shared" si="24"/>
        <v/>
      </c>
      <c r="N304" s="528" t="str">
        <f t="shared" si="25"/>
        <v/>
      </c>
      <c r="O304" s="526" t="str">
        <f t="shared" si="21"/>
        <v/>
      </c>
      <c r="P304" s="528" t="str">
        <f t="shared" si="22"/>
        <v/>
      </c>
    </row>
    <row r="305" spans="1:16" s="204" customFormat="1" ht="18" hidden="1" customHeight="1" x14ac:dyDescent="0.2">
      <c r="A305" s="518" t="str">
        <f t="shared" si="23"/>
        <v/>
      </c>
      <c r="B305" s="517">
        <f>LARGE($B$15:$B$264,35)</f>
        <v>0</v>
      </c>
      <c r="C305" s="526" t="str">
        <f t="shared" si="14"/>
        <v/>
      </c>
      <c r="D305" s="1416" t="str">
        <f t="shared" si="15"/>
        <v/>
      </c>
      <c r="E305" s="1416"/>
      <c r="F305" s="1416"/>
      <c r="G305" s="526" t="str">
        <f t="shared" si="16"/>
        <v/>
      </c>
      <c r="H305" s="526" t="str">
        <f t="shared" si="17"/>
        <v/>
      </c>
      <c r="I305" s="1417" t="str">
        <f t="shared" si="18"/>
        <v/>
      </c>
      <c r="J305" s="1417"/>
      <c r="K305" s="527" t="str">
        <f t="shared" si="19"/>
        <v/>
      </c>
      <c r="L305" s="518" t="str">
        <f t="shared" si="20"/>
        <v/>
      </c>
      <c r="M305" s="528" t="str">
        <f t="shared" si="24"/>
        <v/>
      </c>
      <c r="N305" s="528" t="str">
        <f t="shared" si="25"/>
        <v/>
      </c>
      <c r="O305" s="526" t="str">
        <f t="shared" si="21"/>
        <v/>
      </c>
      <c r="P305" s="528" t="str">
        <f t="shared" si="22"/>
        <v/>
      </c>
    </row>
    <row r="306" spans="1:16" s="204" customFormat="1" ht="18" hidden="1" customHeight="1" x14ac:dyDescent="0.2">
      <c r="A306" s="518" t="str">
        <f t="shared" si="23"/>
        <v/>
      </c>
      <c r="B306" s="517">
        <f>LARGE($B$15:$B$264,36)</f>
        <v>0</v>
      </c>
      <c r="C306" s="526" t="str">
        <f t="shared" si="14"/>
        <v/>
      </c>
      <c r="D306" s="1416" t="str">
        <f t="shared" si="15"/>
        <v/>
      </c>
      <c r="E306" s="1416"/>
      <c r="F306" s="1416"/>
      <c r="G306" s="526" t="str">
        <f t="shared" si="16"/>
        <v/>
      </c>
      <c r="H306" s="526" t="str">
        <f t="shared" si="17"/>
        <v/>
      </c>
      <c r="I306" s="1417" t="str">
        <f t="shared" si="18"/>
        <v/>
      </c>
      <c r="J306" s="1417"/>
      <c r="K306" s="527" t="str">
        <f t="shared" si="19"/>
        <v/>
      </c>
      <c r="L306" s="518" t="str">
        <f t="shared" si="20"/>
        <v/>
      </c>
      <c r="M306" s="528" t="str">
        <f t="shared" si="24"/>
        <v/>
      </c>
      <c r="N306" s="528" t="str">
        <f t="shared" si="25"/>
        <v/>
      </c>
      <c r="O306" s="526" t="str">
        <f t="shared" si="21"/>
        <v/>
      </c>
      <c r="P306" s="528" t="str">
        <f t="shared" si="22"/>
        <v/>
      </c>
    </row>
    <row r="307" spans="1:16" s="204" customFormat="1" ht="18" hidden="1" customHeight="1" x14ac:dyDescent="0.2">
      <c r="A307" s="518" t="str">
        <f t="shared" si="23"/>
        <v/>
      </c>
      <c r="B307" s="517">
        <f>LARGE($B$15:$B$264,37)</f>
        <v>0</v>
      </c>
      <c r="C307" s="526" t="str">
        <f t="shared" si="14"/>
        <v/>
      </c>
      <c r="D307" s="1416" t="str">
        <f t="shared" si="15"/>
        <v/>
      </c>
      <c r="E307" s="1416"/>
      <c r="F307" s="1416"/>
      <c r="G307" s="526" t="str">
        <f t="shared" si="16"/>
        <v/>
      </c>
      <c r="H307" s="526" t="str">
        <f t="shared" si="17"/>
        <v/>
      </c>
      <c r="I307" s="1417" t="str">
        <f t="shared" si="18"/>
        <v/>
      </c>
      <c r="J307" s="1417"/>
      <c r="K307" s="527" t="str">
        <f t="shared" si="19"/>
        <v/>
      </c>
      <c r="L307" s="518" t="str">
        <f t="shared" si="20"/>
        <v/>
      </c>
      <c r="M307" s="528" t="str">
        <f t="shared" si="24"/>
        <v/>
      </c>
      <c r="N307" s="528" t="str">
        <f t="shared" si="25"/>
        <v/>
      </c>
      <c r="O307" s="526" t="str">
        <f t="shared" si="21"/>
        <v/>
      </c>
      <c r="P307" s="528" t="str">
        <f t="shared" si="22"/>
        <v/>
      </c>
    </row>
    <row r="308" spans="1:16" s="204" customFormat="1" ht="18" hidden="1" customHeight="1" x14ac:dyDescent="0.2">
      <c r="A308" s="518" t="str">
        <f t="shared" si="23"/>
        <v/>
      </c>
      <c r="B308" s="517">
        <f>LARGE($B$15:$B$264,38)</f>
        <v>0</v>
      </c>
      <c r="C308" s="526" t="str">
        <f t="shared" si="14"/>
        <v/>
      </c>
      <c r="D308" s="1416" t="str">
        <f t="shared" si="15"/>
        <v/>
      </c>
      <c r="E308" s="1416"/>
      <c r="F308" s="1416"/>
      <c r="G308" s="526" t="str">
        <f t="shared" si="16"/>
        <v/>
      </c>
      <c r="H308" s="526" t="str">
        <f t="shared" si="17"/>
        <v/>
      </c>
      <c r="I308" s="1417" t="str">
        <f t="shared" si="18"/>
        <v/>
      </c>
      <c r="J308" s="1417"/>
      <c r="K308" s="527" t="str">
        <f t="shared" si="19"/>
        <v/>
      </c>
      <c r="L308" s="518" t="str">
        <f t="shared" si="20"/>
        <v/>
      </c>
      <c r="M308" s="528" t="str">
        <f t="shared" si="24"/>
        <v/>
      </c>
      <c r="N308" s="528" t="str">
        <f t="shared" si="25"/>
        <v/>
      </c>
      <c r="O308" s="526" t="str">
        <f t="shared" si="21"/>
        <v/>
      </c>
      <c r="P308" s="528" t="str">
        <f t="shared" si="22"/>
        <v/>
      </c>
    </row>
    <row r="309" spans="1:16" s="204" customFormat="1" ht="18" hidden="1" customHeight="1" x14ac:dyDescent="0.2">
      <c r="A309" s="518" t="str">
        <f t="shared" si="23"/>
        <v/>
      </c>
      <c r="B309" s="517">
        <f>LARGE($B$15:$B$264,39)</f>
        <v>0</v>
      </c>
      <c r="C309" s="526" t="str">
        <f t="shared" si="14"/>
        <v/>
      </c>
      <c r="D309" s="1416" t="str">
        <f t="shared" si="15"/>
        <v/>
      </c>
      <c r="E309" s="1416"/>
      <c r="F309" s="1416"/>
      <c r="G309" s="526" t="str">
        <f t="shared" si="16"/>
        <v/>
      </c>
      <c r="H309" s="526" t="str">
        <f t="shared" si="17"/>
        <v/>
      </c>
      <c r="I309" s="1417" t="str">
        <f t="shared" si="18"/>
        <v/>
      </c>
      <c r="J309" s="1417"/>
      <c r="K309" s="527" t="str">
        <f t="shared" si="19"/>
        <v/>
      </c>
      <c r="L309" s="518" t="str">
        <f t="shared" si="20"/>
        <v/>
      </c>
      <c r="M309" s="528" t="str">
        <f t="shared" si="24"/>
        <v/>
      </c>
      <c r="N309" s="528" t="str">
        <f t="shared" si="25"/>
        <v/>
      </c>
      <c r="O309" s="526" t="str">
        <f t="shared" si="21"/>
        <v/>
      </c>
      <c r="P309" s="528" t="str">
        <f t="shared" si="22"/>
        <v/>
      </c>
    </row>
    <row r="310" spans="1:16" s="204" customFormat="1" ht="18" hidden="1" customHeight="1" x14ac:dyDescent="0.2">
      <c r="A310" s="518" t="str">
        <f t="shared" si="23"/>
        <v/>
      </c>
      <c r="B310" s="517">
        <f>LARGE($B$15:$B$264,40)</f>
        <v>0</v>
      </c>
      <c r="C310" s="526" t="str">
        <f t="shared" si="14"/>
        <v/>
      </c>
      <c r="D310" s="1416" t="str">
        <f t="shared" si="15"/>
        <v/>
      </c>
      <c r="E310" s="1416"/>
      <c r="F310" s="1416"/>
      <c r="G310" s="526" t="str">
        <f t="shared" si="16"/>
        <v/>
      </c>
      <c r="H310" s="526" t="str">
        <f t="shared" si="17"/>
        <v/>
      </c>
      <c r="I310" s="1417" t="str">
        <f t="shared" si="18"/>
        <v/>
      </c>
      <c r="J310" s="1417"/>
      <c r="K310" s="527" t="str">
        <f t="shared" si="19"/>
        <v/>
      </c>
      <c r="L310" s="518" t="str">
        <f t="shared" si="20"/>
        <v/>
      </c>
      <c r="M310" s="528" t="str">
        <f t="shared" si="24"/>
        <v/>
      </c>
      <c r="N310" s="528" t="str">
        <f t="shared" si="25"/>
        <v/>
      </c>
      <c r="O310" s="526" t="str">
        <f t="shared" si="21"/>
        <v/>
      </c>
      <c r="P310" s="528" t="str">
        <f t="shared" si="22"/>
        <v/>
      </c>
    </row>
    <row r="311" spans="1:16" s="204" customFormat="1" ht="18" hidden="1" customHeight="1" x14ac:dyDescent="0.2">
      <c r="A311" s="518" t="str">
        <f t="shared" si="23"/>
        <v/>
      </c>
      <c r="B311" s="517">
        <f>LARGE($B$15:$B$264,41)</f>
        <v>0</v>
      </c>
      <c r="C311" s="526" t="str">
        <f t="shared" si="14"/>
        <v/>
      </c>
      <c r="D311" s="1416" t="str">
        <f t="shared" si="15"/>
        <v/>
      </c>
      <c r="E311" s="1416"/>
      <c r="F311" s="1416"/>
      <c r="G311" s="526" t="str">
        <f t="shared" si="16"/>
        <v/>
      </c>
      <c r="H311" s="526" t="str">
        <f t="shared" si="17"/>
        <v/>
      </c>
      <c r="I311" s="1417" t="str">
        <f t="shared" si="18"/>
        <v/>
      </c>
      <c r="J311" s="1417"/>
      <c r="K311" s="527" t="str">
        <f t="shared" si="19"/>
        <v/>
      </c>
      <c r="L311" s="518" t="str">
        <f t="shared" si="20"/>
        <v/>
      </c>
      <c r="M311" s="528" t="str">
        <f t="shared" si="24"/>
        <v/>
      </c>
      <c r="N311" s="528" t="str">
        <f t="shared" si="25"/>
        <v/>
      </c>
      <c r="O311" s="526" t="str">
        <f t="shared" si="21"/>
        <v/>
      </c>
      <c r="P311" s="528" t="str">
        <f t="shared" si="22"/>
        <v/>
      </c>
    </row>
    <row r="312" spans="1:16" s="204" customFormat="1" ht="18" hidden="1" customHeight="1" x14ac:dyDescent="0.2">
      <c r="A312" s="518" t="str">
        <f t="shared" si="23"/>
        <v/>
      </c>
      <c r="B312" s="517">
        <f>LARGE($B$15:$B$264,42)</f>
        <v>0</v>
      </c>
      <c r="C312" s="526" t="str">
        <f t="shared" si="14"/>
        <v/>
      </c>
      <c r="D312" s="1416" t="str">
        <f t="shared" si="15"/>
        <v/>
      </c>
      <c r="E312" s="1416"/>
      <c r="F312" s="1416"/>
      <c r="G312" s="526" t="str">
        <f t="shared" si="16"/>
        <v/>
      </c>
      <c r="H312" s="526" t="str">
        <f t="shared" si="17"/>
        <v/>
      </c>
      <c r="I312" s="1417" t="str">
        <f t="shared" si="18"/>
        <v/>
      </c>
      <c r="J312" s="1417"/>
      <c r="K312" s="527" t="str">
        <f t="shared" si="19"/>
        <v/>
      </c>
      <c r="L312" s="518" t="str">
        <f t="shared" si="20"/>
        <v/>
      </c>
      <c r="M312" s="528" t="str">
        <f t="shared" si="24"/>
        <v/>
      </c>
      <c r="N312" s="528" t="str">
        <f t="shared" si="25"/>
        <v/>
      </c>
      <c r="O312" s="526" t="str">
        <f t="shared" si="21"/>
        <v/>
      </c>
      <c r="P312" s="528" t="str">
        <f t="shared" si="22"/>
        <v/>
      </c>
    </row>
    <row r="313" spans="1:16" s="204" customFormat="1" ht="18" hidden="1" customHeight="1" x14ac:dyDescent="0.2">
      <c r="A313" s="518" t="str">
        <f t="shared" si="23"/>
        <v/>
      </c>
      <c r="B313" s="517">
        <f>LARGE($B$15:$B$264,43)</f>
        <v>0</v>
      </c>
      <c r="C313" s="526" t="str">
        <f t="shared" si="14"/>
        <v/>
      </c>
      <c r="D313" s="1416" t="str">
        <f t="shared" si="15"/>
        <v/>
      </c>
      <c r="E313" s="1416"/>
      <c r="F313" s="1416"/>
      <c r="G313" s="526" t="str">
        <f t="shared" si="16"/>
        <v/>
      </c>
      <c r="H313" s="526" t="str">
        <f t="shared" si="17"/>
        <v/>
      </c>
      <c r="I313" s="1417" t="str">
        <f t="shared" si="18"/>
        <v/>
      </c>
      <c r="J313" s="1417"/>
      <c r="K313" s="527" t="str">
        <f t="shared" si="19"/>
        <v/>
      </c>
      <c r="L313" s="518" t="str">
        <f t="shared" si="20"/>
        <v/>
      </c>
      <c r="M313" s="528" t="str">
        <f t="shared" si="24"/>
        <v/>
      </c>
      <c r="N313" s="528" t="str">
        <f t="shared" si="25"/>
        <v/>
      </c>
      <c r="O313" s="526" t="str">
        <f t="shared" si="21"/>
        <v/>
      </c>
      <c r="P313" s="528" t="str">
        <f t="shared" si="22"/>
        <v/>
      </c>
    </row>
    <row r="314" spans="1:16" s="204" customFormat="1" ht="18" hidden="1" customHeight="1" x14ac:dyDescent="0.2">
      <c r="A314" s="518" t="str">
        <f t="shared" si="23"/>
        <v/>
      </c>
      <c r="B314" s="517">
        <f>LARGE($B$15:$B$264,44)</f>
        <v>0</v>
      </c>
      <c r="C314" s="526" t="str">
        <f t="shared" si="14"/>
        <v/>
      </c>
      <c r="D314" s="1416" t="str">
        <f t="shared" si="15"/>
        <v/>
      </c>
      <c r="E314" s="1416"/>
      <c r="F314" s="1416"/>
      <c r="G314" s="526" t="str">
        <f t="shared" si="16"/>
        <v/>
      </c>
      <c r="H314" s="526" t="str">
        <f t="shared" si="17"/>
        <v/>
      </c>
      <c r="I314" s="1417" t="str">
        <f t="shared" si="18"/>
        <v/>
      </c>
      <c r="J314" s="1417"/>
      <c r="K314" s="527" t="str">
        <f t="shared" si="19"/>
        <v/>
      </c>
      <c r="L314" s="518" t="str">
        <f t="shared" si="20"/>
        <v/>
      </c>
      <c r="M314" s="528" t="str">
        <f t="shared" si="24"/>
        <v/>
      </c>
      <c r="N314" s="528" t="str">
        <f t="shared" si="25"/>
        <v/>
      </c>
      <c r="O314" s="526" t="str">
        <f t="shared" si="21"/>
        <v/>
      </c>
      <c r="P314" s="528" t="str">
        <f t="shared" si="22"/>
        <v/>
      </c>
    </row>
    <row r="315" spans="1:16" s="204" customFormat="1" ht="18" hidden="1" customHeight="1" x14ac:dyDescent="0.2">
      <c r="A315" s="518" t="str">
        <f t="shared" si="23"/>
        <v/>
      </c>
      <c r="B315" s="517">
        <f>LARGE($B$15:$B$264,45)</f>
        <v>0</v>
      </c>
      <c r="C315" s="526" t="str">
        <f t="shared" si="14"/>
        <v/>
      </c>
      <c r="D315" s="1416" t="str">
        <f t="shared" si="15"/>
        <v/>
      </c>
      <c r="E315" s="1416"/>
      <c r="F315" s="1416"/>
      <c r="G315" s="526" t="str">
        <f t="shared" si="16"/>
        <v/>
      </c>
      <c r="H315" s="526" t="str">
        <f t="shared" si="17"/>
        <v/>
      </c>
      <c r="I315" s="1417" t="str">
        <f t="shared" si="18"/>
        <v/>
      </c>
      <c r="J315" s="1417"/>
      <c r="K315" s="527" t="str">
        <f t="shared" si="19"/>
        <v/>
      </c>
      <c r="L315" s="518" t="str">
        <f t="shared" si="20"/>
        <v/>
      </c>
      <c r="M315" s="528" t="str">
        <f t="shared" si="24"/>
        <v/>
      </c>
      <c r="N315" s="528" t="str">
        <f t="shared" si="25"/>
        <v/>
      </c>
      <c r="O315" s="526" t="str">
        <f t="shared" si="21"/>
        <v/>
      </c>
      <c r="P315" s="528" t="str">
        <f t="shared" si="22"/>
        <v/>
      </c>
    </row>
    <row r="316" spans="1:16" s="204" customFormat="1" ht="18" hidden="1" customHeight="1" x14ac:dyDescent="0.2">
      <c r="A316" s="518" t="str">
        <f t="shared" si="23"/>
        <v/>
      </c>
      <c r="B316" s="517">
        <f>LARGE($B$15:$B$264,46)</f>
        <v>0</v>
      </c>
      <c r="C316" s="526" t="str">
        <f t="shared" si="14"/>
        <v/>
      </c>
      <c r="D316" s="1416" t="str">
        <f t="shared" si="15"/>
        <v/>
      </c>
      <c r="E316" s="1416"/>
      <c r="F316" s="1416"/>
      <c r="G316" s="526" t="str">
        <f t="shared" si="16"/>
        <v/>
      </c>
      <c r="H316" s="526" t="str">
        <f t="shared" si="17"/>
        <v/>
      </c>
      <c r="I316" s="1417" t="str">
        <f t="shared" si="18"/>
        <v/>
      </c>
      <c r="J316" s="1417"/>
      <c r="K316" s="527" t="str">
        <f t="shared" si="19"/>
        <v/>
      </c>
      <c r="L316" s="518" t="str">
        <f t="shared" si="20"/>
        <v/>
      </c>
      <c r="M316" s="528" t="str">
        <f t="shared" si="24"/>
        <v/>
      </c>
      <c r="N316" s="528" t="str">
        <f t="shared" si="25"/>
        <v/>
      </c>
      <c r="O316" s="526" t="str">
        <f t="shared" si="21"/>
        <v/>
      </c>
      <c r="P316" s="528" t="str">
        <f t="shared" si="22"/>
        <v/>
      </c>
    </row>
    <row r="317" spans="1:16" s="204" customFormat="1" ht="18" hidden="1" customHeight="1" x14ac:dyDescent="0.2">
      <c r="A317" s="518" t="str">
        <f t="shared" si="23"/>
        <v/>
      </c>
      <c r="B317" s="517">
        <f>LARGE($B$15:$B$264,47)</f>
        <v>0</v>
      </c>
      <c r="C317" s="526" t="str">
        <f t="shared" si="14"/>
        <v/>
      </c>
      <c r="D317" s="1416" t="str">
        <f t="shared" si="15"/>
        <v/>
      </c>
      <c r="E317" s="1416"/>
      <c r="F317" s="1416"/>
      <c r="G317" s="526" t="str">
        <f t="shared" si="16"/>
        <v/>
      </c>
      <c r="H317" s="526" t="str">
        <f t="shared" si="17"/>
        <v/>
      </c>
      <c r="I317" s="1417" t="str">
        <f t="shared" si="18"/>
        <v/>
      </c>
      <c r="J317" s="1417"/>
      <c r="K317" s="527" t="str">
        <f t="shared" si="19"/>
        <v/>
      </c>
      <c r="L317" s="518" t="str">
        <f t="shared" si="20"/>
        <v/>
      </c>
      <c r="M317" s="528" t="str">
        <f t="shared" si="24"/>
        <v/>
      </c>
      <c r="N317" s="528" t="str">
        <f t="shared" si="25"/>
        <v/>
      </c>
      <c r="O317" s="526" t="str">
        <f t="shared" si="21"/>
        <v/>
      </c>
      <c r="P317" s="528" t="str">
        <f t="shared" si="22"/>
        <v/>
      </c>
    </row>
    <row r="318" spans="1:16" s="204" customFormat="1" ht="18" hidden="1" customHeight="1" x14ac:dyDescent="0.2">
      <c r="A318" s="518" t="str">
        <f t="shared" si="23"/>
        <v/>
      </c>
      <c r="B318" s="517">
        <f>LARGE($B$15:$B$264,48)</f>
        <v>0</v>
      </c>
      <c r="C318" s="526" t="str">
        <f t="shared" si="14"/>
        <v/>
      </c>
      <c r="D318" s="1416" t="str">
        <f t="shared" si="15"/>
        <v/>
      </c>
      <c r="E318" s="1416"/>
      <c r="F318" s="1416"/>
      <c r="G318" s="526" t="str">
        <f t="shared" si="16"/>
        <v/>
      </c>
      <c r="H318" s="526" t="str">
        <f t="shared" si="17"/>
        <v/>
      </c>
      <c r="I318" s="1417" t="str">
        <f t="shared" si="18"/>
        <v/>
      </c>
      <c r="J318" s="1417"/>
      <c r="K318" s="527" t="str">
        <f t="shared" si="19"/>
        <v/>
      </c>
      <c r="L318" s="518" t="str">
        <f t="shared" si="20"/>
        <v/>
      </c>
      <c r="M318" s="528" t="str">
        <f t="shared" si="24"/>
        <v/>
      </c>
      <c r="N318" s="528" t="str">
        <f t="shared" si="25"/>
        <v/>
      </c>
      <c r="O318" s="526" t="str">
        <f t="shared" si="21"/>
        <v/>
      </c>
      <c r="P318" s="528" t="str">
        <f t="shared" si="22"/>
        <v/>
      </c>
    </row>
    <row r="319" spans="1:16" s="204" customFormat="1" ht="18" hidden="1" customHeight="1" x14ac:dyDescent="0.2">
      <c r="A319" s="518" t="str">
        <f t="shared" si="23"/>
        <v/>
      </c>
      <c r="B319" s="517">
        <f>LARGE($B$15:$B$264,49)</f>
        <v>0</v>
      </c>
      <c r="C319" s="526" t="str">
        <f t="shared" si="14"/>
        <v/>
      </c>
      <c r="D319" s="1416" t="str">
        <f t="shared" si="15"/>
        <v/>
      </c>
      <c r="E319" s="1416"/>
      <c r="F319" s="1416"/>
      <c r="G319" s="526" t="str">
        <f t="shared" si="16"/>
        <v/>
      </c>
      <c r="H319" s="526" t="str">
        <f t="shared" si="17"/>
        <v/>
      </c>
      <c r="I319" s="1417" t="str">
        <f t="shared" si="18"/>
        <v/>
      </c>
      <c r="J319" s="1417"/>
      <c r="K319" s="527" t="str">
        <f t="shared" si="19"/>
        <v/>
      </c>
      <c r="L319" s="518" t="str">
        <f t="shared" si="20"/>
        <v/>
      </c>
      <c r="M319" s="528" t="str">
        <f t="shared" si="24"/>
        <v/>
      </c>
      <c r="N319" s="528" t="str">
        <f t="shared" si="25"/>
        <v/>
      </c>
      <c r="O319" s="526" t="str">
        <f t="shared" si="21"/>
        <v/>
      </c>
      <c r="P319" s="528" t="str">
        <f t="shared" si="22"/>
        <v/>
      </c>
    </row>
    <row r="320" spans="1:16" s="204" customFormat="1" ht="18" hidden="1" customHeight="1" x14ac:dyDescent="0.2">
      <c r="A320" s="518" t="str">
        <f t="shared" si="23"/>
        <v/>
      </c>
      <c r="B320" s="517">
        <f>LARGE($B$15:$B$264,50)</f>
        <v>0</v>
      </c>
      <c r="C320" s="526" t="str">
        <f t="shared" si="14"/>
        <v/>
      </c>
      <c r="D320" s="1416" t="str">
        <f t="shared" si="15"/>
        <v/>
      </c>
      <c r="E320" s="1416"/>
      <c r="F320" s="1416"/>
      <c r="G320" s="526" t="str">
        <f t="shared" si="16"/>
        <v/>
      </c>
      <c r="H320" s="526" t="str">
        <f t="shared" si="17"/>
        <v/>
      </c>
      <c r="I320" s="1417" t="str">
        <f t="shared" si="18"/>
        <v/>
      </c>
      <c r="J320" s="1417"/>
      <c r="K320" s="527" t="str">
        <f t="shared" si="19"/>
        <v/>
      </c>
      <c r="L320" s="518" t="str">
        <f t="shared" si="20"/>
        <v/>
      </c>
      <c r="M320" s="528" t="str">
        <f t="shared" si="24"/>
        <v/>
      </c>
      <c r="N320" s="528" t="str">
        <f t="shared" si="25"/>
        <v/>
      </c>
      <c r="O320" s="526" t="str">
        <f t="shared" si="21"/>
        <v/>
      </c>
      <c r="P320" s="528" t="str">
        <f t="shared" si="22"/>
        <v/>
      </c>
    </row>
    <row r="321" spans="1:16" s="204" customFormat="1" ht="18" hidden="1" customHeight="1" x14ac:dyDescent="0.2">
      <c r="A321" s="518" t="str">
        <f t="shared" si="23"/>
        <v/>
      </c>
      <c r="B321" s="517">
        <f>LARGE($B$15:$B$264,51)</f>
        <v>0</v>
      </c>
      <c r="C321" s="526" t="str">
        <f t="shared" si="14"/>
        <v/>
      </c>
      <c r="D321" s="1416" t="str">
        <f t="shared" si="15"/>
        <v/>
      </c>
      <c r="E321" s="1416"/>
      <c r="F321" s="1416"/>
      <c r="G321" s="526" t="str">
        <f t="shared" si="16"/>
        <v/>
      </c>
      <c r="H321" s="526" t="str">
        <f t="shared" si="17"/>
        <v/>
      </c>
      <c r="I321" s="1417" t="str">
        <f t="shared" si="18"/>
        <v/>
      </c>
      <c r="J321" s="1417"/>
      <c r="K321" s="527" t="str">
        <f t="shared" si="19"/>
        <v/>
      </c>
      <c r="L321" s="518" t="str">
        <f t="shared" si="20"/>
        <v/>
      </c>
      <c r="M321" s="528" t="str">
        <f t="shared" si="24"/>
        <v/>
      </c>
      <c r="N321" s="528" t="str">
        <f t="shared" si="25"/>
        <v/>
      </c>
      <c r="O321" s="526" t="str">
        <f t="shared" si="21"/>
        <v/>
      </c>
      <c r="P321" s="528" t="str">
        <f t="shared" si="22"/>
        <v/>
      </c>
    </row>
    <row r="322" spans="1:16" s="204" customFormat="1" ht="18" hidden="1" customHeight="1" x14ac:dyDescent="0.2">
      <c r="A322" s="518" t="str">
        <f t="shared" si="23"/>
        <v/>
      </c>
      <c r="B322" s="517">
        <f>LARGE($B$15:$B$264,52)</f>
        <v>0</v>
      </c>
      <c r="C322" s="526" t="str">
        <f t="shared" si="14"/>
        <v/>
      </c>
      <c r="D322" s="1416" t="str">
        <f t="shared" si="15"/>
        <v/>
      </c>
      <c r="E322" s="1416"/>
      <c r="F322" s="1416"/>
      <c r="G322" s="526" t="str">
        <f t="shared" si="16"/>
        <v/>
      </c>
      <c r="H322" s="526" t="str">
        <f t="shared" si="17"/>
        <v/>
      </c>
      <c r="I322" s="1417" t="str">
        <f t="shared" si="18"/>
        <v/>
      </c>
      <c r="J322" s="1417"/>
      <c r="K322" s="527" t="str">
        <f t="shared" si="19"/>
        <v/>
      </c>
      <c r="L322" s="518" t="str">
        <f t="shared" si="20"/>
        <v/>
      </c>
      <c r="M322" s="528" t="str">
        <f t="shared" si="24"/>
        <v/>
      </c>
      <c r="N322" s="528" t="str">
        <f t="shared" si="25"/>
        <v/>
      </c>
      <c r="O322" s="526" t="str">
        <f t="shared" si="21"/>
        <v/>
      </c>
      <c r="P322" s="528" t="str">
        <f t="shared" si="22"/>
        <v/>
      </c>
    </row>
    <row r="323" spans="1:16" s="204" customFormat="1" ht="18" hidden="1" customHeight="1" x14ac:dyDescent="0.2">
      <c r="A323" s="518" t="str">
        <f t="shared" si="23"/>
        <v/>
      </c>
      <c r="B323" s="517">
        <f>LARGE($B$15:$B$264,53)</f>
        <v>0</v>
      </c>
      <c r="C323" s="526" t="str">
        <f t="shared" si="14"/>
        <v/>
      </c>
      <c r="D323" s="1416" t="str">
        <f t="shared" si="15"/>
        <v/>
      </c>
      <c r="E323" s="1416"/>
      <c r="F323" s="1416"/>
      <c r="G323" s="526" t="str">
        <f t="shared" si="16"/>
        <v/>
      </c>
      <c r="H323" s="526" t="str">
        <f t="shared" si="17"/>
        <v/>
      </c>
      <c r="I323" s="1417" t="str">
        <f t="shared" si="18"/>
        <v/>
      </c>
      <c r="J323" s="1417"/>
      <c r="K323" s="527" t="str">
        <f t="shared" si="19"/>
        <v/>
      </c>
      <c r="L323" s="518" t="str">
        <f t="shared" si="20"/>
        <v/>
      </c>
      <c r="M323" s="528" t="str">
        <f t="shared" si="24"/>
        <v/>
      </c>
      <c r="N323" s="528" t="str">
        <f t="shared" si="25"/>
        <v/>
      </c>
      <c r="O323" s="526" t="str">
        <f t="shared" si="21"/>
        <v/>
      </c>
      <c r="P323" s="528" t="str">
        <f t="shared" si="22"/>
        <v/>
      </c>
    </row>
    <row r="324" spans="1:16" s="204" customFormat="1" ht="18" hidden="1" customHeight="1" x14ac:dyDescent="0.2">
      <c r="A324" s="518" t="str">
        <f t="shared" si="23"/>
        <v/>
      </c>
      <c r="B324" s="517">
        <f>LARGE($B$15:$B$264,54)</f>
        <v>0</v>
      </c>
      <c r="C324" s="526" t="str">
        <f t="shared" si="14"/>
        <v/>
      </c>
      <c r="D324" s="1416" t="str">
        <f t="shared" si="15"/>
        <v/>
      </c>
      <c r="E324" s="1416"/>
      <c r="F324" s="1416"/>
      <c r="G324" s="526" t="str">
        <f t="shared" si="16"/>
        <v/>
      </c>
      <c r="H324" s="526" t="str">
        <f t="shared" si="17"/>
        <v/>
      </c>
      <c r="I324" s="1417" t="str">
        <f t="shared" si="18"/>
        <v/>
      </c>
      <c r="J324" s="1417"/>
      <c r="K324" s="527" t="str">
        <f t="shared" si="19"/>
        <v/>
      </c>
      <c r="L324" s="518" t="str">
        <f t="shared" si="20"/>
        <v/>
      </c>
      <c r="M324" s="528" t="str">
        <f t="shared" si="24"/>
        <v/>
      </c>
      <c r="N324" s="528" t="str">
        <f t="shared" si="25"/>
        <v/>
      </c>
      <c r="O324" s="526" t="str">
        <f t="shared" si="21"/>
        <v/>
      </c>
      <c r="P324" s="528" t="str">
        <f t="shared" si="22"/>
        <v/>
      </c>
    </row>
    <row r="325" spans="1:16" s="204" customFormat="1" ht="18" hidden="1" customHeight="1" x14ac:dyDescent="0.2">
      <c r="A325" s="518" t="str">
        <f t="shared" si="23"/>
        <v/>
      </c>
      <c r="B325" s="517">
        <f>LARGE($B$15:$B$264,55)</f>
        <v>0</v>
      </c>
      <c r="C325" s="526" t="str">
        <f t="shared" si="14"/>
        <v/>
      </c>
      <c r="D325" s="1416" t="str">
        <f t="shared" si="15"/>
        <v/>
      </c>
      <c r="E325" s="1416"/>
      <c r="F325" s="1416"/>
      <c r="G325" s="526" t="str">
        <f t="shared" si="16"/>
        <v/>
      </c>
      <c r="H325" s="526" t="str">
        <f t="shared" si="17"/>
        <v/>
      </c>
      <c r="I325" s="1417" t="str">
        <f t="shared" si="18"/>
        <v/>
      </c>
      <c r="J325" s="1417"/>
      <c r="K325" s="527" t="str">
        <f t="shared" si="19"/>
        <v/>
      </c>
      <c r="L325" s="518" t="str">
        <f t="shared" si="20"/>
        <v/>
      </c>
      <c r="M325" s="528" t="str">
        <f t="shared" si="24"/>
        <v/>
      </c>
      <c r="N325" s="528" t="str">
        <f t="shared" si="25"/>
        <v/>
      </c>
      <c r="O325" s="526" t="str">
        <f t="shared" si="21"/>
        <v/>
      </c>
      <c r="P325" s="528" t="str">
        <f t="shared" si="22"/>
        <v/>
      </c>
    </row>
    <row r="326" spans="1:16" s="204" customFormat="1" ht="18" hidden="1" customHeight="1" x14ac:dyDescent="0.2">
      <c r="A326" s="518" t="str">
        <f t="shared" si="23"/>
        <v/>
      </c>
      <c r="B326" s="517">
        <f>LARGE($B$15:$B$264,56)</f>
        <v>0</v>
      </c>
      <c r="C326" s="526" t="str">
        <f t="shared" si="14"/>
        <v/>
      </c>
      <c r="D326" s="1416" t="str">
        <f t="shared" si="15"/>
        <v/>
      </c>
      <c r="E326" s="1416"/>
      <c r="F326" s="1416"/>
      <c r="G326" s="526" t="str">
        <f t="shared" si="16"/>
        <v/>
      </c>
      <c r="H326" s="526" t="str">
        <f t="shared" si="17"/>
        <v/>
      </c>
      <c r="I326" s="1417" t="str">
        <f t="shared" si="18"/>
        <v/>
      </c>
      <c r="J326" s="1417"/>
      <c r="K326" s="527" t="str">
        <f t="shared" si="19"/>
        <v/>
      </c>
      <c r="L326" s="518" t="str">
        <f t="shared" si="20"/>
        <v/>
      </c>
      <c r="M326" s="528" t="str">
        <f t="shared" si="24"/>
        <v/>
      </c>
      <c r="N326" s="528" t="str">
        <f t="shared" si="25"/>
        <v/>
      </c>
      <c r="O326" s="526" t="str">
        <f t="shared" si="21"/>
        <v/>
      </c>
      <c r="P326" s="528" t="str">
        <f t="shared" si="22"/>
        <v/>
      </c>
    </row>
    <row r="327" spans="1:16" s="204" customFormat="1" ht="18" hidden="1" customHeight="1" x14ac:dyDescent="0.2">
      <c r="A327" s="518" t="str">
        <f t="shared" si="23"/>
        <v/>
      </c>
      <c r="B327" s="517">
        <f>LARGE($B$15:$B$264,57)</f>
        <v>0</v>
      </c>
      <c r="C327" s="526" t="str">
        <f t="shared" si="14"/>
        <v/>
      </c>
      <c r="D327" s="1416" t="str">
        <f t="shared" si="15"/>
        <v/>
      </c>
      <c r="E327" s="1416"/>
      <c r="F327" s="1416"/>
      <c r="G327" s="526" t="str">
        <f t="shared" si="16"/>
        <v/>
      </c>
      <c r="H327" s="526" t="str">
        <f t="shared" si="17"/>
        <v/>
      </c>
      <c r="I327" s="1417" t="str">
        <f t="shared" si="18"/>
        <v/>
      </c>
      <c r="J327" s="1417"/>
      <c r="K327" s="527" t="str">
        <f t="shared" si="19"/>
        <v/>
      </c>
      <c r="L327" s="518" t="str">
        <f t="shared" si="20"/>
        <v/>
      </c>
      <c r="M327" s="528" t="str">
        <f t="shared" si="24"/>
        <v/>
      </c>
      <c r="N327" s="528" t="str">
        <f t="shared" si="25"/>
        <v/>
      </c>
      <c r="O327" s="526" t="str">
        <f t="shared" si="21"/>
        <v/>
      </c>
      <c r="P327" s="528" t="str">
        <f t="shared" si="22"/>
        <v/>
      </c>
    </row>
    <row r="328" spans="1:16" s="204" customFormat="1" ht="18" hidden="1" customHeight="1" x14ac:dyDescent="0.2">
      <c r="A328" s="518" t="str">
        <f t="shared" si="23"/>
        <v/>
      </c>
      <c r="B328" s="517">
        <f>LARGE($B$15:$B$264,58)</f>
        <v>0</v>
      </c>
      <c r="C328" s="526" t="str">
        <f t="shared" si="14"/>
        <v/>
      </c>
      <c r="D328" s="1416" t="str">
        <f t="shared" si="15"/>
        <v/>
      </c>
      <c r="E328" s="1416"/>
      <c r="F328" s="1416"/>
      <c r="G328" s="526" t="str">
        <f t="shared" si="16"/>
        <v/>
      </c>
      <c r="H328" s="526" t="str">
        <f t="shared" si="17"/>
        <v/>
      </c>
      <c r="I328" s="1417" t="str">
        <f t="shared" si="18"/>
        <v/>
      </c>
      <c r="J328" s="1417"/>
      <c r="K328" s="527" t="str">
        <f t="shared" si="19"/>
        <v/>
      </c>
      <c r="L328" s="518" t="str">
        <f t="shared" si="20"/>
        <v/>
      </c>
      <c r="M328" s="528" t="str">
        <f t="shared" si="24"/>
        <v/>
      </c>
      <c r="N328" s="528" t="str">
        <f t="shared" si="25"/>
        <v/>
      </c>
      <c r="O328" s="526" t="str">
        <f t="shared" si="21"/>
        <v/>
      </c>
      <c r="P328" s="528" t="str">
        <f t="shared" si="22"/>
        <v/>
      </c>
    </row>
    <row r="329" spans="1:16" s="204" customFormat="1" ht="18" hidden="1" customHeight="1" x14ac:dyDescent="0.2">
      <c r="A329" s="518" t="str">
        <f t="shared" si="23"/>
        <v/>
      </c>
      <c r="B329" s="517">
        <f>LARGE($B$15:$B$264,59)</f>
        <v>0</v>
      </c>
      <c r="C329" s="526" t="str">
        <f t="shared" si="14"/>
        <v/>
      </c>
      <c r="D329" s="1416" t="str">
        <f t="shared" si="15"/>
        <v/>
      </c>
      <c r="E329" s="1416"/>
      <c r="F329" s="1416"/>
      <c r="G329" s="526" t="str">
        <f t="shared" si="16"/>
        <v/>
      </c>
      <c r="H329" s="526" t="str">
        <f t="shared" si="17"/>
        <v/>
      </c>
      <c r="I329" s="1417" t="str">
        <f t="shared" si="18"/>
        <v/>
      </c>
      <c r="J329" s="1417"/>
      <c r="K329" s="527" t="str">
        <f t="shared" si="19"/>
        <v/>
      </c>
      <c r="L329" s="518" t="str">
        <f t="shared" si="20"/>
        <v/>
      </c>
      <c r="M329" s="528" t="str">
        <f t="shared" si="24"/>
        <v/>
      </c>
      <c r="N329" s="528" t="str">
        <f t="shared" si="25"/>
        <v/>
      </c>
      <c r="O329" s="526" t="str">
        <f t="shared" si="21"/>
        <v/>
      </c>
      <c r="P329" s="528" t="str">
        <f t="shared" si="22"/>
        <v/>
      </c>
    </row>
    <row r="330" spans="1:16" s="204" customFormat="1" ht="18" hidden="1" customHeight="1" x14ac:dyDescent="0.2">
      <c r="A330" s="518" t="str">
        <f t="shared" si="23"/>
        <v/>
      </c>
      <c r="B330" s="517">
        <f>LARGE($B$15:$B$264,60)</f>
        <v>0</v>
      </c>
      <c r="C330" s="526" t="str">
        <f t="shared" si="14"/>
        <v/>
      </c>
      <c r="D330" s="1416" t="str">
        <f t="shared" si="15"/>
        <v/>
      </c>
      <c r="E330" s="1416"/>
      <c r="F330" s="1416"/>
      <c r="G330" s="526" t="str">
        <f t="shared" si="16"/>
        <v/>
      </c>
      <c r="H330" s="526" t="str">
        <f t="shared" si="17"/>
        <v/>
      </c>
      <c r="I330" s="1417" t="str">
        <f t="shared" si="18"/>
        <v/>
      </c>
      <c r="J330" s="1417"/>
      <c r="K330" s="527" t="str">
        <f t="shared" si="19"/>
        <v/>
      </c>
      <c r="L330" s="518" t="str">
        <f t="shared" si="20"/>
        <v/>
      </c>
      <c r="M330" s="528" t="str">
        <f t="shared" si="24"/>
        <v/>
      </c>
      <c r="N330" s="528" t="str">
        <f t="shared" si="25"/>
        <v/>
      </c>
      <c r="O330" s="526" t="str">
        <f t="shared" si="21"/>
        <v/>
      </c>
      <c r="P330" s="528" t="str">
        <f t="shared" si="22"/>
        <v/>
      </c>
    </row>
    <row r="331" spans="1:16" s="204" customFormat="1" ht="18" hidden="1" customHeight="1" x14ac:dyDescent="0.2">
      <c r="A331" s="518" t="str">
        <f t="shared" si="23"/>
        <v/>
      </c>
      <c r="B331" s="517">
        <f>LARGE($B$15:$B$264,61)</f>
        <v>0</v>
      </c>
      <c r="C331" s="526" t="str">
        <f t="shared" si="14"/>
        <v/>
      </c>
      <c r="D331" s="1416" t="str">
        <f t="shared" si="15"/>
        <v/>
      </c>
      <c r="E331" s="1416"/>
      <c r="F331" s="1416"/>
      <c r="G331" s="526" t="str">
        <f t="shared" si="16"/>
        <v/>
      </c>
      <c r="H331" s="526" t="str">
        <f t="shared" si="17"/>
        <v/>
      </c>
      <c r="I331" s="1417" t="str">
        <f t="shared" si="18"/>
        <v/>
      </c>
      <c r="J331" s="1417"/>
      <c r="K331" s="527" t="str">
        <f t="shared" si="19"/>
        <v/>
      </c>
      <c r="L331" s="518" t="str">
        <f t="shared" si="20"/>
        <v/>
      </c>
      <c r="M331" s="528" t="str">
        <f t="shared" si="24"/>
        <v/>
      </c>
      <c r="N331" s="528" t="str">
        <f t="shared" si="25"/>
        <v/>
      </c>
      <c r="O331" s="526" t="str">
        <f t="shared" si="21"/>
        <v/>
      </c>
      <c r="P331" s="528" t="str">
        <f t="shared" si="22"/>
        <v/>
      </c>
    </row>
    <row r="332" spans="1:16" s="204" customFormat="1" ht="18" hidden="1" customHeight="1" x14ac:dyDescent="0.2">
      <c r="A332" s="518" t="str">
        <f t="shared" si="23"/>
        <v/>
      </c>
      <c r="B332" s="517">
        <f>LARGE($B$15:$B$264,62)</f>
        <v>0</v>
      </c>
      <c r="C332" s="526" t="str">
        <f t="shared" si="14"/>
        <v/>
      </c>
      <c r="D332" s="1416" t="str">
        <f t="shared" si="15"/>
        <v/>
      </c>
      <c r="E332" s="1416"/>
      <c r="F332" s="1416"/>
      <c r="G332" s="526" t="str">
        <f t="shared" si="16"/>
        <v/>
      </c>
      <c r="H332" s="526" t="str">
        <f t="shared" si="17"/>
        <v/>
      </c>
      <c r="I332" s="1417" t="str">
        <f t="shared" si="18"/>
        <v/>
      </c>
      <c r="J332" s="1417"/>
      <c r="K332" s="527" t="str">
        <f t="shared" si="19"/>
        <v/>
      </c>
      <c r="L332" s="518" t="str">
        <f t="shared" si="20"/>
        <v/>
      </c>
      <c r="M332" s="528" t="str">
        <f t="shared" si="24"/>
        <v/>
      </c>
      <c r="N332" s="528" t="str">
        <f t="shared" si="25"/>
        <v/>
      </c>
      <c r="O332" s="526" t="str">
        <f t="shared" si="21"/>
        <v/>
      </c>
      <c r="P332" s="528" t="str">
        <f t="shared" si="22"/>
        <v/>
      </c>
    </row>
    <row r="333" spans="1:16" s="204" customFormat="1" ht="18" hidden="1" customHeight="1" x14ac:dyDescent="0.2">
      <c r="A333" s="518" t="str">
        <f t="shared" si="23"/>
        <v/>
      </c>
      <c r="B333" s="517">
        <f>LARGE($B$15:$B$264,63)</f>
        <v>0</v>
      </c>
      <c r="C333" s="526" t="str">
        <f t="shared" si="14"/>
        <v/>
      </c>
      <c r="D333" s="1416" t="str">
        <f t="shared" si="15"/>
        <v/>
      </c>
      <c r="E333" s="1416"/>
      <c r="F333" s="1416"/>
      <c r="G333" s="526" t="str">
        <f t="shared" si="16"/>
        <v/>
      </c>
      <c r="H333" s="526" t="str">
        <f t="shared" si="17"/>
        <v/>
      </c>
      <c r="I333" s="1417" t="str">
        <f t="shared" si="18"/>
        <v/>
      </c>
      <c r="J333" s="1417"/>
      <c r="K333" s="527" t="str">
        <f t="shared" si="19"/>
        <v/>
      </c>
      <c r="L333" s="518" t="str">
        <f t="shared" si="20"/>
        <v/>
      </c>
      <c r="M333" s="528" t="str">
        <f t="shared" si="24"/>
        <v/>
      </c>
      <c r="N333" s="528" t="str">
        <f t="shared" si="25"/>
        <v/>
      </c>
      <c r="O333" s="526" t="str">
        <f t="shared" si="21"/>
        <v/>
      </c>
      <c r="P333" s="528" t="str">
        <f t="shared" si="22"/>
        <v/>
      </c>
    </row>
    <row r="334" spans="1:16" s="204" customFormat="1" ht="18" hidden="1" customHeight="1" x14ac:dyDescent="0.2">
      <c r="A334" s="518" t="str">
        <f t="shared" si="23"/>
        <v/>
      </c>
      <c r="B334" s="517">
        <f>LARGE($B$15:$B$264,64)</f>
        <v>0</v>
      </c>
      <c r="C334" s="526" t="str">
        <f t="shared" si="14"/>
        <v/>
      </c>
      <c r="D334" s="1416" t="str">
        <f t="shared" si="15"/>
        <v/>
      </c>
      <c r="E334" s="1416"/>
      <c r="F334" s="1416"/>
      <c r="G334" s="526" t="str">
        <f t="shared" si="16"/>
        <v/>
      </c>
      <c r="H334" s="526" t="str">
        <f t="shared" si="17"/>
        <v/>
      </c>
      <c r="I334" s="1417" t="str">
        <f t="shared" si="18"/>
        <v/>
      </c>
      <c r="J334" s="1417"/>
      <c r="K334" s="527" t="str">
        <f t="shared" si="19"/>
        <v/>
      </c>
      <c r="L334" s="518" t="str">
        <f t="shared" si="20"/>
        <v/>
      </c>
      <c r="M334" s="528" t="str">
        <f t="shared" si="24"/>
        <v/>
      </c>
      <c r="N334" s="528" t="str">
        <f t="shared" si="25"/>
        <v/>
      </c>
      <c r="O334" s="526" t="str">
        <f t="shared" si="21"/>
        <v/>
      </c>
      <c r="P334" s="528" t="str">
        <f t="shared" si="22"/>
        <v/>
      </c>
    </row>
    <row r="335" spans="1:16" s="204" customFormat="1" ht="18" hidden="1" customHeight="1" x14ac:dyDescent="0.2">
      <c r="A335" s="518" t="str">
        <f t="shared" si="23"/>
        <v/>
      </c>
      <c r="B335" s="517">
        <f>LARGE($B$15:$B$264,65)</f>
        <v>0</v>
      </c>
      <c r="C335" s="526" t="str">
        <f t="shared" si="14"/>
        <v/>
      </c>
      <c r="D335" s="1416" t="str">
        <f t="shared" si="15"/>
        <v/>
      </c>
      <c r="E335" s="1416"/>
      <c r="F335" s="1416"/>
      <c r="G335" s="526" t="str">
        <f t="shared" si="16"/>
        <v/>
      </c>
      <c r="H335" s="526" t="str">
        <f t="shared" si="17"/>
        <v/>
      </c>
      <c r="I335" s="1417" t="str">
        <f t="shared" si="18"/>
        <v/>
      </c>
      <c r="J335" s="1417"/>
      <c r="K335" s="527" t="str">
        <f t="shared" si="19"/>
        <v/>
      </c>
      <c r="L335" s="518" t="str">
        <f t="shared" si="20"/>
        <v/>
      </c>
      <c r="M335" s="528" t="str">
        <f t="shared" si="24"/>
        <v/>
      </c>
      <c r="N335" s="528" t="str">
        <f t="shared" si="25"/>
        <v/>
      </c>
      <c r="O335" s="526" t="str">
        <f t="shared" si="21"/>
        <v/>
      </c>
      <c r="P335" s="528" t="str">
        <f t="shared" si="22"/>
        <v/>
      </c>
    </row>
    <row r="336" spans="1:16" s="204" customFormat="1" ht="18" hidden="1" customHeight="1" x14ac:dyDescent="0.2">
      <c r="A336" s="518" t="str">
        <f t="shared" ref="A336:A399" si="26">P336</f>
        <v/>
      </c>
      <c r="B336" s="517">
        <f>LARGE($B$15:$B$264,66)</f>
        <v>0</v>
      </c>
      <c r="C336" s="526" t="str">
        <f t="shared" ref="C336:C399" si="27">IFERROR(IF(B336=0,"",VLOOKUP(B336,$B$15:$J$264,2,FALSE)),"")</f>
        <v/>
      </c>
      <c r="D336" s="1416" t="str">
        <f t="shared" ref="D336:D399" si="28">IFERROR(IF(B336=0,"",VLOOKUP(B336,$B$15:$J$264,3,FALSE)),"")</f>
        <v/>
      </c>
      <c r="E336" s="1416"/>
      <c r="F336" s="1416"/>
      <c r="G336" s="526" t="str">
        <f t="shared" ref="G336:G399" si="29">IFERROR(IF(B336=0,"",VLOOKUP(B336,$B$15:$J$264,6,FALSE)),"")</f>
        <v/>
      </c>
      <c r="H336" s="526" t="str">
        <f t="shared" ref="H336:H399" si="30">IFERROR(IF(B336=0,"",VLOOKUP(B336,$B$15:$J$264,7,FALSE)),"")</f>
        <v/>
      </c>
      <c r="I336" s="1417" t="str">
        <f t="shared" ref="I336:I399" si="31">IF(B336=0,"",VLOOKUP(B336,$B$15:$J$264,8,FALSE))</f>
        <v/>
      </c>
      <c r="J336" s="1417"/>
      <c r="K336" s="527" t="str">
        <f t="shared" ref="K336:K399" si="32">IF(B336=0,"",H336*I336)</f>
        <v/>
      </c>
      <c r="L336" s="518" t="str">
        <f t="shared" ref="L336:L399" si="33">O336</f>
        <v/>
      </c>
      <c r="M336" s="528" t="str">
        <f t="shared" ref="M336:M399" si="34">IF(B336=0,"",B336)</f>
        <v/>
      </c>
      <c r="N336" s="528" t="str">
        <f t="shared" si="25"/>
        <v/>
      </c>
      <c r="O336" s="526" t="str">
        <f t="shared" ref="O336:O399" si="35">IF(B336=0,"",(IF(N336&lt;80%,"Si","No")))</f>
        <v/>
      </c>
      <c r="P336" s="528" t="str">
        <f t="shared" ref="P336:P399" si="36">IF(B336=0,"",(IF(M336=$M$521,"Si",(IF(M336&gt;$M$521,"Si","No")))))</f>
        <v/>
      </c>
    </row>
    <row r="337" spans="1:16" s="204" customFormat="1" ht="18" hidden="1" customHeight="1" x14ac:dyDescent="0.2">
      <c r="A337" s="518" t="str">
        <f t="shared" si="26"/>
        <v/>
      </c>
      <c r="B337" s="517">
        <f>LARGE($B$15:$B$264,67)</f>
        <v>0</v>
      </c>
      <c r="C337" s="526" t="str">
        <f t="shared" si="27"/>
        <v/>
      </c>
      <c r="D337" s="1416" t="str">
        <f t="shared" si="28"/>
        <v/>
      </c>
      <c r="E337" s="1416"/>
      <c r="F337" s="1416"/>
      <c r="G337" s="526" t="str">
        <f t="shared" si="29"/>
        <v/>
      </c>
      <c r="H337" s="526" t="str">
        <f t="shared" si="30"/>
        <v/>
      </c>
      <c r="I337" s="1417" t="str">
        <f t="shared" si="31"/>
        <v/>
      </c>
      <c r="J337" s="1417"/>
      <c r="K337" s="527" t="str">
        <f t="shared" si="32"/>
        <v/>
      </c>
      <c r="L337" s="518" t="str">
        <f t="shared" si="33"/>
        <v/>
      </c>
      <c r="M337" s="528" t="str">
        <f t="shared" si="34"/>
        <v/>
      </c>
      <c r="N337" s="528" t="str">
        <f t="shared" ref="N337:N400" si="37">IF(B337=0,"",M337+N336)</f>
        <v/>
      </c>
      <c r="O337" s="526" t="str">
        <f t="shared" si="35"/>
        <v/>
      </c>
      <c r="P337" s="528" t="str">
        <f t="shared" si="36"/>
        <v/>
      </c>
    </row>
    <row r="338" spans="1:16" s="204" customFormat="1" ht="18" hidden="1" customHeight="1" x14ac:dyDescent="0.2">
      <c r="A338" s="518" t="str">
        <f t="shared" si="26"/>
        <v/>
      </c>
      <c r="B338" s="517">
        <f>LARGE($B$15:$B$264,68)</f>
        <v>0</v>
      </c>
      <c r="C338" s="526" t="str">
        <f t="shared" si="27"/>
        <v/>
      </c>
      <c r="D338" s="1416" t="str">
        <f t="shared" si="28"/>
        <v/>
      </c>
      <c r="E338" s="1416"/>
      <c r="F338" s="1416"/>
      <c r="G338" s="526" t="str">
        <f t="shared" si="29"/>
        <v/>
      </c>
      <c r="H338" s="526" t="str">
        <f t="shared" si="30"/>
        <v/>
      </c>
      <c r="I338" s="1417" t="str">
        <f t="shared" si="31"/>
        <v/>
      </c>
      <c r="J338" s="1417"/>
      <c r="K338" s="527" t="str">
        <f t="shared" si="32"/>
        <v/>
      </c>
      <c r="L338" s="518" t="str">
        <f t="shared" si="33"/>
        <v/>
      </c>
      <c r="M338" s="528" t="str">
        <f t="shared" si="34"/>
        <v/>
      </c>
      <c r="N338" s="528" t="str">
        <f t="shared" si="37"/>
        <v/>
      </c>
      <c r="O338" s="526" t="str">
        <f t="shared" si="35"/>
        <v/>
      </c>
      <c r="P338" s="528" t="str">
        <f t="shared" si="36"/>
        <v/>
      </c>
    </row>
    <row r="339" spans="1:16" s="204" customFormat="1" ht="18" hidden="1" customHeight="1" x14ac:dyDescent="0.2">
      <c r="A339" s="518" t="str">
        <f t="shared" si="26"/>
        <v/>
      </c>
      <c r="B339" s="517">
        <f>LARGE($B$15:$B$264,69)</f>
        <v>0</v>
      </c>
      <c r="C339" s="526" t="str">
        <f t="shared" si="27"/>
        <v/>
      </c>
      <c r="D339" s="1416" t="str">
        <f t="shared" si="28"/>
        <v/>
      </c>
      <c r="E339" s="1416"/>
      <c r="F339" s="1416"/>
      <c r="G339" s="526" t="str">
        <f t="shared" si="29"/>
        <v/>
      </c>
      <c r="H339" s="526" t="str">
        <f t="shared" si="30"/>
        <v/>
      </c>
      <c r="I339" s="1417" t="str">
        <f t="shared" si="31"/>
        <v/>
      </c>
      <c r="J339" s="1417"/>
      <c r="K339" s="527" t="str">
        <f t="shared" si="32"/>
        <v/>
      </c>
      <c r="L339" s="518" t="str">
        <f t="shared" si="33"/>
        <v/>
      </c>
      <c r="M339" s="528" t="str">
        <f t="shared" si="34"/>
        <v/>
      </c>
      <c r="N339" s="528" t="str">
        <f t="shared" si="37"/>
        <v/>
      </c>
      <c r="O339" s="526" t="str">
        <f t="shared" si="35"/>
        <v/>
      </c>
      <c r="P339" s="528" t="str">
        <f t="shared" si="36"/>
        <v/>
      </c>
    </row>
    <row r="340" spans="1:16" s="204" customFormat="1" ht="18" hidden="1" customHeight="1" x14ac:dyDescent="0.2">
      <c r="A340" s="518" t="str">
        <f t="shared" si="26"/>
        <v/>
      </c>
      <c r="B340" s="517">
        <f>LARGE($B$15:$B$264,70)</f>
        <v>0</v>
      </c>
      <c r="C340" s="526" t="str">
        <f t="shared" si="27"/>
        <v/>
      </c>
      <c r="D340" s="1416" t="str">
        <f t="shared" si="28"/>
        <v/>
      </c>
      <c r="E340" s="1416"/>
      <c r="F340" s="1416"/>
      <c r="G340" s="526" t="str">
        <f t="shared" si="29"/>
        <v/>
      </c>
      <c r="H340" s="526" t="str">
        <f t="shared" si="30"/>
        <v/>
      </c>
      <c r="I340" s="1417" t="str">
        <f t="shared" si="31"/>
        <v/>
      </c>
      <c r="J340" s="1417"/>
      <c r="K340" s="527" t="str">
        <f t="shared" si="32"/>
        <v/>
      </c>
      <c r="L340" s="518" t="str">
        <f t="shared" si="33"/>
        <v/>
      </c>
      <c r="M340" s="528" t="str">
        <f t="shared" si="34"/>
        <v/>
      </c>
      <c r="N340" s="528" t="str">
        <f t="shared" si="37"/>
        <v/>
      </c>
      <c r="O340" s="526" t="str">
        <f t="shared" si="35"/>
        <v/>
      </c>
      <c r="P340" s="528" t="str">
        <f t="shared" si="36"/>
        <v/>
      </c>
    </row>
    <row r="341" spans="1:16" s="204" customFormat="1" ht="18" hidden="1" customHeight="1" x14ac:dyDescent="0.2">
      <c r="A341" s="518" t="str">
        <f t="shared" si="26"/>
        <v/>
      </c>
      <c r="B341" s="517">
        <f>LARGE($B$15:$B$264,71)</f>
        <v>0</v>
      </c>
      <c r="C341" s="526" t="str">
        <f t="shared" si="27"/>
        <v/>
      </c>
      <c r="D341" s="1416" t="str">
        <f t="shared" si="28"/>
        <v/>
      </c>
      <c r="E341" s="1416"/>
      <c r="F341" s="1416"/>
      <c r="G341" s="526" t="str">
        <f t="shared" si="29"/>
        <v/>
      </c>
      <c r="H341" s="526" t="str">
        <f t="shared" si="30"/>
        <v/>
      </c>
      <c r="I341" s="1417" t="str">
        <f t="shared" si="31"/>
        <v/>
      </c>
      <c r="J341" s="1417"/>
      <c r="K341" s="527" t="str">
        <f t="shared" si="32"/>
        <v/>
      </c>
      <c r="L341" s="518" t="str">
        <f t="shared" si="33"/>
        <v/>
      </c>
      <c r="M341" s="528" t="str">
        <f t="shared" si="34"/>
        <v/>
      </c>
      <c r="N341" s="528" t="str">
        <f t="shared" si="37"/>
        <v/>
      </c>
      <c r="O341" s="526" t="str">
        <f t="shared" si="35"/>
        <v/>
      </c>
      <c r="P341" s="528" t="str">
        <f t="shared" si="36"/>
        <v/>
      </c>
    </row>
    <row r="342" spans="1:16" s="204" customFormat="1" ht="18" hidden="1" customHeight="1" x14ac:dyDescent="0.2">
      <c r="A342" s="518" t="str">
        <f t="shared" si="26"/>
        <v/>
      </c>
      <c r="B342" s="517">
        <f>LARGE($B$15:$B$264,72)</f>
        <v>0</v>
      </c>
      <c r="C342" s="526" t="str">
        <f t="shared" si="27"/>
        <v/>
      </c>
      <c r="D342" s="1416" t="str">
        <f t="shared" si="28"/>
        <v/>
      </c>
      <c r="E342" s="1416"/>
      <c r="F342" s="1416"/>
      <c r="G342" s="526" t="str">
        <f t="shared" si="29"/>
        <v/>
      </c>
      <c r="H342" s="526" t="str">
        <f t="shared" si="30"/>
        <v/>
      </c>
      <c r="I342" s="1417" t="str">
        <f t="shared" si="31"/>
        <v/>
      </c>
      <c r="J342" s="1417"/>
      <c r="K342" s="527" t="str">
        <f t="shared" si="32"/>
        <v/>
      </c>
      <c r="L342" s="518" t="str">
        <f t="shared" si="33"/>
        <v/>
      </c>
      <c r="M342" s="528" t="str">
        <f t="shared" si="34"/>
        <v/>
      </c>
      <c r="N342" s="528" t="str">
        <f t="shared" si="37"/>
        <v/>
      </c>
      <c r="O342" s="526" t="str">
        <f t="shared" si="35"/>
        <v/>
      </c>
      <c r="P342" s="528" t="str">
        <f t="shared" si="36"/>
        <v/>
      </c>
    </row>
    <row r="343" spans="1:16" s="204" customFormat="1" ht="18" hidden="1" customHeight="1" x14ac:dyDescent="0.2">
      <c r="A343" s="518" t="str">
        <f t="shared" si="26"/>
        <v/>
      </c>
      <c r="B343" s="517">
        <f>LARGE($B$15:$B$264,73)</f>
        <v>0</v>
      </c>
      <c r="C343" s="526" t="str">
        <f t="shared" si="27"/>
        <v/>
      </c>
      <c r="D343" s="1416" t="str">
        <f t="shared" si="28"/>
        <v/>
      </c>
      <c r="E343" s="1416"/>
      <c r="F343" s="1416"/>
      <c r="G343" s="526" t="str">
        <f t="shared" si="29"/>
        <v/>
      </c>
      <c r="H343" s="526" t="str">
        <f t="shared" si="30"/>
        <v/>
      </c>
      <c r="I343" s="1417" t="str">
        <f t="shared" si="31"/>
        <v/>
      </c>
      <c r="J343" s="1417"/>
      <c r="K343" s="527" t="str">
        <f t="shared" si="32"/>
        <v/>
      </c>
      <c r="L343" s="518" t="str">
        <f t="shared" si="33"/>
        <v/>
      </c>
      <c r="M343" s="528" t="str">
        <f t="shared" si="34"/>
        <v/>
      </c>
      <c r="N343" s="528" t="str">
        <f t="shared" si="37"/>
        <v/>
      </c>
      <c r="O343" s="526" t="str">
        <f t="shared" si="35"/>
        <v/>
      </c>
      <c r="P343" s="528" t="str">
        <f t="shared" si="36"/>
        <v/>
      </c>
    </row>
    <row r="344" spans="1:16" s="204" customFormat="1" ht="18" hidden="1" customHeight="1" x14ac:dyDescent="0.2">
      <c r="A344" s="518" t="str">
        <f t="shared" si="26"/>
        <v/>
      </c>
      <c r="B344" s="517">
        <f>LARGE($B$15:$B$264,74)</f>
        <v>0</v>
      </c>
      <c r="C344" s="526" t="str">
        <f t="shared" si="27"/>
        <v/>
      </c>
      <c r="D344" s="1416" t="str">
        <f t="shared" si="28"/>
        <v/>
      </c>
      <c r="E344" s="1416"/>
      <c r="F344" s="1416"/>
      <c r="G344" s="526" t="str">
        <f t="shared" si="29"/>
        <v/>
      </c>
      <c r="H344" s="526" t="str">
        <f t="shared" si="30"/>
        <v/>
      </c>
      <c r="I344" s="1417" t="str">
        <f t="shared" si="31"/>
        <v/>
      </c>
      <c r="J344" s="1417"/>
      <c r="K344" s="527" t="str">
        <f t="shared" si="32"/>
        <v/>
      </c>
      <c r="L344" s="518" t="str">
        <f t="shared" si="33"/>
        <v/>
      </c>
      <c r="M344" s="528" t="str">
        <f t="shared" si="34"/>
        <v/>
      </c>
      <c r="N344" s="528" t="str">
        <f t="shared" si="37"/>
        <v/>
      </c>
      <c r="O344" s="526" t="str">
        <f t="shared" si="35"/>
        <v/>
      </c>
      <c r="P344" s="528" t="str">
        <f t="shared" si="36"/>
        <v/>
      </c>
    </row>
    <row r="345" spans="1:16" s="204" customFormat="1" ht="18" hidden="1" customHeight="1" x14ac:dyDescent="0.2">
      <c r="A345" s="518" t="str">
        <f t="shared" si="26"/>
        <v/>
      </c>
      <c r="B345" s="517">
        <f>LARGE($B$15:$B$264,75)</f>
        <v>0</v>
      </c>
      <c r="C345" s="526" t="str">
        <f t="shared" si="27"/>
        <v/>
      </c>
      <c r="D345" s="1416" t="str">
        <f t="shared" si="28"/>
        <v/>
      </c>
      <c r="E345" s="1416"/>
      <c r="F345" s="1416"/>
      <c r="G345" s="526" t="str">
        <f t="shared" si="29"/>
        <v/>
      </c>
      <c r="H345" s="526" t="str">
        <f t="shared" si="30"/>
        <v/>
      </c>
      <c r="I345" s="1417" t="str">
        <f t="shared" si="31"/>
        <v/>
      </c>
      <c r="J345" s="1417"/>
      <c r="K345" s="527" t="str">
        <f t="shared" si="32"/>
        <v/>
      </c>
      <c r="L345" s="518" t="str">
        <f t="shared" si="33"/>
        <v/>
      </c>
      <c r="M345" s="528" t="str">
        <f t="shared" si="34"/>
        <v/>
      </c>
      <c r="N345" s="528" t="str">
        <f t="shared" si="37"/>
        <v/>
      </c>
      <c r="O345" s="526" t="str">
        <f t="shared" si="35"/>
        <v/>
      </c>
      <c r="P345" s="528" t="str">
        <f t="shared" si="36"/>
        <v/>
      </c>
    </row>
    <row r="346" spans="1:16" s="204" customFormat="1" ht="18" hidden="1" customHeight="1" x14ac:dyDescent="0.2">
      <c r="A346" s="518" t="str">
        <f t="shared" si="26"/>
        <v/>
      </c>
      <c r="B346" s="517">
        <f>LARGE($B$15:$B$264,76)</f>
        <v>0</v>
      </c>
      <c r="C346" s="526" t="str">
        <f t="shared" si="27"/>
        <v/>
      </c>
      <c r="D346" s="1416" t="str">
        <f t="shared" si="28"/>
        <v/>
      </c>
      <c r="E346" s="1416"/>
      <c r="F346" s="1416"/>
      <c r="G346" s="526" t="str">
        <f t="shared" si="29"/>
        <v/>
      </c>
      <c r="H346" s="526" t="str">
        <f t="shared" si="30"/>
        <v/>
      </c>
      <c r="I346" s="1417" t="str">
        <f t="shared" si="31"/>
        <v/>
      </c>
      <c r="J346" s="1417"/>
      <c r="K346" s="527" t="str">
        <f t="shared" si="32"/>
        <v/>
      </c>
      <c r="L346" s="518" t="str">
        <f t="shared" si="33"/>
        <v/>
      </c>
      <c r="M346" s="528" t="str">
        <f t="shared" si="34"/>
        <v/>
      </c>
      <c r="N346" s="528" t="str">
        <f t="shared" si="37"/>
        <v/>
      </c>
      <c r="O346" s="526" t="str">
        <f t="shared" si="35"/>
        <v/>
      </c>
      <c r="P346" s="528" t="str">
        <f t="shared" si="36"/>
        <v/>
      </c>
    </row>
    <row r="347" spans="1:16" s="204" customFormat="1" ht="18" hidden="1" customHeight="1" x14ac:dyDescent="0.2">
      <c r="A347" s="518" t="str">
        <f t="shared" si="26"/>
        <v/>
      </c>
      <c r="B347" s="517">
        <f>LARGE($B$15:$B$264,77)</f>
        <v>0</v>
      </c>
      <c r="C347" s="526" t="str">
        <f t="shared" si="27"/>
        <v/>
      </c>
      <c r="D347" s="1416" t="str">
        <f t="shared" si="28"/>
        <v/>
      </c>
      <c r="E347" s="1416"/>
      <c r="F347" s="1416"/>
      <c r="G347" s="526" t="str">
        <f t="shared" si="29"/>
        <v/>
      </c>
      <c r="H347" s="526" t="str">
        <f t="shared" si="30"/>
        <v/>
      </c>
      <c r="I347" s="1417" t="str">
        <f t="shared" si="31"/>
        <v/>
      </c>
      <c r="J347" s="1417"/>
      <c r="K347" s="527" t="str">
        <f t="shared" si="32"/>
        <v/>
      </c>
      <c r="L347" s="518" t="str">
        <f t="shared" si="33"/>
        <v/>
      </c>
      <c r="M347" s="528" t="str">
        <f t="shared" si="34"/>
        <v/>
      </c>
      <c r="N347" s="528" t="str">
        <f t="shared" si="37"/>
        <v/>
      </c>
      <c r="O347" s="526" t="str">
        <f t="shared" si="35"/>
        <v/>
      </c>
      <c r="P347" s="528" t="str">
        <f t="shared" si="36"/>
        <v/>
      </c>
    </row>
    <row r="348" spans="1:16" s="204" customFormat="1" ht="18" hidden="1" customHeight="1" x14ac:dyDescent="0.2">
      <c r="A348" s="518" t="str">
        <f t="shared" si="26"/>
        <v/>
      </c>
      <c r="B348" s="517">
        <f>LARGE($B$15:$B$264,78)</f>
        <v>0</v>
      </c>
      <c r="C348" s="526" t="str">
        <f t="shared" si="27"/>
        <v/>
      </c>
      <c r="D348" s="1416" t="str">
        <f t="shared" si="28"/>
        <v/>
      </c>
      <c r="E348" s="1416"/>
      <c r="F348" s="1416"/>
      <c r="G348" s="526" t="str">
        <f t="shared" si="29"/>
        <v/>
      </c>
      <c r="H348" s="526" t="str">
        <f t="shared" si="30"/>
        <v/>
      </c>
      <c r="I348" s="1417" t="str">
        <f t="shared" si="31"/>
        <v/>
      </c>
      <c r="J348" s="1417"/>
      <c r="K348" s="527" t="str">
        <f t="shared" si="32"/>
        <v/>
      </c>
      <c r="L348" s="518" t="str">
        <f t="shared" si="33"/>
        <v/>
      </c>
      <c r="M348" s="528" t="str">
        <f t="shared" si="34"/>
        <v/>
      </c>
      <c r="N348" s="528" t="str">
        <f t="shared" si="37"/>
        <v/>
      </c>
      <c r="O348" s="526" t="str">
        <f t="shared" si="35"/>
        <v/>
      </c>
      <c r="P348" s="528" t="str">
        <f t="shared" si="36"/>
        <v/>
      </c>
    </row>
    <row r="349" spans="1:16" s="204" customFormat="1" ht="18" hidden="1" customHeight="1" x14ac:dyDescent="0.2">
      <c r="A349" s="518" t="str">
        <f t="shared" si="26"/>
        <v/>
      </c>
      <c r="B349" s="517">
        <f>LARGE($B$15:$B$264,79)</f>
        <v>0</v>
      </c>
      <c r="C349" s="526" t="str">
        <f t="shared" si="27"/>
        <v/>
      </c>
      <c r="D349" s="1416" t="str">
        <f t="shared" si="28"/>
        <v/>
      </c>
      <c r="E349" s="1416"/>
      <c r="F349" s="1416"/>
      <c r="G349" s="526" t="str">
        <f t="shared" si="29"/>
        <v/>
      </c>
      <c r="H349" s="526" t="str">
        <f t="shared" si="30"/>
        <v/>
      </c>
      <c r="I349" s="1417" t="str">
        <f t="shared" si="31"/>
        <v/>
      </c>
      <c r="J349" s="1417"/>
      <c r="K349" s="527" t="str">
        <f t="shared" si="32"/>
        <v/>
      </c>
      <c r="L349" s="518" t="str">
        <f t="shared" si="33"/>
        <v/>
      </c>
      <c r="M349" s="528" t="str">
        <f t="shared" si="34"/>
        <v/>
      </c>
      <c r="N349" s="528" t="str">
        <f t="shared" si="37"/>
        <v/>
      </c>
      <c r="O349" s="526" t="str">
        <f t="shared" si="35"/>
        <v/>
      </c>
      <c r="P349" s="528" t="str">
        <f t="shared" si="36"/>
        <v/>
      </c>
    </row>
    <row r="350" spans="1:16" s="204" customFormat="1" ht="18" hidden="1" customHeight="1" x14ac:dyDescent="0.2">
      <c r="A350" s="518" t="str">
        <f t="shared" si="26"/>
        <v/>
      </c>
      <c r="B350" s="517">
        <f>LARGE($B$15:$B$264,80)</f>
        <v>0</v>
      </c>
      <c r="C350" s="526" t="str">
        <f t="shared" si="27"/>
        <v/>
      </c>
      <c r="D350" s="1416" t="str">
        <f t="shared" si="28"/>
        <v/>
      </c>
      <c r="E350" s="1416"/>
      <c r="F350" s="1416"/>
      <c r="G350" s="526" t="str">
        <f t="shared" si="29"/>
        <v/>
      </c>
      <c r="H350" s="526" t="str">
        <f t="shared" si="30"/>
        <v/>
      </c>
      <c r="I350" s="1417" t="str">
        <f t="shared" si="31"/>
        <v/>
      </c>
      <c r="J350" s="1417"/>
      <c r="K350" s="527" t="str">
        <f t="shared" si="32"/>
        <v/>
      </c>
      <c r="L350" s="518" t="str">
        <f t="shared" si="33"/>
        <v/>
      </c>
      <c r="M350" s="528" t="str">
        <f t="shared" si="34"/>
        <v/>
      </c>
      <c r="N350" s="528" t="str">
        <f t="shared" si="37"/>
        <v/>
      </c>
      <c r="O350" s="526" t="str">
        <f t="shared" si="35"/>
        <v/>
      </c>
      <c r="P350" s="528" t="str">
        <f t="shared" si="36"/>
        <v/>
      </c>
    </row>
    <row r="351" spans="1:16" s="204" customFormat="1" ht="18" hidden="1" customHeight="1" x14ac:dyDescent="0.2">
      <c r="A351" s="518" t="str">
        <f t="shared" si="26"/>
        <v/>
      </c>
      <c r="B351" s="517">
        <f>LARGE($B$15:$B$264,81)</f>
        <v>0</v>
      </c>
      <c r="C351" s="526" t="str">
        <f t="shared" si="27"/>
        <v/>
      </c>
      <c r="D351" s="1416" t="str">
        <f t="shared" si="28"/>
        <v/>
      </c>
      <c r="E351" s="1416"/>
      <c r="F351" s="1416"/>
      <c r="G351" s="526" t="str">
        <f t="shared" si="29"/>
        <v/>
      </c>
      <c r="H351" s="526" t="str">
        <f t="shared" si="30"/>
        <v/>
      </c>
      <c r="I351" s="1417" t="str">
        <f t="shared" si="31"/>
        <v/>
      </c>
      <c r="J351" s="1417"/>
      <c r="K351" s="527" t="str">
        <f t="shared" si="32"/>
        <v/>
      </c>
      <c r="L351" s="518" t="str">
        <f t="shared" si="33"/>
        <v/>
      </c>
      <c r="M351" s="528" t="str">
        <f t="shared" si="34"/>
        <v/>
      </c>
      <c r="N351" s="528" t="str">
        <f t="shared" si="37"/>
        <v/>
      </c>
      <c r="O351" s="526" t="str">
        <f t="shared" si="35"/>
        <v/>
      </c>
      <c r="P351" s="528" t="str">
        <f t="shared" si="36"/>
        <v/>
      </c>
    </row>
    <row r="352" spans="1:16" s="204" customFormat="1" ht="18" hidden="1" customHeight="1" x14ac:dyDescent="0.2">
      <c r="A352" s="518" t="str">
        <f t="shared" si="26"/>
        <v/>
      </c>
      <c r="B352" s="517">
        <f>LARGE($B$15:$B$264,82)</f>
        <v>0</v>
      </c>
      <c r="C352" s="526" t="str">
        <f t="shared" si="27"/>
        <v/>
      </c>
      <c r="D352" s="1416" t="str">
        <f t="shared" si="28"/>
        <v/>
      </c>
      <c r="E352" s="1416"/>
      <c r="F352" s="1416"/>
      <c r="G352" s="526" t="str">
        <f t="shared" si="29"/>
        <v/>
      </c>
      <c r="H352" s="526" t="str">
        <f t="shared" si="30"/>
        <v/>
      </c>
      <c r="I352" s="1417" t="str">
        <f t="shared" si="31"/>
        <v/>
      </c>
      <c r="J352" s="1417"/>
      <c r="K352" s="527" t="str">
        <f t="shared" si="32"/>
        <v/>
      </c>
      <c r="L352" s="518" t="str">
        <f t="shared" si="33"/>
        <v/>
      </c>
      <c r="M352" s="528" t="str">
        <f t="shared" si="34"/>
        <v/>
      </c>
      <c r="N352" s="528" t="str">
        <f t="shared" si="37"/>
        <v/>
      </c>
      <c r="O352" s="526" t="str">
        <f t="shared" si="35"/>
        <v/>
      </c>
      <c r="P352" s="528" t="str">
        <f t="shared" si="36"/>
        <v/>
      </c>
    </row>
    <row r="353" spans="1:16" s="204" customFormat="1" ht="18" hidden="1" customHeight="1" x14ac:dyDescent="0.2">
      <c r="A353" s="518" t="str">
        <f t="shared" si="26"/>
        <v/>
      </c>
      <c r="B353" s="517">
        <f>LARGE($B$15:$B$264,83)</f>
        <v>0</v>
      </c>
      <c r="C353" s="526" t="str">
        <f t="shared" si="27"/>
        <v/>
      </c>
      <c r="D353" s="1416" t="str">
        <f t="shared" si="28"/>
        <v/>
      </c>
      <c r="E353" s="1416"/>
      <c r="F353" s="1416"/>
      <c r="G353" s="526" t="str">
        <f t="shared" si="29"/>
        <v/>
      </c>
      <c r="H353" s="526" t="str">
        <f t="shared" si="30"/>
        <v/>
      </c>
      <c r="I353" s="1417" t="str">
        <f t="shared" si="31"/>
        <v/>
      </c>
      <c r="J353" s="1417"/>
      <c r="K353" s="527" t="str">
        <f t="shared" si="32"/>
        <v/>
      </c>
      <c r="L353" s="518" t="str">
        <f t="shared" si="33"/>
        <v/>
      </c>
      <c r="M353" s="528" t="str">
        <f t="shared" si="34"/>
        <v/>
      </c>
      <c r="N353" s="528" t="str">
        <f t="shared" si="37"/>
        <v/>
      </c>
      <c r="O353" s="526" t="str">
        <f t="shared" si="35"/>
        <v/>
      </c>
      <c r="P353" s="528" t="str">
        <f t="shared" si="36"/>
        <v/>
      </c>
    </row>
    <row r="354" spans="1:16" s="204" customFormat="1" ht="18" hidden="1" customHeight="1" x14ac:dyDescent="0.2">
      <c r="A354" s="518" t="str">
        <f t="shared" si="26"/>
        <v/>
      </c>
      <c r="B354" s="517">
        <f>LARGE($B$15:$B$264,84)</f>
        <v>0</v>
      </c>
      <c r="C354" s="526" t="str">
        <f t="shared" si="27"/>
        <v/>
      </c>
      <c r="D354" s="1416" t="str">
        <f t="shared" si="28"/>
        <v/>
      </c>
      <c r="E354" s="1416"/>
      <c r="F354" s="1416"/>
      <c r="G354" s="526" t="str">
        <f t="shared" si="29"/>
        <v/>
      </c>
      <c r="H354" s="526" t="str">
        <f t="shared" si="30"/>
        <v/>
      </c>
      <c r="I354" s="1417" t="str">
        <f t="shared" si="31"/>
        <v/>
      </c>
      <c r="J354" s="1417"/>
      <c r="K354" s="527" t="str">
        <f t="shared" si="32"/>
        <v/>
      </c>
      <c r="L354" s="518" t="str">
        <f t="shared" si="33"/>
        <v/>
      </c>
      <c r="M354" s="528" t="str">
        <f t="shared" si="34"/>
        <v/>
      </c>
      <c r="N354" s="528" t="str">
        <f t="shared" si="37"/>
        <v/>
      </c>
      <c r="O354" s="526" t="str">
        <f t="shared" si="35"/>
        <v/>
      </c>
      <c r="P354" s="528" t="str">
        <f t="shared" si="36"/>
        <v/>
      </c>
    </row>
    <row r="355" spans="1:16" s="204" customFormat="1" ht="18" hidden="1" customHeight="1" x14ac:dyDescent="0.2">
      <c r="A355" s="518" t="str">
        <f t="shared" si="26"/>
        <v/>
      </c>
      <c r="B355" s="517">
        <f>LARGE($B$15:$B$264,85)</f>
        <v>0</v>
      </c>
      <c r="C355" s="526" t="str">
        <f t="shared" si="27"/>
        <v/>
      </c>
      <c r="D355" s="1416" t="str">
        <f t="shared" si="28"/>
        <v/>
      </c>
      <c r="E355" s="1416"/>
      <c r="F355" s="1416"/>
      <c r="G355" s="526" t="str">
        <f t="shared" si="29"/>
        <v/>
      </c>
      <c r="H355" s="526" t="str">
        <f t="shared" si="30"/>
        <v/>
      </c>
      <c r="I355" s="1417" t="str">
        <f t="shared" si="31"/>
        <v/>
      </c>
      <c r="J355" s="1417"/>
      <c r="K355" s="527" t="str">
        <f t="shared" si="32"/>
        <v/>
      </c>
      <c r="L355" s="518" t="str">
        <f t="shared" si="33"/>
        <v/>
      </c>
      <c r="M355" s="528" t="str">
        <f t="shared" si="34"/>
        <v/>
      </c>
      <c r="N355" s="528" t="str">
        <f t="shared" si="37"/>
        <v/>
      </c>
      <c r="O355" s="526" t="str">
        <f t="shared" si="35"/>
        <v/>
      </c>
      <c r="P355" s="528" t="str">
        <f t="shared" si="36"/>
        <v/>
      </c>
    </row>
    <row r="356" spans="1:16" s="204" customFormat="1" ht="18" hidden="1" customHeight="1" x14ac:dyDescent="0.2">
      <c r="A356" s="518" t="str">
        <f t="shared" si="26"/>
        <v/>
      </c>
      <c r="B356" s="517">
        <f>LARGE($B$15:$B$264,86)</f>
        <v>0</v>
      </c>
      <c r="C356" s="526" t="str">
        <f t="shared" si="27"/>
        <v/>
      </c>
      <c r="D356" s="1416" t="str">
        <f t="shared" si="28"/>
        <v/>
      </c>
      <c r="E356" s="1416"/>
      <c r="F356" s="1416"/>
      <c r="G356" s="526" t="str">
        <f t="shared" si="29"/>
        <v/>
      </c>
      <c r="H356" s="526" t="str">
        <f t="shared" si="30"/>
        <v/>
      </c>
      <c r="I356" s="1417" t="str">
        <f t="shared" si="31"/>
        <v/>
      </c>
      <c r="J356" s="1417"/>
      <c r="K356" s="527" t="str">
        <f t="shared" si="32"/>
        <v/>
      </c>
      <c r="L356" s="518" t="str">
        <f t="shared" si="33"/>
        <v/>
      </c>
      <c r="M356" s="528" t="str">
        <f t="shared" si="34"/>
        <v/>
      </c>
      <c r="N356" s="528" t="str">
        <f t="shared" si="37"/>
        <v/>
      </c>
      <c r="O356" s="526" t="str">
        <f t="shared" si="35"/>
        <v/>
      </c>
      <c r="P356" s="528" t="str">
        <f t="shared" si="36"/>
        <v/>
      </c>
    </row>
    <row r="357" spans="1:16" s="204" customFormat="1" ht="18" hidden="1" customHeight="1" x14ac:dyDescent="0.2">
      <c r="A357" s="518" t="str">
        <f t="shared" si="26"/>
        <v/>
      </c>
      <c r="B357" s="517">
        <f>LARGE($B$15:$B$264,87)</f>
        <v>0</v>
      </c>
      <c r="C357" s="526" t="str">
        <f t="shared" si="27"/>
        <v/>
      </c>
      <c r="D357" s="1416" t="str">
        <f t="shared" si="28"/>
        <v/>
      </c>
      <c r="E357" s="1416"/>
      <c r="F357" s="1416"/>
      <c r="G357" s="526" t="str">
        <f t="shared" si="29"/>
        <v/>
      </c>
      <c r="H357" s="526" t="str">
        <f t="shared" si="30"/>
        <v/>
      </c>
      <c r="I357" s="1417" t="str">
        <f t="shared" si="31"/>
        <v/>
      </c>
      <c r="J357" s="1417"/>
      <c r="K357" s="527" t="str">
        <f t="shared" si="32"/>
        <v/>
      </c>
      <c r="L357" s="518" t="str">
        <f t="shared" si="33"/>
        <v/>
      </c>
      <c r="M357" s="528" t="str">
        <f t="shared" si="34"/>
        <v/>
      </c>
      <c r="N357" s="528" t="str">
        <f t="shared" si="37"/>
        <v/>
      </c>
      <c r="O357" s="526" t="str">
        <f t="shared" si="35"/>
        <v/>
      </c>
      <c r="P357" s="528" t="str">
        <f t="shared" si="36"/>
        <v/>
      </c>
    </row>
    <row r="358" spans="1:16" s="204" customFormat="1" ht="18" hidden="1" customHeight="1" x14ac:dyDescent="0.2">
      <c r="A358" s="518" t="str">
        <f t="shared" si="26"/>
        <v/>
      </c>
      <c r="B358" s="517">
        <f>LARGE($B$15:$B$264,88)</f>
        <v>0</v>
      </c>
      <c r="C358" s="526" t="str">
        <f t="shared" si="27"/>
        <v/>
      </c>
      <c r="D358" s="1416" t="str">
        <f t="shared" si="28"/>
        <v/>
      </c>
      <c r="E358" s="1416"/>
      <c r="F358" s="1416"/>
      <c r="G358" s="526" t="str">
        <f t="shared" si="29"/>
        <v/>
      </c>
      <c r="H358" s="526" t="str">
        <f t="shared" si="30"/>
        <v/>
      </c>
      <c r="I358" s="1417" t="str">
        <f t="shared" si="31"/>
        <v/>
      </c>
      <c r="J358" s="1417"/>
      <c r="K358" s="527" t="str">
        <f t="shared" si="32"/>
        <v/>
      </c>
      <c r="L358" s="518" t="str">
        <f t="shared" si="33"/>
        <v/>
      </c>
      <c r="M358" s="528" t="str">
        <f t="shared" si="34"/>
        <v/>
      </c>
      <c r="N358" s="528" t="str">
        <f t="shared" si="37"/>
        <v/>
      </c>
      <c r="O358" s="526" t="str">
        <f t="shared" si="35"/>
        <v/>
      </c>
      <c r="P358" s="528" t="str">
        <f t="shared" si="36"/>
        <v/>
      </c>
    </row>
    <row r="359" spans="1:16" s="204" customFormat="1" ht="18" hidden="1" customHeight="1" x14ac:dyDescent="0.2">
      <c r="A359" s="518" t="str">
        <f t="shared" si="26"/>
        <v/>
      </c>
      <c r="B359" s="517">
        <f>LARGE($B$15:$B$264,89)</f>
        <v>0</v>
      </c>
      <c r="C359" s="526" t="str">
        <f t="shared" si="27"/>
        <v/>
      </c>
      <c r="D359" s="1416" t="str">
        <f t="shared" si="28"/>
        <v/>
      </c>
      <c r="E359" s="1416"/>
      <c r="F359" s="1416"/>
      <c r="G359" s="526" t="str">
        <f t="shared" si="29"/>
        <v/>
      </c>
      <c r="H359" s="526" t="str">
        <f t="shared" si="30"/>
        <v/>
      </c>
      <c r="I359" s="1417" t="str">
        <f t="shared" si="31"/>
        <v/>
      </c>
      <c r="J359" s="1417"/>
      <c r="K359" s="527" t="str">
        <f t="shared" si="32"/>
        <v/>
      </c>
      <c r="L359" s="518" t="str">
        <f t="shared" si="33"/>
        <v/>
      </c>
      <c r="M359" s="528" t="str">
        <f t="shared" si="34"/>
        <v/>
      </c>
      <c r="N359" s="528" t="str">
        <f t="shared" si="37"/>
        <v/>
      </c>
      <c r="O359" s="526" t="str">
        <f t="shared" si="35"/>
        <v/>
      </c>
      <c r="P359" s="528" t="str">
        <f t="shared" si="36"/>
        <v/>
      </c>
    </row>
    <row r="360" spans="1:16" s="204" customFormat="1" ht="18" hidden="1" customHeight="1" x14ac:dyDescent="0.2">
      <c r="A360" s="518" t="str">
        <f t="shared" si="26"/>
        <v/>
      </c>
      <c r="B360" s="517">
        <f>LARGE($B$15:$B$264,90)</f>
        <v>0</v>
      </c>
      <c r="C360" s="526" t="str">
        <f t="shared" si="27"/>
        <v/>
      </c>
      <c r="D360" s="1416" t="str">
        <f t="shared" si="28"/>
        <v/>
      </c>
      <c r="E360" s="1416"/>
      <c r="F360" s="1416"/>
      <c r="G360" s="526" t="str">
        <f t="shared" si="29"/>
        <v/>
      </c>
      <c r="H360" s="526" t="str">
        <f t="shared" si="30"/>
        <v/>
      </c>
      <c r="I360" s="1417" t="str">
        <f t="shared" si="31"/>
        <v/>
      </c>
      <c r="J360" s="1417"/>
      <c r="K360" s="527" t="str">
        <f t="shared" si="32"/>
        <v/>
      </c>
      <c r="L360" s="518" t="str">
        <f t="shared" si="33"/>
        <v/>
      </c>
      <c r="M360" s="528" t="str">
        <f t="shared" si="34"/>
        <v/>
      </c>
      <c r="N360" s="528" t="str">
        <f t="shared" si="37"/>
        <v/>
      </c>
      <c r="O360" s="526" t="str">
        <f t="shared" si="35"/>
        <v/>
      </c>
      <c r="P360" s="528" t="str">
        <f t="shared" si="36"/>
        <v/>
      </c>
    </row>
    <row r="361" spans="1:16" s="204" customFormat="1" ht="18" hidden="1" customHeight="1" x14ac:dyDescent="0.2">
      <c r="A361" s="518" t="str">
        <f t="shared" si="26"/>
        <v/>
      </c>
      <c r="B361" s="517">
        <f>LARGE($B$15:$B$264,91)</f>
        <v>0</v>
      </c>
      <c r="C361" s="526" t="str">
        <f t="shared" si="27"/>
        <v/>
      </c>
      <c r="D361" s="1416" t="str">
        <f t="shared" si="28"/>
        <v/>
      </c>
      <c r="E361" s="1416"/>
      <c r="F361" s="1416"/>
      <c r="G361" s="526" t="str">
        <f t="shared" si="29"/>
        <v/>
      </c>
      <c r="H361" s="526" t="str">
        <f t="shared" si="30"/>
        <v/>
      </c>
      <c r="I361" s="1417" t="str">
        <f t="shared" si="31"/>
        <v/>
      </c>
      <c r="J361" s="1417"/>
      <c r="K361" s="527" t="str">
        <f t="shared" si="32"/>
        <v/>
      </c>
      <c r="L361" s="518" t="str">
        <f t="shared" si="33"/>
        <v/>
      </c>
      <c r="M361" s="528" t="str">
        <f t="shared" si="34"/>
        <v/>
      </c>
      <c r="N361" s="528" t="str">
        <f t="shared" si="37"/>
        <v/>
      </c>
      <c r="O361" s="526" t="str">
        <f t="shared" si="35"/>
        <v/>
      </c>
      <c r="P361" s="528" t="str">
        <f t="shared" si="36"/>
        <v/>
      </c>
    </row>
    <row r="362" spans="1:16" s="204" customFormat="1" ht="18" hidden="1" customHeight="1" x14ac:dyDescent="0.2">
      <c r="A362" s="518" t="str">
        <f t="shared" si="26"/>
        <v/>
      </c>
      <c r="B362" s="517">
        <f>LARGE($B$15:$B$264,92)</f>
        <v>0</v>
      </c>
      <c r="C362" s="526" t="str">
        <f t="shared" si="27"/>
        <v/>
      </c>
      <c r="D362" s="1416" t="str">
        <f t="shared" si="28"/>
        <v/>
      </c>
      <c r="E362" s="1416"/>
      <c r="F362" s="1416"/>
      <c r="G362" s="526" t="str">
        <f t="shared" si="29"/>
        <v/>
      </c>
      <c r="H362" s="526" t="str">
        <f t="shared" si="30"/>
        <v/>
      </c>
      <c r="I362" s="1417" t="str">
        <f t="shared" si="31"/>
        <v/>
      </c>
      <c r="J362" s="1417"/>
      <c r="K362" s="527" t="str">
        <f t="shared" si="32"/>
        <v/>
      </c>
      <c r="L362" s="518" t="str">
        <f t="shared" si="33"/>
        <v/>
      </c>
      <c r="M362" s="528" t="str">
        <f t="shared" si="34"/>
        <v/>
      </c>
      <c r="N362" s="528" t="str">
        <f t="shared" si="37"/>
        <v/>
      </c>
      <c r="O362" s="526" t="str">
        <f t="shared" si="35"/>
        <v/>
      </c>
      <c r="P362" s="528" t="str">
        <f t="shared" si="36"/>
        <v/>
      </c>
    </row>
    <row r="363" spans="1:16" s="204" customFormat="1" ht="18" hidden="1" customHeight="1" x14ac:dyDescent="0.2">
      <c r="A363" s="518" t="str">
        <f t="shared" si="26"/>
        <v/>
      </c>
      <c r="B363" s="517">
        <f>LARGE($B$15:$B$264,93)</f>
        <v>0</v>
      </c>
      <c r="C363" s="526" t="str">
        <f t="shared" si="27"/>
        <v/>
      </c>
      <c r="D363" s="1416" t="str">
        <f t="shared" si="28"/>
        <v/>
      </c>
      <c r="E363" s="1416"/>
      <c r="F363" s="1416"/>
      <c r="G363" s="526" t="str">
        <f t="shared" si="29"/>
        <v/>
      </c>
      <c r="H363" s="526" t="str">
        <f t="shared" si="30"/>
        <v/>
      </c>
      <c r="I363" s="1417" t="str">
        <f t="shared" si="31"/>
        <v/>
      </c>
      <c r="J363" s="1417"/>
      <c r="K363" s="527" t="str">
        <f t="shared" si="32"/>
        <v/>
      </c>
      <c r="L363" s="518" t="str">
        <f t="shared" si="33"/>
        <v/>
      </c>
      <c r="M363" s="528" t="str">
        <f t="shared" si="34"/>
        <v/>
      </c>
      <c r="N363" s="528" t="str">
        <f t="shared" si="37"/>
        <v/>
      </c>
      <c r="O363" s="526" t="str">
        <f t="shared" si="35"/>
        <v/>
      </c>
      <c r="P363" s="528" t="str">
        <f t="shared" si="36"/>
        <v/>
      </c>
    </row>
    <row r="364" spans="1:16" s="204" customFormat="1" ht="18" hidden="1" customHeight="1" x14ac:dyDescent="0.2">
      <c r="A364" s="518" t="str">
        <f t="shared" si="26"/>
        <v/>
      </c>
      <c r="B364" s="517">
        <f>LARGE($B$15:$B$264,94)</f>
        <v>0</v>
      </c>
      <c r="C364" s="526" t="str">
        <f t="shared" si="27"/>
        <v/>
      </c>
      <c r="D364" s="1416" t="str">
        <f t="shared" si="28"/>
        <v/>
      </c>
      <c r="E364" s="1416"/>
      <c r="F364" s="1416"/>
      <c r="G364" s="526" t="str">
        <f t="shared" si="29"/>
        <v/>
      </c>
      <c r="H364" s="526" t="str">
        <f t="shared" si="30"/>
        <v/>
      </c>
      <c r="I364" s="1417" t="str">
        <f t="shared" si="31"/>
        <v/>
      </c>
      <c r="J364" s="1417"/>
      <c r="K364" s="527" t="str">
        <f t="shared" si="32"/>
        <v/>
      </c>
      <c r="L364" s="518" t="str">
        <f t="shared" si="33"/>
        <v/>
      </c>
      <c r="M364" s="528" t="str">
        <f t="shared" si="34"/>
        <v/>
      </c>
      <c r="N364" s="528" t="str">
        <f t="shared" si="37"/>
        <v/>
      </c>
      <c r="O364" s="526" t="str">
        <f t="shared" si="35"/>
        <v/>
      </c>
      <c r="P364" s="528" t="str">
        <f t="shared" si="36"/>
        <v/>
      </c>
    </row>
    <row r="365" spans="1:16" s="204" customFormat="1" ht="18" hidden="1" customHeight="1" x14ac:dyDescent="0.2">
      <c r="A365" s="518" t="str">
        <f t="shared" si="26"/>
        <v/>
      </c>
      <c r="B365" s="517">
        <f>LARGE($B$15:$B$264,95)</f>
        <v>0</v>
      </c>
      <c r="C365" s="526" t="str">
        <f t="shared" si="27"/>
        <v/>
      </c>
      <c r="D365" s="1416" t="str">
        <f t="shared" si="28"/>
        <v/>
      </c>
      <c r="E365" s="1416"/>
      <c r="F365" s="1416"/>
      <c r="G365" s="526" t="str">
        <f t="shared" si="29"/>
        <v/>
      </c>
      <c r="H365" s="526" t="str">
        <f t="shared" si="30"/>
        <v/>
      </c>
      <c r="I365" s="1417" t="str">
        <f t="shared" si="31"/>
        <v/>
      </c>
      <c r="J365" s="1417"/>
      <c r="K365" s="527" t="str">
        <f t="shared" si="32"/>
        <v/>
      </c>
      <c r="L365" s="518" t="str">
        <f t="shared" si="33"/>
        <v/>
      </c>
      <c r="M365" s="528" t="str">
        <f t="shared" si="34"/>
        <v/>
      </c>
      <c r="N365" s="528" t="str">
        <f t="shared" si="37"/>
        <v/>
      </c>
      <c r="O365" s="526" t="str">
        <f t="shared" si="35"/>
        <v/>
      </c>
      <c r="P365" s="528" t="str">
        <f t="shared" si="36"/>
        <v/>
      </c>
    </row>
    <row r="366" spans="1:16" s="204" customFormat="1" ht="18" hidden="1" customHeight="1" x14ac:dyDescent="0.2">
      <c r="A366" s="518" t="str">
        <f t="shared" si="26"/>
        <v/>
      </c>
      <c r="B366" s="517">
        <f>LARGE($B$15:$B$264,96)</f>
        <v>0</v>
      </c>
      <c r="C366" s="526" t="str">
        <f t="shared" si="27"/>
        <v/>
      </c>
      <c r="D366" s="1416" t="str">
        <f t="shared" si="28"/>
        <v/>
      </c>
      <c r="E366" s="1416"/>
      <c r="F366" s="1416"/>
      <c r="G366" s="526" t="str">
        <f t="shared" si="29"/>
        <v/>
      </c>
      <c r="H366" s="526" t="str">
        <f t="shared" si="30"/>
        <v/>
      </c>
      <c r="I366" s="1417" t="str">
        <f t="shared" si="31"/>
        <v/>
      </c>
      <c r="J366" s="1417"/>
      <c r="K366" s="527" t="str">
        <f t="shared" si="32"/>
        <v/>
      </c>
      <c r="L366" s="518" t="str">
        <f t="shared" si="33"/>
        <v/>
      </c>
      <c r="M366" s="528" t="str">
        <f t="shared" si="34"/>
        <v/>
      </c>
      <c r="N366" s="528" t="str">
        <f t="shared" si="37"/>
        <v/>
      </c>
      <c r="O366" s="526" t="str">
        <f t="shared" si="35"/>
        <v/>
      </c>
      <c r="P366" s="528" t="str">
        <f t="shared" si="36"/>
        <v/>
      </c>
    </row>
    <row r="367" spans="1:16" s="204" customFormat="1" ht="18" hidden="1" customHeight="1" x14ac:dyDescent="0.2">
      <c r="A367" s="518" t="str">
        <f t="shared" si="26"/>
        <v/>
      </c>
      <c r="B367" s="517">
        <f>LARGE($B$15:$B$264,97)</f>
        <v>0</v>
      </c>
      <c r="C367" s="526" t="str">
        <f t="shared" si="27"/>
        <v/>
      </c>
      <c r="D367" s="1416" t="str">
        <f t="shared" si="28"/>
        <v/>
      </c>
      <c r="E367" s="1416"/>
      <c r="F367" s="1416"/>
      <c r="G367" s="526" t="str">
        <f t="shared" si="29"/>
        <v/>
      </c>
      <c r="H367" s="526" t="str">
        <f t="shared" si="30"/>
        <v/>
      </c>
      <c r="I367" s="1417" t="str">
        <f t="shared" si="31"/>
        <v/>
      </c>
      <c r="J367" s="1417"/>
      <c r="K367" s="527" t="str">
        <f t="shared" si="32"/>
        <v/>
      </c>
      <c r="L367" s="518" t="str">
        <f t="shared" si="33"/>
        <v/>
      </c>
      <c r="M367" s="528" t="str">
        <f t="shared" si="34"/>
        <v/>
      </c>
      <c r="N367" s="528" t="str">
        <f t="shared" si="37"/>
        <v/>
      </c>
      <c r="O367" s="526" t="str">
        <f t="shared" si="35"/>
        <v/>
      </c>
      <c r="P367" s="528" t="str">
        <f t="shared" si="36"/>
        <v/>
      </c>
    </row>
    <row r="368" spans="1:16" s="204" customFormat="1" ht="18" hidden="1" customHeight="1" x14ac:dyDescent="0.2">
      <c r="A368" s="518" t="str">
        <f t="shared" si="26"/>
        <v/>
      </c>
      <c r="B368" s="517">
        <f>LARGE($B$15:$B$264,98)</f>
        <v>0</v>
      </c>
      <c r="C368" s="526" t="str">
        <f t="shared" si="27"/>
        <v/>
      </c>
      <c r="D368" s="1416" t="str">
        <f t="shared" si="28"/>
        <v/>
      </c>
      <c r="E368" s="1416"/>
      <c r="F368" s="1416"/>
      <c r="G368" s="526" t="str">
        <f t="shared" si="29"/>
        <v/>
      </c>
      <c r="H368" s="526" t="str">
        <f t="shared" si="30"/>
        <v/>
      </c>
      <c r="I368" s="1417" t="str">
        <f t="shared" si="31"/>
        <v/>
      </c>
      <c r="J368" s="1417"/>
      <c r="K368" s="527" t="str">
        <f t="shared" si="32"/>
        <v/>
      </c>
      <c r="L368" s="518" t="str">
        <f t="shared" si="33"/>
        <v/>
      </c>
      <c r="M368" s="528" t="str">
        <f t="shared" si="34"/>
        <v/>
      </c>
      <c r="N368" s="528" t="str">
        <f t="shared" si="37"/>
        <v/>
      </c>
      <c r="O368" s="526" t="str">
        <f t="shared" si="35"/>
        <v/>
      </c>
      <c r="P368" s="528" t="str">
        <f t="shared" si="36"/>
        <v/>
      </c>
    </row>
    <row r="369" spans="1:16" s="204" customFormat="1" ht="18" hidden="1" customHeight="1" x14ac:dyDescent="0.2">
      <c r="A369" s="518" t="str">
        <f t="shared" si="26"/>
        <v/>
      </c>
      <c r="B369" s="517">
        <f>LARGE($B$15:$B$264,99)</f>
        <v>0</v>
      </c>
      <c r="C369" s="526" t="str">
        <f t="shared" si="27"/>
        <v/>
      </c>
      <c r="D369" s="1416" t="str">
        <f t="shared" si="28"/>
        <v/>
      </c>
      <c r="E369" s="1416"/>
      <c r="F369" s="1416"/>
      <c r="G369" s="526" t="str">
        <f t="shared" si="29"/>
        <v/>
      </c>
      <c r="H369" s="526" t="str">
        <f t="shared" si="30"/>
        <v/>
      </c>
      <c r="I369" s="1417" t="str">
        <f t="shared" si="31"/>
        <v/>
      </c>
      <c r="J369" s="1417"/>
      <c r="K369" s="527" t="str">
        <f t="shared" si="32"/>
        <v/>
      </c>
      <c r="L369" s="518" t="str">
        <f t="shared" si="33"/>
        <v/>
      </c>
      <c r="M369" s="528" t="str">
        <f t="shared" si="34"/>
        <v/>
      </c>
      <c r="N369" s="528" t="str">
        <f t="shared" si="37"/>
        <v/>
      </c>
      <c r="O369" s="526" t="str">
        <f t="shared" si="35"/>
        <v/>
      </c>
      <c r="P369" s="528" t="str">
        <f t="shared" si="36"/>
        <v/>
      </c>
    </row>
    <row r="370" spans="1:16" s="204" customFormat="1" ht="18" hidden="1" customHeight="1" x14ac:dyDescent="0.2">
      <c r="A370" s="518" t="str">
        <f t="shared" si="26"/>
        <v/>
      </c>
      <c r="B370" s="517">
        <f>LARGE($B$15:$B$264,100)</f>
        <v>0</v>
      </c>
      <c r="C370" s="526" t="str">
        <f t="shared" si="27"/>
        <v/>
      </c>
      <c r="D370" s="1416" t="str">
        <f t="shared" si="28"/>
        <v/>
      </c>
      <c r="E370" s="1416"/>
      <c r="F370" s="1416"/>
      <c r="G370" s="526" t="str">
        <f t="shared" si="29"/>
        <v/>
      </c>
      <c r="H370" s="526" t="str">
        <f t="shared" si="30"/>
        <v/>
      </c>
      <c r="I370" s="1417" t="str">
        <f t="shared" si="31"/>
        <v/>
      </c>
      <c r="J370" s="1417"/>
      <c r="K370" s="527" t="str">
        <f t="shared" si="32"/>
        <v/>
      </c>
      <c r="L370" s="518" t="str">
        <f t="shared" si="33"/>
        <v/>
      </c>
      <c r="M370" s="528" t="str">
        <f t="shared" si="34"/>
        <v/>
      </c>
      <c r="N370" s="528" t="str">
        <f t="shared" si="37"/>
        <v/>
      </c>
      <c r="O370" s="526" t="str">
        <f t="shared" si="35"/>
        <v/>
      </c>
      <c r="P370" s="528" t="str">
        <f t="shared" si="36"/>
        <v/>
      </c>
    </row>
    <row r="371" spans="1:16" s="204" customFormat="1" ht="18" hidden="1" customHeight="1" x14ac:dyDescent="0.2">
      <c r="A371" s="518" t="str">
        <f t="shared" si="26"/>
        <v/>
      </c>
      <c r="B371" s="517">
        <f>LARGE($B$15:$B$264,101)</f>
        <v>0</v>
      </c>
      <c r="C371" s="526" t="str">
        <f t="shared" si="27"/>
        <v/>
      </c>
      <c r="D371" s="1416" t="str">
        <f t="shared" si="28"/>
        <v/>
      </c>
      <c r="E371" s="1416"/>
      <c r="F371" s="1416"/>
      <c r="G371" s="526" t="str">
        <f t="shared" si="29"/>
        <v/>
      </c>
      <c r="H371" s="526" t="str">
        <f t="shared" si="30"/>
        <v/>
      </c>
      <c r="I371" s="1417" t="str">
        <f t="shared" si="31"/>
        <v/>
      </c>
      <c r="J371" s="1417"/>
      <c r="K371" s="527" t="str">
        <f t="shared" si="32"/>
        <v/>
      </c>
      <c r="L371" s="518" t="str">
        <f t="shared" si="33"/>
        <v/>
      </c>
      <c r="M371" s="528" t="str">
        <f t="shared" si="34"/>
        <v/>
      </c>
      <c r="N371" s="528" t="str">
        <f t="shared" si="37"/>
        <v/>
      </c>
      <c r="O371" s="526" t="str">
        <f t="shared" si="35"/>
        <v/>
      </c>
      <c r="P371" s="528" t="str">
        <f t="shared" si="36"/>
        <v/>
      </c>
    </row>
    <row r="372" spans="1:16" s="204" customFormat="1" ht="18" hidden="1" customHeight="1" x14ac:dyDescent="0.2">
      <c r="A372" s="518" t="str">
        <f t="shared" si="26"/>
        <v/>
      </c>
      <c r="B372" s="517">
        <f>LARGE($B$15:$B$264,102)</f>
        <v>0</v>
      </c>
      <c r="C372" s="526" t="str">
        <f t="shared" si="27"/>
        <v/>
      </c>
      <c r="D372" s="1416" t="str">
        <f t="shared" si="28"/>
        <v/>
      </c>
      <c r="E372" s="1416"/>
      <c r="F372" s="1416"/>
      <c r="G372" s="526" t="str">
        <f t="shared" si="29"/>
        <v/>
      </c>
      <c r="H372" s="526" t="str">
        <f t="shared" si="30"/>
        <v/>
      </c>
      <c r="I372" s="1417" t="str">
        <f t="shared" si="31"/>
        <v/>
      </c>
      <c r="J372" s="1417"/>
      <c r="K372" s="527" t="str">
        <f t="shared" si="32"/>
        <v/>
      </c>
      <c r="L372" s="518" t="str">
        <f t="shared" si="33"/>
        <v/>
      </c>
      <c r="M372" s="528" t="str">
        <f t="shared" si="34"/>
        <v/>
      </c>
      <c r="N372" s="528" t="str">
        <f t="shared" si="37"/>
        <v/>
      </c>
      <c r="O372" s="526" t="str">
        <f t="shared" si="35"/>
        <v/>
      </c>
      <c r="P372" s="528" t="str">
        <f t="shared" si="36"/>
        <v/>
      </c>
    </row>
    <row r="373" spans="1:16" s="204" customFormat="1" ht="18" hidden="1" customHeight="1" x14ac:dyDescent="0.2">
      <c r="A373" s="518" t="str">
        <f t="shared" si="26"/>
        <v/>
      </c>
      <c r="B373" s="517">
        <f>LARGE($B$15:$B$264,103)</f>
        <v>0</v>
      </c>
      <c r="C373" s="526" t="str">
        <f t="shared" si="27"/>
        <v/>
      </c>
      <c r="D373" s="1416" t="str">
        <f t="shared" si="28"/>
        <v/>
      </c>
      <c r="E373" s="1416"/>
      <c r="F373" s="1416"/>
      <c r="G373" s="526" t="str">
        <f t="shared" si="29"/>
        <v/>
      </c>
      <c r="H373" s="526" t="str">
        <f t="shared" si="30"/>
        <v/>
      </c>
      <c r="I373" s="1417" t="str">
        <f t="shared" si="31"/>
        <v/>
      </c>
      <c r="J373" s="1417"/>
      <c r="K373" s="527" t="str">
        <f t="shared" si="32"/>
        <v/>
      </c>
      <c r="L373" s="518" t="str">
        <f t="shared" si="33"/>
        <v/>
      </c>
      <c r="M373" s="528" t="str">
        <f t="shared" si="34"/>
        <v/>
      </c>
      <c r="N373" s="528" t="str">
        <f t="shared" si="37"/>
        <v/>
      </c>
      <c r="O373" s="526" t="str">
        <f t="shared" si="35"/>
        <v/>
      </c>
      <c r="P373" s="528" t="str">
        <f t="shared" si="36"/>
        <v/>
      </c>
    </row>
    <row r="374" spans="1:16" s="204" customFormat="1" ht="18" hidden="1" customHeight="1" x14ac:dyDescent="0.2">
      <c r="A374" s="518" t="str">
        <f t="shared" si="26"/>
        <v/>
      </c>
      <c r="B374" s="517">
        <f>LARGE($B$15:$B$264,104)</f>
        <v>0</v>
      </c>
      <c r="C374" s="526" t="str">
        <f t="shared" si="27"/>
        <v/>
      </c>
      <c r="D374" s="1416" t="str">
        <f t="shared" si="28"/>
        <v/>
      </c>
      <c r="E374" s="1416"/>
      <c r="F374" s="1416"/>
      <c r="G374" s="526" t="str">
        <f t="shared" si="29"/>
        <v/>
      </c>
      <c r="H374" s="526" t="str">
        <f t="shared" si="30"/>
        <v/>
      </c>
      <c r="I374" s="1417" t="str">
        <f t="shared" si="31"/>
        <v/>
      </c>
      <c r="J374" s="1417"/>
      <c r="K374" s="527" t="str">
        <f t="shared" si="32"/>
        <v/>
      </c>
      <c r="L374" s="518" t="str">
        <f t="shared" si="33"/>
        <v/>
      </c>
      <c r="M374" s="528" t="str">
        <f t="shared" si="34"/>
        <v/>
      </c>
      <c r="N374" s="528" t="str">
        <f t="shared" si="37"/>
        <v/>
      </c>
      <c r="O374" s="526" t="str">
        <f t="shared" si="35"/>
        <v/>
      </c>
      <c r="P374" s="528" t="str">
        <f t="shared" si="36"/>
        <v/>
      </c>
    </row>
    <row r="375" spans="1:16" s="204" customFormat="1" ht="18" hidden="1" customHeight="1" x14ac:dyDescent="0.2">
      <c r="A375" s="518" t="str">
        <f t="shared" si="26"/>
        <v/>
      </c>
      <c r="B375" s="517">
        <f>LARGE($B$15:$B$264,105)</f>
        <v>0</v>
      </c>
      <c r="C375" s="526" t="str">
        <f t="shared" si="27"/>
        <v/>
      </c>
      <c r="D375" s="1416" t="str">
        <f t="shared" si="28"/>
        <v/>
      </c>
      <c r="E375" s="1416"/>
      <c r="F375" s="1416"/>
      <c r="G375" s="526" t="str">
        <f t="shared" si="29"/>
        <v/>
      </c>
      <c r="H375" s="526" t="str">
        <f t="shared" si="30"/>
        <v/>
      </c>
      <c r="I375" s="1417" t="str">
        <f t="shared" si="31"/>
        <v/>
      </c>
      <c r="J375" s="1417"/>
      <c r="K375" s="527" t="str">
        <f t="shared" si="32"/>
        <v/>
      </c>
      <c r="L375" s="518" t="str">
        <f t="shared" si="33"/>
        <v/>
      </c>
      <c r="M375" s="528" t="str">
        <f t="shared" si="34"/>
        <v/>
      </c>
      <c r="N375" s="528" t="str">
        <f t="shared" si="37"/>
        <v/>
      </c>
      <c r="O375" s="526" t="str">
        <f t="shared" si="35"/>
        <v/>
      </c>
      <c r="P375" s="528" t="str">
        <f t="shared" si="36"/>
        <v/>
      </c>
    </row>
    <row r="376" spans="1:16" s="204" customFormat="1" ht="18" hidden="1" customHeight="1" x14ac:dyDescent="0.2">
      <c r="A376" s="518" t="str">
        <f t="shared" si="26"/>
        <v/>
      </c>
      <c r="B376" s="517">
        <f>LARGE($B$15:$B$264,106)</f>
        <v>0</v>
      </c>
      <c r="C376" s="526" t="str">
        <f t="shared" si="27"/>
        <v/>
      </c>
      <c r="D376" s="1416" t="str">
        <f t="shared" si="28"/>
        <v/>
      </c>
      <c r="E376" s="1416"/>
      <c r="F376" s="1416"/>
      <c r="G376" s="526" t="str">
        <f t="shared" si="29"/>
        <v/>
      </c>
      <c r="H376" s="526" t="str">
        <f t="shared" si="30"/>
        <v/>
      </c>
      <c r="I376" s="1417" t="str">
        <f t="shared" si="31"/>
        <v/>
      </c>
      <c r="J376" s="1417"/>
      <c r="K376" s="527" t="str">
        <f t="shared" si="32"/>
        <v/>
      </c>
      <c r="L376" s="518" t="str">
        <f t="shared" si="33"/>
        <v/>
      </c>
      <c r="M376" s="528" t="str">
        <f t="shared" si="34"/>
        <v/>
      </c>
      <c r="N376" s="528" t="str">
        <f t="shared" si="37"/>
        <v/>
      </c>
      <c r="O376" s="526" t="str">
        <f t="shared" si="35"/>
        <v/>
      </c>
      <c r="P376" s="528" t="str">
        <f t="shared" si="36"/>
        <v/>
      </c>
    </row>
    <row r="377" spans="1:16" s="204" customFormat="1" ht="18" hidden="1" customHeight="1" x14ac:dyDescent="0.2">
      <c r="A377" s="518" t="str">
        <f t="shared" si="26"/>
        <v/>
      </c>
      <c r="B377" s="517">
        <f>LARGE($B$15:$B$264,107)</f>
        <v>0</v>
      </c>
      <c r="C377" s="526" t="str">
        <f t="shared" si="27"/>
        <v/>
      </c>
      <c r="D377" s="1416" t="str">
        <f t="shared" si="28"/>
        <v/>
      </c>
      <c r="E377" s="1416"/>
      <c r="F377" s="1416"/>
      <c r="G377" s="526" t="str">
        <f t="shared" si="29"/>
        <v/>
      </c>
      <c r="H377" s="526" t="str">
        <f t="shared" si="30"/>
        <v/>
      </c>
      <c r="I377" s="1417" t="str">
        <f t="shared" si="31"/>
        <v/>
      </c>
      <c r="J377" s="1417"/>
      <c r="K377" s="527" t="str">
        <f t="shared" si="32"/>
        <v/>
      </c>
      <c r="L377" s="518" t="str">
        <f t="shared" si="33"/>
        <v/>
      </c>
      <c r="M377" s="528" t="str">
        <f t="shared" si="34"/>
        <v/>
      </c>
      <c r="N377" s="528" t="str">
        <f t="shared" si="37"/>
        <v/>
      </c>
      <c r="O377" s="526" t="str">
        <f t="shared" si="35"/>
        <v/>
      </c>
      <c r="P377" s="528" t="str">
        <f t="shared" si="36"/>
        <v/>
      </c>
    </row>
    <row r="378" spans="1:16" s="204" customFormat="1" ht="18" hidden="1" customHeight="1" x14ac:dyDescent="0.2">
      <c r="A378" s="518" t="str">
        <f t="shared" si="26"/>
        <v/>
      </c>
      <c r="B378" s="517">
        <f>LARGE($B$15:$B$264,108)</f>
        <v>0</v>
      </c>
      <c r="C378" s="526" t="str">
        <f t="shared" si="27"/>
        <v/>
      </c>
      <c r="D378" s="1416" t="str">
        <f t="shared" si="28"/>
        <v/>
      </c>
      <c r="E378" s="1416"/>
      <c r="F378" s="1416"/>
      <c r="G378" s="526" t="str">
        <f t="shared" si="29"/>
        <v/>
      </c>
      <c r="H378" s="526" t="str">
        <f t="shared" si="30"/>
        <v/>
      </c>
      <c r="I378" s="1417" t="str">
        <f t="shared" si="31"/>
        <v/>
      </c>
      <c r="J378" s="1417"/>
      <c r="K378" s="527" t="str">
        <f t="shared" si="32"/>
        <v/>
      </c>
      <c r="L378" s="518" t="str">
        <f t="shared" si="33"/>
        <v/>
      </c>
      <c r="M378" s="528" t="str">
        <f t="shared" si="34"/>
        <v/>
      </c>
      <c r="N378" s="528" t="str">
        <f t="shared" si="37"/>
        <v/>
      </c>
      <c r="O378" s="526" t="str">
        <f t="shared" si="35"/>
        <v/>
      </c>
      <c r="P378" s="528" t="str">
        <f t="shared" si="36"/>
        <v/>
      </c>
    </row>
    <row r="379" spans="1:16" s="204" customFormat="1" ht="18" hidden="1" customHeight="1" x14ac:dyDescent="0.2">
      <c r="A379" s="518" t="str">
        <f t="shared" si="26"/>
        <v/>
      </c>
      <c r="B379" s="517">
        <f>LARGE($B$15:$B$264,109)</f>
        <v>0</v>
      </c>
      <c r="C379" s="526" t="str">
        <f t="shared" si="27"/>
        <v/>
      </c>
      <c r="D379" s="1416" t="str">
        <f t="shared" si="28"/>
        <v/>
      </c>
      <c r="E379" s="1416"/>
      <c r="F379" s="1416"/>
      <c r="G379" s="526" t="str">
        <f t="shared" si="29"/>
        <v/>
      </c>
      <c r="H379" s="526" t="str">
        <f t="shared" si="30"/>
        <v/>
      </c>
      <c r="I379" s="1417" t="str">
        <f t="shared" si="31"/>
        <v/>
      </c>
      <c r="J379" s="1417"/>
      <c r="K379" s="527" t="str">
        <f t="shared" si="32"/>
        <v/>
      </c>
      <c r="L379" s="518" t="str">
        <f t="shared" si="33"/>
        <v/>
      </c>
      <c r="M379" s="528" t="str">
        <f t="shared" si="34"/>
        <v/>
      </c>
      <c r="N379" s="528" t="str">
        <f t="shared" si="37"/>
        <v/>
      </c>
      <c r="O379" s="526" t="str">
        <f t="shared" si="35"/>
        <v/>
      </c>
      <c r="P379" s="528" t="str">
        <f t="shared" si="36"/>
        <v/>
      </c>
    </row>
    <row r="380" spans="1:16" s="204" customFormat="1" ht="18" hidden="1" customHeight="1" x14ac:dyDescent="0.2">
      <c r="A380" s="518" t="str">
        <f t="shared" si="26"/>
        <v/>
      </c>
      <c r="B380" s="517">
        <f>LARGE($B$15:$B$264,110)</f>
        <v>0</v>
      </c>
      <c r="C380" s="526" t="str">
        <f t="shared" si="27"/>
        <v/>
      </c>
      <c r="D380" s="1416" t="str">
        <f t="shared" si="28"/>
        <v/>
      </c>
      <c r="E380" s="1416"/>
      <c r="F380" s="1416"/>
      <c r="G380" s="526" t="str">
        <f t="shared" si="29"/>
        <v/>
      </c>
      <c r="H380" s="526" t="str">
        <f t="shared" si="30"/>
        <v/>
      </c>
      <c r="I380" s="1417" t="str">
        <f t="shared" si="31"/>
        <v/>
      </c>
      <c r="J380" s="1417"/>
      <c r="K380" s="527" t="str">
        <f t="shared" si="32"/>
        <v/>
      </c>
      <c r="L380" s="518" t="str">
        <f t="shared" si="33"/>
        <v/>
      </c>
      <c r="M380" s="528" t="str">
        <f t="shared" si="34"/>
        <v/>
      </c>
      <c r="N380" s="528" t="str">
        <f t="shared" si="37"/>
        <v/>
      </c>
      <c r="O380" s="526" t="str">
        <f t="shared" si="35"/>
        <v/>
      </c>
      <c r="P380" s="528" t="str">
        <f t="shared" si="36"/>
        <v/>
      </c>
    </row>
    <row r="381" spans="1:16" s="204" customFormat="1" ht="18" hidden="1" customHeight="1" x14ac:dyDescent="0.2">
      <c r="A381" s="518" t="str">
        <f t="shared" si="26"/>
        <v/>
      </c>
      <c r="B381" s="517">
        <f>LARGE($B$15:$B$264,111)</f>
        <v>0</v>
      </c>
      <c r="C381" s="526" t="str">
        <f t="shared" si="27"/>
        <v/>
      </c>
      <c r="D381" s="1416" t="str">
        <f t="shared" si="28"/>
        <v/>
      </c>
      <c r="E381" s="1416"/>
      <c r="F381" s="1416"/>
      <c r="G381" s="526" t="str">
        <f t="shared" si="29"/>
        <v/>
      </c>
      <c r="H381" s="526" t="str">
        <f t="shared" si="30"/>
        <v/>
      </c>
      <c r="I381" s="1417" t="str">
        <f t="shared" si="31"/>
        <v/>
      </c>
      <c r="J381" s="1417"/>
      <c r="K381" s="527" t="str">
        <f t="shared" si="32"/>
        <v/>
      </c>
      <c r="L381" s="518" t="str">
        <f t="shared" si="33"/>
        <v/>
      </c>
      <c r="M381" s="528" t="str">
        <f t="shared" si="34"/>
        <v/>
      </c>
      <c r="N381" s="528" t="str">
        <f t="shared" si="37"/>
        <v/>
      </c>
      <c r="O381" s="526" t="str">
        <f t="shared" si="35"/>
        <v/>
      </c>
      <c r="P381" s="528" t="str">
        <f t="shared" si="36"/>
        <v/>
      </c>
    </row>
    <row r="382" spans="1:16" s="204" customFormat="1" ht="18" hidden="1" customHeight="1" x14ac:dyDescent="0.2">
      <c r="A382" s="518" t="str">
        <f t="shared" si="26"/>
        <v/>
      </c>
      <c r="B382" s="517">
        <f>LARGE($B$15:$B$264,112)</f>
        <v>0</v>
      </c>
      <c r="C382" s="526" t="str">
        <f t="shared" si="27"/>
        <v/>
      </c>
      <c r="D382" s="1416" t="str">
        <f t="shared" si="28"/>
        <v/>
      </c>
      <c r="E382" s="1416"/>
      <c r="F382" s="1416"/>
      <c r="G382" s="526" t="str">
        <f t="shared" si="29"/>
        <v/>
      </c>
      <c r="H382" s="526" t="str">
        <f t="shared" si="30"/>
        <v/>
      </c>
      <c r="I382" s="1417" t="str">
        <f t="shared" si="31"/>
        <v/>
      </c>
      <c r="J382" s="1417"/>
      <c r="K382" s="527" t="str">
        <f t="shared" si="32"/>
        <v/>
      </c>
      <c r="L382" s="518" t="str">
        <f t="shared" si="33"/>
        <v/>
      </c>
      <c r="M382" s="528" t="str">
        <f t="shared" si="34"/>
        <v/>
      </c>
      <c r="N382" s="528" t="str">
        <f t="shared" si="37"/>
        <v/>
      </c>
      <c r="O382" s="526" t="str">
        <f t="shared" si="35"/>
        <v/>
      </c>
      <c r="P382" s="528" t="str">
        <f t="shared" si="36"/>
        <v/>
      </c>
    </row>
    <row r="383" spans="1:16" s="204" customFormat="1" ht="18" hidden="1" customHeight="1" x14ac:dyDescent="0.2">
      <c r="A383" s="518" t="str">
        <f t="shared" si="26"/>
        <v/>
      </c>
      <c r="B383" s="517">
        <f>LARGE($B$15:$B$264,113)</f>
        <v>0</v>
      </c>
      <c r="C383" s="526" t="str">
        <f t="shared" si="27"/>
        <v/>
      </c>
      <c r="D383" s="1416" t="str">
        <f t="shared" si="28"/>
        <v/>
      </c>
      <c r="E383" s="1416"/>
      <c r="F383" s="1416"/>
      <c r="G383" s="526" t="str">
        <f t="shared" si="29"/>
        <v/>
      </c>
      <c r="H383" s="526" t="str">
        <f t="shared" si="30"/>
        <v/>
      </c>
      <c r="I383" s="1417" t="str">
        <f t="shared" si="31"/>
        <v/>
      </c>
      <c r="J383" s="1417"/>
      <c r="K383" s="527" t="str">
        <f t="shared" si="32"/>
        <v/>
      </c>
      <c r="L383" s="518" t="str">
        <f t="shared" si="33"/>
        <v/>
      </c>
      <c r="M383" s="528" t="str">
        <f t="shared" si="34"/>
        <v/>
      </c>
      <c r="N383" s="528" t="str">
        <f t="shared" si="37"/>
        <v/>
      </c>
      <c r="O383" s="526" t="str">
        <f t="shared" si="35"/>
        <v/>
      </c>
      <c r="P383" s="528" t="str">
        <f t="shared" si="36"/>
        <v/>
      </c>
    </row>
    <row r="384" spans="1:16" s="204" customFormat="1" ht="18" hidden="1" customHeight="1" x14ac:dyDescent="0.2">
      <c r="A384" s="518" t="str">
        <f t="shared" si="26"/>
        <v/>
      </c>
      <c r="B384" s="517">
        <f>LARGE($B$15:$B$264,114)</f>
        <v>0</v>
      </c>
      <c r="C384" s="526" t="str">
        <f t="shared" si="27"/>
        <v/>
      </c>
      <c r="D384" s="1416" t="str">
        <f t="shared" si="28"/>
        <v/>
      </c>
      <c r="E384" s="1416"/>
      <c r="F384" s="1416"/>
      <c r="G384" s="526" t="str">
        <f t="shared" si="29"/>
        <v/>
      </c>
      <c r="H384" s="526" t="str">
        <f t="shared" si="30"/>
        <v/>
      </c>
      <c r="I384" s="1417" t="str">
        <f t="shared" si="31"/>
        <v/>
      </c>
      <c r="J384" s="1417"/>
      <c r="K384" s="527" t="str">
        <f t="shared" si="32"/>
        <v/>
      </c>
      <c r="L384" s="518" t="str">
        <f t="shared" si="33"/>
        <v/>
      </c>
      <c r="M384" s="528" t="str">
        <f t="shared" si="34"/>
        <v/>
      </c>
      <c r="N384" s="528" t="str">
        <f t="shared" si="37"/>
        <v/>
      </c>
      <c r="O384" s="526" t="str">
        <f t="shared" si="35"/>
        <v/>
      </c>
      <c r="P384" s="528" t="str">
        <f t="shared" si="36"/>
        <v/>
      </c>
    </row>
    <row r="385" spans="1:16" s="204" customFormat="1" ht="18" hidden="1" customHeight="1" x14ac:dyDescent="0.2">
      <c r="A385" s="518" t="str">
        <f t="shared" si="26"/>
        <v/>
      </c>
      <c r="B385" s="517">
        <f>LARGE($B$15:$B$264,115)</f>
        <v>0</v>
      </c>
      <c r="C385" s="526" t="str">
        <f t="shared" si="27"/>
        <v/>
      </c>
      <c r="D385" s="1416" t="str">
        <f t="shared" si="28"/>
        <v/>
      </c>
      <c r="E385" s="1416"/>
      <c r="F385" s="1416"/>
      <c r="G385" s="526" t="str">
        <f t="shared" si="29"/>
        <v/>
      </c>
      <c r="H385" s="526" t="str">
        <f t="shared" si="30"/>
        <v/>
      </c>
      <c r="I385" s="1417" t="str">
        <f t="shared" si="31"/>
        <v/>
      </c>
      <c r="J385" s="1417"/>
      <c r="K385" s="527" t="str">
        <f t="shared" si="32"/>
        <v/>
      </c>
      <c r="L385" s="518" t="str">
        <f t="shared" si="33"/>
        <v/>
      </c>
      <c r="M385" s="528" t="str">
        <f t="shared" si="34"/>
        <v/>
      </c>
      <c r="N385" s="528" t="str">
        <f t="shared" si="37"/>
        <v/>
      </c>
      <c r="O385" s="526" t="str">
        <f t="shared" si="35"/>
        <v/>
      </c>
      <c r="P385" s="528" t="str">
        <f t="shared" si="36"/>
        <v/>
      </c>
    </row>
    <row r="386" spans="1:16" s="204" customFormat="1" ht="18" hidden="1" customHeight="1" x14ac:dyDescent="0.2">
      <c r="A386" s="518" t="str">
        <f t="shared" si="26"/>
        <v/>
      </c>
      <c r="B386" s="517">
        <f>LARGE($B$15:$B$264,116)</f>
        <v>0</v>
      </c>
      <c r="C386" s="526" t="str">
        <f t="shared" si="27"/>
        <v/>
      </c>
      <c r="D386" s="1416" t="str">
        <f t="shared" si="28"/>
        <v/>
      </c>
      <c r="E386" s="1416"/>
      <c r="F386" s="1416"/>
      <c r="G386" s="526" t="str">
        <f t="shared" si="29"/>
        <v/>
      </c>
      <c r="H386" s="526" t="str">
        <f t="shared" si="30"/>
        <v/>
      </c>
      <c r="I386" s="1417" t="str">
        <f t="shared" si="31"/>
        <v/>
      </c>
      <c r="J386" s="1417"/>
      <c r="K386" s="527" t="str">
        <f t="shared" si="32"/>
        <v/>
      </c>
      <c r="L386" s="518" t="str">
        <f t="shared" si="33"/>
        <v/>
      </c>
      <c r="M386" s="528" t="str">
        <f t="shared" si="34"/>
        <v/>
      </c>
      <c r="N386" s="528" t="str">
        <f t="shared" si="37"/>
        <v/>
      </c>
      <c r="O386" s="526" t="str">
        <f t="shared" si="35"/>
        <v/>
      </c>
      <c r="P386" s="528" t="str">
        <f t="shared" si="36"/>
        <v/>
      </c>
    </row>
    <row r="387" spans="1:16" s="204" customFormat="1" ht="18" hidden="1" customHeight="1" x14ac:dyDescent="0.2">
      <c r="A387" s="518" t="str">
        <f t="shared" si="26"/>
        <v/>
      </c>
      <c r="B387" s="517">
        <f>LARGE($B$15:$B$264,117)</f>
        <v>0</v>
      </c>
      <c r="C387" s="526" t="str">
        <f t="shared" si="27"/>
        <v/>
      </c>
      <c r="D387" s="1416" t="str">
        <f t="shared" si="28"/>
        <v/>
      </c>
      <c r="E387" s="1416"/>
      <c r="F387" s="1416"/>
      <c r="G387" s="526" t="str">
        <f t="shared" si="29"/>
        <v/>
      </c>
      <c r="H387" s="526" t="str">
        <f t="shared" si="30"/>
        <v/>
      </c>
      <c r="I387" s="1417" t="str">
        <f t="shared" si="31"/>
        <v/>
      </c>
      <c r="J387" s="1417"/>
      <c r="K387" s="527" t="str">
        <f t="shared" si="32"/>
        <v/>
      </c>
      <c r="L387" s="518" t="str">
        <f t="shared" si="33"/>
        <v/>
      </c>
      <c r="M387" s="528" t="str">
        <f t="shared" si="34"/>
        <v/>
      </c>
      <c r="N387" s="528" t="str">
        <f t="shared" si="37"/>
        <v/>
      </c>
      <c r="O387" s="526" t="str">
        <f t="shared" si="35"/>
        <v/>
      </c>
      <c r="P387" s="528" t="str">
        <f t="shared" si="36"/>
        <v/>
      </c>
    </row>
    <row r="388" spans="1:16" s="204" customFormat="1" ht="18" hidden="1" customHeight="1" x14ac:dyDescent="0.2">
      <c r="A388" s="518" t="str">
        <f t="shared" si="26"/>
        <v/>
      </c>
      <c r="B388" s="517">
        <f>LARGE($B$15:$B$264,118)</f>
        <v>0</v>
      </c>
      <c r="C388" s="526" t="str">
        <f t="shared" si="27"/>
        <v/>
      </c>
      <c r="D388" s="1416" t="str">
        <f t="shared" si="28"/>
        <v/>
      </c>
      <c r="E388" s="1416"/>
      <c r="F388" s="1416"/>
      <c r="G388" s="526" t="str">
        <f t="shared" si="29"/>
        <v/>
      </c>
      <c r="H388" s="526" t="str">
        <f t="shared" si="30"/>
        <v/>
      </c>
      <c r="I388" s="1417" t="str">
        <f t="shared" si="31"/>
        <v/>
      </c>
      <c r="J388" s="1417"/>
      <c r="K388" s="527" t="str">
        <f t="shared" si="32"/>
        <v/>
      </c>
      <c r="L388" s="518" t="str">
        <f t="shared" si="33"/>
        <v/>
      </c>
      <c r="M388" s="528" t="str">
        <f t="shared" si="34"/>
        <v/>
      </c>
      <c r="N388" s="528" t="str">
        <f t="shared" si="37"/>
        <v/>
      </c>
      <c r="O388" s="526" t="str">
        <f t="shared" si="35"/>
        <v/>
      </c>
      <c r="P388" s="528" t="str">
        <f t="shared" si="36"/>
        <v/>
      </c>
    </row>
    <row r="389" spans="1:16" s="204" customFormat="1" ht="18" hidden="1" customHeight="1" x14ac:dyDescent="0.2">
      <c r="A389" s="518" t="str">
        <f t="shared" si="26"/>
        <v/>
      </c>
      <c r="B389" s="517">
        <f>LARGE($B$15:$B$264,119)</f>
        <v>0</v>
      </c>
      <c r="C389" s="526" t="str">
        <f t="shared" si="27"/>
        <v/>
      </c>
      <c r="D389" s="1416" t="str">
        <f t="shared" si="28"/>
        <v/>
      </c>
      <c r="E389" s="1416"/>
      <c r="F389" s="1416"/>
      <c r="G389" s="526" t="str">
        <f t="shared" si="29"/>
        <v/>
      </c>
      <c r="H389" s="526" t="str">
        <f t="shared" si="30"/>
        <v/>
      </c>
      <c r="I389" s="1417" t="str">
        <f t="shared" si="31"/>
        <v/>
      </c>
      <c r="J389" s="1417"/>
      <c r="K389" s="527" t="str">
        <f t="shared" si="32"/>
        <v/>
      </c>
      <c r="L389" s="518" t="str">
        <f t="shared" si="33"/>
        <v/>
      </c>
      <c r="M389" s="528" t="str">
        <f t="shared" si="34"/>
        <v/>
      </c>
      <c r="N389" s="528" t="str">
        <f t="shared" si="37"/>
        <v/>
      </c>
      <c r="O389" s="526" t="str">
        <f t="shared" si="35"/>
        <v/>
      </c>
      <c r="P389" s="528" t="str">
        <f t="shared" si="36"/>
        <v/>
      </c>
    </row>
    <row r="390" spans="1:16" s="204" customFormat="1" ht="18" hidden="1" customHeight="1" x14ac:dyDescent="0.2">
      <c r="A390" s="518" t="str">
        <f t="shared" si="26"/>
        <v/>
      </c>
      <c r="B390" s="517">
        <f>LARGE($B$15:$B$264,120)</f>
        <v>0</v>
      </c>
      <c r="C390" s="526" t="str">
        <f t="shared" si="27"/>
        <v/>
      </c>
      <c r="D390" s="1416" t="str">
        <f t="shared" si="28"/>
        <v/>
      </c>
      <c r="E390" s="1416"/>
      <c r="F390" s="1416"/>
      <c r="G390" s="526" t="str">
        <f t="shared" si="29"/>
        <v/>
      </c>
      <c r="H390" s="526" t="str">
        <f t="shared" si="30"/>
        <v/>
      </c>
      <c r="I390" s="1417" t="str">
        <f t="shared" si="31"/>
        <v/>
      </c>
      <c r="J390" s="1417"/>
      <c r="K390" s="527" t="str">
        <f t="shared" si="32"/>
        <v/>
      </c>
      <c r="L390" s="518" t="str">
        <f t="shared" si="33"/>
        <v/>
      </c>
      <c r="M390" s="528" t="str">
        <f t="shared" si="34"/>
        <v/>
      </c>
      <c r="N390" s="528" t="str">
        <f t="shared" si="37"/>
        <v/>
      </c>
      <c r="O390" s="526" t="str">
        <f t="shared" si="35"/>
        <v/>
      </c>
      <c r="P390" s="528" t="str">
        <f t="shared" si="36"/>
        <v/>
      </c>
    </row>
    <row r="391" spans="1:16" s="204" customFormat="1" ht="18" hidden="1" customHeight="1" x14ac:dyDescent="0.2">
      <c r="A391" s="518" t="str">
        <f t="shared" si="26"/>
        <v/>
      </c>
      <c r="B391" s="517">
        <f>LARGE($B$15:$B$264,121)</f>
        <v>0</v>
      </c>
      <c r="C391" s="526" t="str">
        <f t="shared" si="27"/>
        <v/>
      </c>
      <c r="D391" s="1416" t="str">
        <f t="shared" si="28"/>
        <v/>
      </c>
      <c r="E391" s="1416"/>
      <c r="F391" s="1416"/>
      <c r="G391" s="526" t="str">
        <f t="shared" si="29"/>
        <v/>
      </c>
      <c r="H391" s="526" t="str">
        <f t="shared" si="30"/>
        <v/>
      </c>
      <c r="I391" s="1417" t="str">
        <f t="shared" si="31"/>
        <v/>
      </c>
      <c r="J391" s="1417"/>
      <c r="K391" s="527" t="str">
        <f t="shared" si="32"/>
        <v/>
      </c>
      <c r="L391" s="518" t="str">
        <f t="shared" si="33"/>
        <v/>
      </c>
      <c r="M391" s="528" t="str">
        <f t="shared" si="34"/>
        <v/>
      </c>
      <c r="N391" s="528" t="str">
        <f t="shared" si="37"/>
        <v/>
      </c>
      <c r="O391" s="526" t="str">
        <f t="shared" si="35"/>
        <v/>
      </c>
      <c r="P391" s="528" t="str">
        <f t="shared" si="36"/>
        <v/>
      </c>
    </row>
    <row r="392" spans="1:16" s="204" customFormat="1" ht="18" hidden="1" customHeight="1" x14ac:dyDescent="0.2">
      <c r="A392" s="518" t="str">
        <f t="shared" si="26"/>
        <v/>
      </c>
      <c r="B392" s="517">
        <f>LARGE($B$15:$B$264,122)</f>
        <v>0</v>
      </c>
      <c r="C392" s="526" t="str">
        <f t="shared" si="27"/>
        <v/>
      </c>
      <c r="D392" s="1416" t="str">
        <f t="shared" si="28"/>
        <v/>
      </c>
      <c r="E392" s="1416"/>
      <c r="F392" s="1416"/>
      <c r="G392" s="526" t="str">
        <f t="shared" si="29"/>
        <v/>
      </c>
      <c r="H392" s="526" t="str">
        <f t="shared" si="30"/>
        <v/>
      </c>
      <c r="I392" s="1417" t="str">
        <f t="shared" si="31"/>
        <v/>
      </c>
      <c r="J392" s="1417"/>
      <c r="K392" s="527" t="str">
        <f t="shared" si="32"/>
        <v/>
      </c>
      <c r="L392" s="518" t="str">
        <f t="shared" si="33"/>
        <v/>
      </c>
      <c r="M392" s="528" t="str">
        <f t="shared" si="34"/>
        <v/>
      </c>
      <c r="N392" s="528" t="str">
        <f t="shared" si="37"/>
        <v/>
      </c>
      <c r="O392" s="526" t="str">
        <f t="shared" si="35"/>
        <v/>
      </c>
      <c r="P392" s="528" t="str">
        <f t="shared" si="36"/>
        <v/>
      </c>
    </row>
    <row r="393" spans="1:16" s="204" customFormat="1" ht="18" hidden="1" customHeight="1" x14ac:dyDescent="0.2">
      <c r="A393" s="518" t="str">
        <f t="shared" si="26"/>
        <v/>
      </c>
      <c r="B393" s="517">
        <f>LARGE($B$15:$B$264,123)</f>
        <v>0</v>
      </c>
      <c r="C393" s="526" t="str">
        <f t="shared" si="27"/>
        <v/>
      </c>
      <c r="D393" s="1416" t="str">
        <f t="shared" si="28"/>
        <v/>
      </c>
      <c r="E393" s="1416"/>
      <c r="F393" s="1416"/>
      <c r="G393" s="526" t="str">
        <f t="shared" si="29"/>
        <v/>
      </c>
      <c r="H393" s="526" t="str">
        <f t="shared" si="30"/>
        <v/>
      </c>
      <c r="I393" s="1417" t="str">
        <f t="shared" si="31"/>
        <v/>
      </c>
      <c r="J393" s="1417"/>
      <c r="K393" s="527" t="str">
        <f t="shared" si="32"/>
        <v/>
      </c>
      <c r="L393" s="518" t="str">
        <f t="shared" si="33"/>
        <v/>
      </c>
      <c r="M393" s="528" t="str">
        <f t="shared" si="34"/>
        <v/>
      </c>
      <c r="N393" s="528" t="str">
        <f t="shared" si="37"/>
        <v/>
      </c>
      <c r="O393" s="526" t="str">
        <f t="shared" si="35"/>
        <v/>
      </c>
      <c r="P393" s="528" t="str">
        <f t="shared" si="36"/>
        <v/>
      </c>
    </row>
    <row r="394" spans="1:16" s="204" customFormat="1" ht="18" hidden="1" customHeight="1" x14ac:dyDescent="0.2">
      <c r="A394" s="518" t="str">
        <f t="shared" si="26"/>
        <v/>
      </c>
      <c r="B394" s="517">
        <f>LARGE($B$15:$B$264,124)</f>
        <v>0</v>
      </c>
      <c r="C394" s="526" t="str">
        <f t="shared" si="27"/>
        <v/>
      </c>
      <c r="D394" s="1416" t="str">
        <f t="shared" si="28"/>
        <v/>
      </c>
      <c r="E394" s="1416"/>
      <c r="F394" s="1416"/>
      <c r="G394" s="526" t="str">
        <f t="shared" si="29"/>
        <v/>
      </c>
      <c r="H394" s="526" t="str">
        <f t="shared" si="30"/>
        <v/>
      </c>
      <c r="I394" s="1417" t="str">
        <f t="shared" si="31"/>
        <v/>
      </c>
      <c r="J394" s="1417"/>
      <c r="K394" s="527" t="str">
        <f t="shared" si="32"/>
        <v/>
      </c>
      <c r="L394" s="518" t="str">
        <f t="shared" si="33"/>
        <v/>
      </c>
      <c r="M394" s="528" t="str">
        <f t="shared" si="34"/>
        <v/>
      </c>
      <c r="N394" s="528" t="str">
        <f t="shared" si="37"/>
        <v/>
      </c>
      <c r="O394" s="526" t="str">
        <f t="shared" si="35"/>
        <v/>
      </c>
      <c r="P394" s="528" t="str">
        <f t="shared" si="36"/>
        <v/>
      </c>
    </row>
    <row r="395" spans="1:16" s="204" customFormat="1" ht="18" hidden="1" customHeight="1" x14ac:dyDescent="0.2">
      <c r="A395" s="518" t="str">
        <f t="shared" si="26"/>
        <v/>
      </c>
      <c r="B395" s="517">
        <f>LARGE($B$15:$B$264,125)</f>
        <v>0</v>
      </c>
      <c r="C395" s="526" t="str">
        <f t="shared" si="27"/>
        <v/>
      </c>
      <c r="D395" s="1416" t="str">
        <f t="shared" si="28"/>
        <v/>
      </c>
      <c r="E395" s="1416"/>
      <c r="F395" s="1416"/>
      <c r="G395" s="526" t="str">
        <f t="shared" si="29"/>
        <v/>
      </c>
      <c r="H395" s="526" t="str">
        <f t="shared" si="30"/>
        <v/>
      </c>
      <c r="I395" s="1417" t="str">
        <f t="shared" si="31"/>
        <v/>
      </c>
      <c r="J395" s="1417"/>
      <c r="K395" s="527" t="str">
        <f t="shared" si="32"/>
        <v/>
      </c>
      <c r="L395" s="518" t="str">
        <f t="shared" si="33"/>
        <v/>
      </c>
      <c r="M395" s="528" t="str">
        <f t="shared" si="34"/>
        <v/>
      </c>
      <c r="N395" s="528" t="str">
        <f t="shared" si="37"/>
        <v/>
      </c>
      <c r="O395" s="526" t="str">
        <f t="shared" si="35"/>
        <v/>
      </c>
      <c r="P395" s="528" t="str">
        <f t="shared" si="36"/>
        <v/>
      </c>
    </row>
    <row r="396" spans="1:16" s="204" customFormat="1" ht="18" hidden="1" customHeight="1" x14ac:dyDescent="0.2">
      <c r="A396" s="518" t="str">
        <f t="shared" si="26"/>
        <v/>
      </c>
      <c r="B396" s="517">
        <f>LARGE($B$15:$B$264,126)</f>
        <v>0</v>
      </c>
      <c r="C396" s="526" t="str">
        <f t="shared" si="27"/>
        <v/>
      </c>
      <c r="D396" s="1416" t="str">
        <f t="shared" si="28"/>
        <v/>
      </c>
      <c r="E396" s="1416"/>
      <c r="F396" s="1416"/>
      <c r="G396" s="526" t="str">
        <f t="shared" si="29"/>
        <v/>
      </c>
      <c r="H396" s="526" t="str">
        <f t="shared" si="30"/>
        <v/>
      </c>
      <c r="I396" s="1417" t="str">
        <f t="shared" si="31"/>
        <v/>
      </c>
      <c r="J396" s="1417"/>
      <c r="K396" s="527" t="str">
        <f t="shared" si="32"/>
        <v/>
      </c>
      <c r="L396" s="518" t="str">
        <f t="shared" si="33"/>
        <v/>
      </c>
      <c r="M396" s="528" t="str">
        <f t="shared" si="34"/>
        <v/>
      </c>
      <c r="N396" s="528" t="str">
        <f t="shared" si="37"/>
        <v/>
      </c>
      <c r="O396" s="526" t="str">
        <f t="shared" si="35"/>
        <v/>
      </c>
      <c r="P396" s="528" t="str">
        <f t="shared" si="36"/>
        <v/>
      </c>
    </row>
    <row r="397" spans="1:16" s="204" customFormat="1" ht="18" hidden="1" customHeight="1" x14ac:dyDescent="0.2">
      <c r="A397" s="518" t="str">
        <f t="shared" si="26"/>
        <v/>
      </c>
      <c r="B397" s="517">
        <f>LARGE($B$15:$B$264,127)</f>
        <v>0</v>
      </c>
      <c r="C397" s="526" t="str">
        <f t="shared" si="27"/>
        <v/>
      </c>
      <c r="D397" s="1416" t="str">
        <f t="shared" si="28"/>
        <v/>
      </c>
      <c r="E397" s="1416"/>
      <c r="F397" s="1416"/>
      <c r="G397" s="526" t="str">
        <f t="shared" si="29"/>
        <v/>
      </c>
      <c r="H397" s="526" t="str">
        <f t="shared" si="30"/>
        <v/>
      </c>
      <c r="I397" s="1417" t="str">
        <f t="shared" si="31"/>
        <v/>
      </c>
      <c r="J397" s="1417"/>
      <c r="K397" s="527" t="str">
        <f t="shared" si="32"/>
        <v/>
      </c>
      <c r="L397" s="518" t="str">
        <f t="shared" si="33"/>
        <v/>
      </c>
      <c r="M397" s="528" t="str">
        <f t="shared" si="34"/>
        <v/>
      </c>
      <c r="N397" s="528" t="str">
        <f t="shared" si="37"/>
        <v/>
      </c>
      <c r="O397" s="526" t="str">
        <f t="shared" si="35"/>
        <v/>
      </c>
      <c r="P397" s="528" t="str">
        <f t="shared" si="36"/>
        <v/>
      </c>
    </row>
    <row r="398" spans="1:16" s="204" customFormat="1" ht="18" hidden="1" customHeight="1" x14ac:dyDescent="0.2">
      <c r="A398" s="518" t="str">
        <f t="shared" si="26"/>
        <v/>
      </c>
      <c r="B398" s="517">
        <f>LARGE($B$15:$B$264,128)</f>
        <v>0</v>
      </c>
      <c r="C398" s="526" t="str">
        <f t="shared" si="27"/>
        <v/>
      </c>
      <c r="D398" s="1416" t="str">
        <f t="shared" si="28"/>
        <v/>
      </c>
      <c r="E398" s="1416"/>
      <c r="F398" s="1416"/>
      <c r="G398" s="526" t="str">
        <f t="shared" si="29"/>
        <v/>
      </c>
      <c r="H398" s="526" t="str">
        <f t="shared" si="30"/>
        <v/>
      </c>
      <c r="I398" s="1417" t="str">
        <f t="shared" si="31"/>
        <v/>
      </c>
      <c r="J398" s="1417"/>
      <c r="K398" s="527" t="str">
        <f t="shared" si="32"/>
        <v/>
      </c>
      <c r="L398" s="518" t="str">
        <f t="shared" si="33"/>
        <v/>
      </c>
      <c r="M398" s="528" t="str">
        <f t="shared" si="34"/>
        <v/>
      </c>
      <c r="N398" s="528" t="str">
        <f t="shared" si="37"/>
        <v/>
      </c>
      <c r="O398" s="526" t="str">
        <f t="shared" si="35"/>
        <v/>
      </c>
      <c r="P398" s="528" t="str">
        <f t="shared" si="36"/>
        <v/>
      </c>
    </row>
    <row r="399" spans="1:16" s="204" customFormat="1" ht="18" hidden="1" customHeight="1" x14ac:dyDescent="0.2">
      <c r="A399" s="518" t="str">
        <f t="shared" si="26"/>
        <v/>
      </c>
      <c r="B399" s="517">
        <f>LARGE($B$15:$B$264,129)</f>
        <v>0</v>
      </c>
      <c r="C399" s="526" t="str">
        <f t="shared" si="27"/>
        <v/>
      </c>
      <c r="D399" s="1416" t="str">
        <f t="shared" si="28"/>
        <v/>
      </c>
      <c r="E399" s="1416"/>
      <c r="F399" s="1416"/>
      <c r="G399" s="526" t="str">
        <f t="shared" si="29"/>
        <v/>
      </c>
      <c r="H399" s="526" t="str">
        <f t="shared" si="30"/>
        <v/>
      </c>
      <c r="I399" s="1417" t="str">
        <f t="shared" si="31"/>
        <v/>
      </c>
      <c r="J399" s="1417"/>
      <c r="K399" s="527" t="str">
        <f t="shared" si="32"/>
        <v/>
      </c>
      <c r="L399" s="518" t="str">
        <f t="shared" si="33"/>
        <v/>
      </c>
      <c r="M399" s="528" t="str">
        <f t="shared" si="34"/>
        <v/>
      </c>
      <c r="N399" s="528" t="str">
        <f t="shared" si="37"/>
        <v/>
      </c>
      <c r="O399" s="526" t="str">
        <f t="shared" si="35"/>
        <v/>
      </c>
      <c r="P399" s="528" t="str">
        <f t="shared" si="36"/>
        <v/>
      </c>
    </row>
    <row r="400" spans="1:16" s="204" customFormat="1" ht="18" hidden="1" customHeight="1" x14ac:dyDescent="0.2">
      <c r="A400" s="518" t="str">
        <f t="shared" ref="A400:A463" si="38">P400</f>
        <v/>
      </c>
      <c r="B400" s="517">
        <f>LARGE($B$15:$B$264,130)</f>
        <v>0</v>
      </c>
      <c r="C400" s="526" t="str">
        <f t="shared" ref="C400:C463" si="39">IFERROR(IF(B400=0,"",VLOOKUP(B400,$B$15:$J$264,2,FALSE)),"")</f>
        <v/>
      </c>
      <c r="D400" s="1416" t="str">
        <f t="shared" ref="D400:D463" si="40">IFERROR(IF(B400=0,"",VLOOKUP(B400,$B$15:$J$264,3,FALSE)),"")</f>
        <v/>
      </c>
      <c r="E400" s="1416"/>
      <c r="F400" s="1416"/>
      <c r="G400" s="526" t="str">
        <f t="shared" ref="G400:G463" si="41">IFERROR(IF(B400=0,"",VLOOKUP(B400,$B$15:$J$264,6,FALSE)),"")</f>
        <v/>
      </c>
      <c r="H400" s="526" t="str">
        <f t="shared" ref="H400:H463" si="42">IFERROR(IF(B400=0,"",VLOOKUP(B400,$B$15:$J$264,7,FALSE)),"")</f>
        <v/>
      </c>
      <c r="I400" s="1417" t="str">
        <f t="shared" ref="I400:I463" si="43">IF(B400=0,"",VLOOKUP(B400,$B$15:$J$264,8,FALSE))</f>
        <v/>
      </c>
      <c r="J400" s="1417"/>
      <c r="K400" s="527" t="str">
        <f t="shared" ref="K400:K463" si="44">IF(B400=0,"",H400*I400)</f>
        <v/>
      </c>
      <c r="L400" s="518" t="str">
        <f t="shared" ref="L400:L463" si="45">O400</f>
        <v/>
      </c>
      <c r="M400" s="528" t="str">
        <f t="shared" ref="M400:M463" si="46">IF(B400=0,"",B400)</f>
        <v/>
      </c>
      <c r="N400" s="528" t="str">
        <f t="shared" si="37"/>
        <v/>
      </c>
      <c r="O400" s="526" t="str">
        <f t="shared" ref="O400:O463" si="47">IF(B400=0,"",(IF(N400&lt;80%,"Si","No")))</f>
        <v/>
      </c>
      <c r="P400" s="528" t="str">
        <f t="shared" ref="P400:P463" si="48">IF(B400=0,"",(IF(M400=$M$521,"Si",(IF(M400&gt;$M$521,"Si","No")))))</f>
        <v/>
      </c>
    </row>
    <row r="401" spans="1:16" s="204" customFormat="1" ht="18" hidden="1" customHeight="1" x14ac:dyDescent="0.2">
      <c r="A401" s="518" t="str">
        <f t="shared" si="38"/>
        <v/>
      </c>
      <c r="B401" s="517">
        <f>LARGE($B$15:$B$264,131)</f>
        <v>0</v>
      </c>
      <c r="C401" s="526" t="str">
        <f t="shared" si="39"/>
        <v/>
      </c>
      <c r="D401" s="1416" t="str">
        <f t="shared" si="40"/>
        <v/>
      </c>
      <c r="E401" s="1416"/>
      <c r="F401" s="1416"/>
      <c r="G401" s="526" t="str">
        <f t="shared" si="41"/>
        <v/>
      </c>
      <c r="H401" s="526" t="str">
        <f t="shared" si="42"/>
        <v/>
      </c>
      <c r="I401" s="1417" t="str">
        <f t="shared" si="43"/>
        <v/>
      </c>
      <c r="J401" s="1417"/>
      <c r="K401" s="527" t="str">
        <f t="shared" si="44"/>
        <v/>
      </c>
      <c r="L401" s="518" t="str">
        <f t="shared" si="45"/>
        <v/>
      </c>
      <c r="M401" s="528" t="str">
        <f t="shared" si="46"/>
        <v/>
      </c>
      <c r="N401" s="528" t="str">
        <f t="shared" ref="N401:N464" si="49">IF(B401=0,"",M401+N400)</f>
        <v/>
      </c>
      <c r="O401" s="526" t="str">
        <f t="shared" si="47"/>
        <v/>
      </c>
      <c r="P401" s="528" t="str">
        <f t="shared" si="48"/>
        <v/>
      </c>
    </row>
    <row r="402" spans="1:16" s="204" customFormat="1" ht="18" hidden="1" customHeight="1" x14ac:dyDescent="0.2">
      <c r="A402" s="518" t="str">
        <f t="shared" si="38"/>
        <v/>
      </c>
      <c r="B402" s="517">
        <f>LARGE($B$15:$B$264,132)</f>
        <v>0</v>
      </c>
      <c r="C402" s="526" t="str">
        <f t="shared" si="39"/>
        <v/>
      </c>
      <c r="D402" s="1416" t="str">
        <f t="shared" si="40"/>
        <v/>
      </c>
      <c r="E402" s="1416"/>
      <c r="F402" s="1416"/>
      <c r="G402" s="526" t="str">
        <f t="shared" si="41"/>
        <v/>
      </c>
      <c r="H402" s="526" t="str">
        <f t="shared" si="42"/>
        <v/>
      </c>
      <c r="I402" s="1417" t="str">
        <f t="shared" si="43"/>
        <v/>
      </c>
      <c r="J402" s="1417"/>
      <c r="K402" s="527" t="str">
        <f t="shared" si="44"/>
        <v/>
      </c>
      <c r="L402" s="518" t="str">
        <f t="shared" si="45"/>
        <v/>
      </c>
      <c r="M402" s="528" t="str">
        <f t="shared" si="46"/>
        <v/>
      </c>
      <c r="N402" s="528" t="str">
        <f t="shared" si="49"/>
        <v/>
      </c>
      <c r="O402" s="526" t="str">
        <f t="shared" si="47"/>
        <v/>
      </c>
      <c r="P402" s="528" t="str">
        <f t="shared" si="48"/>
        <v/>
      </c>
    </row>
    <row r="403" spans="1:16" s="204" customFormat="1" ht="18" hidden="1" customHeight="1" x14ac:dyDescent="0.2">
      <c r="A403" s="518" t="str">
        <f t="shared" si="38"/>
        <v/>
      </c>
      <c r="B403" s="517">
        <f>LARGE($B$15:$B$264,133)</f>
        <v>0</v>
      </c>
      <c r="C403" s="526" t="str">
        <f t="shared" si="39"/>
        <v/>
      </c>
      <c r="D403" s="1416" t="str">
        <f t="shared" si="40"/>
        <v/>
      </c>
      <c r="E403" s="1416"/>
      <c r="F403" s="1416"/>
      <c r="G403" s="526" t="str">
        <f t="shared" si="41"/>
        <v/>
      </c>
      <c r="H403" s="526" t="str">
        <f t="shared" si="42"/>
        <v/>
      </c>
      <c r="I403" s="1417" t="str">
        <f t="shared" si="43"/>
        <v/>
      </c>
      <c r="J403" s="1417"/>
      <c r="K403" s="527" t="str">
        <f t="shared" si="44"/>
        <v/>
      </c>
      <c r="L403" s="518" t="str">
        <f t="shared" si="45"/>
        <v/>
      </c>
      <c r="M403" s="528" t="str">
        <f t="shared" si="46"/>
        <v/>
      </c>
      <c r="N403" s="528" t="str">
        <f t="shared" si="49"/>
        <v/>
      </c>
      <c r="O403" s="526" t="str">
        <f t="shared" si="47"/>
        <v/>
      </c>
      <c r="P403" s="528" t="str">
        <f t="shared" si="48"/>
        <v/>
      </c>
    </row>
    <row r="404" spans="1:16" s="204" customFormat="1" ht="18" hidden="1" customHeight="1" x14ac:dyDescent="0.2">
      <c r="A404" s="518" t="str">
        <f t="shared" si="38"/>
        <v/>
      </c>
      <c r="B404" s="517">
        <f>LARGE($B$15:$B$264,134)</f>
        <v>0</v>
      </c>
      <c r="C404" s="526" t="str">
        <f t="shared" si="39"/>
        <v/>
      </c>
      <c r="D404" s="1416" t="str">
        <f t="shared" si="40"/>
        <v/>
      </c>
      <c r="E404" s="1416"/>
      <c r="F404" s="1416"/>
      <c r="G404" s="526" t="str">
        <f t="shared" si="41"/>
        <v/>
      </c>
      <c r="H404" s="526" t="str">
        <f t="shared" si="42"/>
        <v/>
      </c>
      <c r="I404" s="1417" t="str">
        <f t="shared" si="43"/>
        <v/>
      </c>
      <c r="J404" s="1417"/>
      <c r="K404" s="527" t="str">
        <f t="shared" si="44"/>
        <v/>
      </c>
      <c r="L404" s="518" t="str">
        <f t="shared" si="45"/>
        <v/>
      </c>
      <c r="M404" s="528" t="str">
        <f t="shared" si="46"/>
        <v/>
      </c>
      <c r="N404" s="528" t="str">
        <f t="shared" si="49"/>
        <v/>
      </c>
      <c r="O404" s="526" t="str">
        <f t="shared" si="47"/>
        <v/>
      </c>
      <c r="P404" s="528" t="str">
        <f t="shared" si="48"/>
        <v/>
      </c>
    </row>
    <row r="405" spans="1:16" s="204" customFormat="1" ht="18" hidden="1" customHeight="1" x14ac:dyDescent="0.2">
      <c r="A405" s="518" t="str">
        <f t="shared" si="38"/>
        <v/>
      </c>
      <c r="B405" s="517">
        <f>LARGE($B$15:$B$264,135)</f>
        <v>0</v>
      </c>
      <c r="C405" s="526" t="str">
        <f t="shared" si="39"/>
        <v/>
      </c>
      <c r="D405" s="1416" t="str">
        <f t="shared" si="40"/>
        <v/>
      </c>
      <c r="E405" s="1416"/>
      <c r="F405" s="1416"/>
      <c r="G405" s="526" t="str">
        <f t="shared" si="41"/>
        <v/>
      </c>
      <c r="H405" s="526" t="str">
        <f t="shared" si="42"/>
        <v/>
      </c>
      <c r="I405" s="1417" t="str">
        <f t="shared" si="43"/>
        <v/>
      </c>
      <c r="J405" s="1417"/>
      <c r="K405" s="527" t="str">
        <f t="shared" si="44"/>
        <v/>
      </c>
      <c r="L405" s="518" t="str">
        <f t="shared" si="45"/>
        <v/>
      </c>
      <c r="M405" s="528" t="str">
        <f t="shared" si="46"/>
        <v/>
      </c>
      <c r="N405" s="528" t="str">
        <f t="shared" si="49"/>
        <v/>
      </c>
      <c r="O405" s="526" t="str">
        <f t="shared" si="47"/>
        <v/>
      </c>
      <c r="P405" s="528" t="str">
        <f t="shared" si="48"/>
        <v/>
      </c>
    </row>
    <row r="406" spans="1:16" s="204" customFormat="1" ht="18" hidden="1" customHeight="1" x14ac:dyDescent="0.2">
      <c r="A406" s="518" t="str">
        <f t="shared" si="38"/>
        <v/>
      </c>
      <c r="B406" s="517">
        <f>LARGE($B$15:$B$264,136)</f>
        <v>0</v>
      </c>
      <c r="C406" s="526" t="str">
        <f t="shared" si="39"/>
        <v/>
      </c>
      <c r="D406" s="1416" t="str">
        <f t="shared" si="40"/>
        <v/>
      </c>
      <c r="E406" s="1416"/>
      <c r="F406" s="1416"/>
      <c r="G406" s="526" t="str">
        <f t="shared" si="41"/>
        <v/>
      </c>
      <c r="H406" s="526" t="str">
        <f t="shared" si="42"/>
        <v/>
      </c>
      <c r="I406" s="1417" t="str">
        <f t="shared" si="43"/>
        <v/>
      </c>
      <c r="J406" s="1417"/>
      <c r="K406" s="527" t="str">
        <f t="shared" si="44"/>
        <v/>
      </c>
      <c r="L406" s="518" t="str">
        <f t="shared" si="45"/>
        <v/>
      </c>
      <c r="M406" s="528" t="str">
        <f t="shared" si="46"/>
        <v/>
      </c>
      <c r="N406" s="528" t="str">
        <f t="shared" si="49"/>
        <v/>
      </c>
      <c r="O406" s="526" t="str">
        <f t="shared" si="47"/>
        <v/>
      </c>
      <c r="P406" s="528" t="str">
        <f t="shared" si="48"/>
        <v/>
      </c>
    </row>
    <row r="407" spans="1:16" s="204" customFormat="1" ht="18" hidden="1" customHeight="1" x14ac:dyDescent="0.2">
      <c r="A407" s="518" t="str">
        <f t="shared" si="38"/>
        <v/>
      </c>
      <c r="B407" s="517">
        <f>LARGE($B$15:$B$264,137)</f>
        <v>0</v>
      </c>
      <c r="C407" s="526" t="str">
        <f t="shared" si="39"/>
        <v/>
      </c>
      <c r="D407" s="1416" t="str">
        <f t="shared" si="40"/>
        <v/>
      </c>
      <c r="E407" s="1416"/>
      <c r="F407" s="1416"/>
      <c r="G407" s="526" t="str">
        <f t="shared" si="41"/>
        <v/>
      </c>
      <c r="H407" s="526" t="str">
        <f t="shared" si="42"/>
        <v/>
      </c>
      <c r="I407" s="1417" t="str">
        <f t="shared" si="43"/>
        <v/>
      </c>
      <c r="J407" s="1417"/>
      <c r="K407" s="527" t="str">
        <f t="shared" si="44"/>
        <v/>
      </c>
      <c r="L407" s="518" t="str">
        <f t="shared" si="45"/>
        <v/>
      </c>
      <c r="M407" s="528" t="str">
        <f t="shared" si="46"/>
        <v/>
      </c>
      <c r="N407" s="528" t="str">
        <f t="shared" si="49"/>
        <v/>
      </c>
      <c r="O407" s="526" t="str">
        <f t="shared" si="47"/>
        <v/>
      </c>
      <c r="P407" s="528" t="str">
        <f t="shared" si="48"/>
        <v/>
      </c>
    </row>
    <row r="408" spans="1:16" s="204" customFormat="1" ht="18" hidden="1" customHeight="1" x14ac:dyDescent="0.2">
      <c r="A408" s="518" t="str">
        <f t="shared" si="38"/>
        <v/>
      </c>
      <c r="B408" s="517">
        <f>LARGE($B$15:$B$264,138)</f>
        <v>0</v>
      </c>
      <c r="C408" s="526" t="str">
        <f t="shared" si="39"/>
        <v/>
      </c>
      <c r="D408" s="1416" t="str">
        <f t="shared" si="40"/>
        <v/>
      </c>
      <c r="E408" s="1416"/>
      <c r="F408" s="1416"/>
      <c r="G408" s="526" t="str">
        <f t="shared" si="41"/>
        <v/>
      </c>
      <c r="H408" s="526" t="str">
        <f t="shared" si="42"/>
        <v/>
      </c>
      <c r="I408" s="1417" t="str">
        <f t="shared" si="43"/>
        <v/>
      </c>
      <c r="J408" s="1417"/>
      <c r="K408" s="527" t="str">
        <f t="shared" si="44"/>
        <v/>
      </c>
      <c r="L408" s="518" t="str">
        <f t="shared" si="45"/>
        <v/>
      </c>
      <c r="M408" s="528" t="str">
        <f t="shared" si="46"/>
        <v/>
      </c>
      <c r="N408" s="528" t="str">
        <f t="shared" si="49"/>
        <v/>
      </c>
      <c r="O408" s="526" t="str">
        <f t="shared" si="47"/>
        <v/>
      </c>
      <c r="P408" s="528" t="str">
        <f t="shared" si="48"/>
        <v/>
      </c>
    </row>
    <row r="409" spans="1:16" s="204" customFormat="1" ht="18" hidden="1" customHeight="1" x14ac:dyDescent="0.2">
      <c r="A409" s="518" t="str">
        <f t="shared" si="38"/>
        <v/>
      </c>
      <c r="B409" s="517">
        <f>LARGE($B$15:$B$264,139)</f>
        <v>0</v>
      </c>
      <c r="C409" s="526" t="str">
        <f t="shared" si="39"/>
        <v/>
      </c>
      <c r="D409" s="1416" t="str">
        <f t="shared" si="40"/>
        <v/>
      </c>
      <c r="E409" s="1416"/>
      <c r="F409" s="1416"/>
      <c r="G409" s="526" t="str">
        <f t="shared" si="41"/>
        <v/>
      </c>
      <c r="H409" s="526" t="str">
        <f t="shared" si="42"/>
        <v/>
      </c>
      <c r="I409" s="1417" t="str">
        <f t="shared" si="43"/>
        <v/>
      </c>
      <c r="J409" s="1417"/>
      <c r="K409" s="527" t="str">
        <f t="shared" si="44"/>
        <v/>
      </c>
      <c r="L409" s="518" t="str">
        <f t="shared" si="45"/>
        <v/>
      </c>
      <c r="M409" s="528" t="str">
        <f t="shared" si="46"/>
        <v/>
      </c>
      <c r="N409" s="528" t="str">
        <f t="shared" si="49"/>
        <v/>
      </c>
      <c r="O409" s="526" t="str">
        <f t="shared" si="47"/>
        <v/>
      </c>
      <c r="P409" s="528" t="str">
        <f t="shared" si="48"/>
        <v/>
      </c>
    </row>
    <row r="410" spans="1:16" s="204" customFormat="1" ht="18" hidden="1" customHeight="1" x14ac:dyDescent="0.2">
      <c r="A410" s="518" t="str">
        <f t="shared" si="38"/>
        <v/>
      </c>
      <c r="B410" s="517">
        <f>LARGE($B$15:$B$264,140)</f>
        <v>0</v>
      </c>
      <c r="C410" s="526" t="str">
        <f t="shared" si="39"/>
        <v/>
      </c>
      <c r="D410" s="1416" t="str">
        <f t="shared" si="40"/>
        <v/>
      </c>
      <c r="E410" s="1416"/>
      <c r="F410" s="1416"/>
      <c r="G410" s="526" t="str">
        <f t="shared" si="41"/>
        <v/>
      </c>
      <c r="H410" s="526" t="str">
        <f t="shared" si="42"/>
        <v/>
      </c>
      <c r="I410" s="1417" t="str">
        <f t="shared" si="43"/>
        <v/>
      </c>
      <c r="J410" s="1417"/>
      <c r="K410" s="527" t="str">
        <f t="shared" si="44"/>
        <v/>
      </c>
      <c r="L410" s="518" t="str">
        <f t="shared" si="45"/>
        <v/>
      </c>
      <c r="M410" s="528" t="str">
        <f t="shared" si="46"/>
        <v/>
      </c>
      <c r="N410" s="528" t="str">
        <f t="shared" si="49"/>
        <v/>
      </c>
      <c r="O410" s="526" t="str">
        <f t="shared" si="47"/>
        <v/>
      </c>
      <c r="P410" s="528" t="str">
        <f t="shared" si="48"/>
        <v/>
      </c>
    </row>
    <row r="411" spans="1:16" s="204" customFormat="1" ht="18" hidden="1" customHeight="1" x14ac:dyDescent="0.2">
      <c r="A411" s="518" t="str">
        <f t="shared" si="38"/>
        <v/>
      </c>
      <c r="B411" s="517">
        <f>LARGE($B$15:$B$264,141)</f>
        <v>0</v>
      </c>
      <c r="C411" s="526" t="str">
        <f t="shared" si="39"/>
        <v/>
      </c>
      <c r="D411" s="1416" t="str">
        <f t="shared" si="40"/>
        <v/>
      </c>
      <c r="E411" s="1416"/>
      <c r="F411" s="1416"/>
      <c r="G411" s="526" t="str">
        <f t="shared" si="41"/>
        <v/>
      </c>
      <c r="H411" s="526" t="str">
        <f t="shared" si="42"/>
        <v/>
      </c>
      <c r="I411" s="1417" t="str">
        <f t="shared" si="43"/>
        <v/>
      </c>
      <c r="J411" s="1417"/>
      <c r="K411" s="527" t="str">
        <f t="shared" si="44"/>
        <v/>
      </c>
      <c r="L411" s="518" t="str">
        <f t="shared" si="45"/>
        <v/>
      </c>
      <c r="M411" s="528" t="str">
        <f t="shared" si="46"/>
        <v/>
      </c>
      <c r="N411" s="528" t="str">
        <f t="shared" si="49"/>
        <v/>
      </c>
      <c r="O411" s="526" t="str">
        <f t="shared" si="47"/>
        <v/>
      </c>
      <c r="P411" s="528" t="str">
        <f t="shared" si="48"/>
        <v/>
      </c>
    </row>
    <row r="412" spans="1:16" s="204" customFormat="1" ht="18" hidden="1" customHeight="1" x14ac:dyDescent="0.2">
      <c r="A412" s="518" t="str">
        <f t="shared" si="38"/>
        <v/>
      </c>
      <c r="B412" s="517">
        <f>LARGE($B$15:$B$264,142)</f>
        <v>0</v>
      </c>
      <c r="C412" s="526" t="str">
        <f t="shared" si="39"/>
        <v/>
      </c>
      <c r="D412" s="1416" t="str">
        <f t="shared" si="40"/>
        <v/>
      </c>
      <c r="E412" s="1416"/>
      <c r="F412" s="1416"/>
      <c r="G412" s="526" t="str">
        <f t="shared" si="41"/>
        <v/>
      </c>
      <c r="H412" s="526" t="str">
        <f t="shared" si="42"/>
        <v/>
      </c>
      <c r="I412" s="1417" t="str">
        <f t="shared" si="43"/>
        <v/>
      </c>
      <c r="J412" s="1417"/>
      <c r="K412" s="527" t="str">
        <f t="shared" si="44"/>
        <v/>
      </c>
      <c r="L412" s="518" t="str">
        <f t="shared" si="45"/>
        <v/>
      </c>
      <c r="M412" s="528" t="str">
        <f t="shared" si="46"/>
        <v/>
      </c>
      <c r="N412" s="528" t="str">
        <f t="shared" si="49"/>
        <v/>
      </c>
      <c r="O412" s="526" t="str">
        <f t="shared" si="47"/>
        <v/>
      </c>
      <c r="P412" s="528" t="str">
        <f t="shared" si="48"/>
        <v/>
      </c>
    </row>
    <row r="413" spans="1:16" s="204" customFormat="1" ht="18" hidden="1" customHeight="1" x14ac:dyDescent="0.2">
      <c r="A413" s="518" t="str">
        <f t="shared" si="38"/>
        <v/>
      </c>
      <c r="B413" s="517">
        <f>LARGE($B$15:$B$264,143)</f>
        <v>0</v>
      </c>
      <c r="C413" s="526" t="str">
        <f t="shared" si="39"/>
        <v/>
      </c>
      <c r="D413" s="1416" t="str">
        <f t="shared" si="40"/>
        <v/>
      </c>
      <c r="E413" s="1416"/>
      <c r="F413" s="1416"/>
      <c r="G413" s="526" t="str">
        <f t="shared" si="41"/>
        <v/>
      </c>
      <c r="H413" s="526" t="str">
        <f t="shared" si="42"/>
        <v/>
      </c>
      <c r="I413" s="1417" t="str">
        <f t="shared" si="43"/>
        <v/>
      </c>
      <c r="J413" s="1417"/>
      <c r="K413" s="527" t="str">
        <f t="shared" si="44"/>
        <v/>
      </c>
      <c r="L413" s="518" t="str">
        <f t="shared" si="45"/>
        <v/>
      </c>
      <c r="M413" s="528" t="str">
        <f t="shared" si="46"/>
        <v/>
      </c>
      <c r="N413" s="528" t="str">
        <f t="shared" si="49"/>
        <v/>
      </c>
      <c r="O413" s="526" t="str">
        <f t="shared" si="47"/>
        <v/>
      </c>
      <c r="P413" s="528" t="str">
        <f t="shared" si="48"/>
        <v/>
      </c>
    </row>
    <row r="414" spans="1:16" s="204" customFormat="1" ht="18" hidden="1" customHeight="1" x14ac:dyDescent="0.2">
      <c r="A414" s="518" t="str">
        <f t="shared" si="38"/>
        <v/>
      </c>
      <c r="B414" s="517">
        <f>LARGE($B$15:$B$264,144)</f>
        <v>0</v>
      </c>
      <c r="C414" s="526" t="str">
        <f t="shared" si="39"/>
        <v/>
      </c>
      <c r="D414" s="1416" t="str">
        <f t="shared" si="40"/>
        <v/>
      </c>
      <c r="E414" s="1416"/>
      <c r="F414" s="1416"/>
      <c r="G414" s="526" t="str">
        <f t="shared" si="41"/>
        <v/>
      </c>
      <c r="H414" s="526" t="str">
        <f t="shared" si="42"/>
        <v/>
      </c>
      <c r="I414" s="1417" t="str">
        <f t="shared" si="43"/>
        <v/>
      </c>
      <c r="J414" s="1417"/>
      <c r="K414" s="527" t="str">
        <f t="shared" si="44"/>
        <v/>
      </c>
      <c r="L414" s="518" t="str">
        <f t="shared" si="45"/>
        <v/>
      </c>
      <c r="M414" s="528" t="str">
        <f t="shared" si="46"/>
        <v/>
      </c>
      <c r="N414" s="528" t="str">
        <f t="shared" si="49"/>
        <v/>
      </c>
      <c r="O414" s="526" t="str">
        <f t="shared" si="47"/>
        <v/>
      </c>
      <c r="P414" s="528" t="str">
        <f t="shared" si="48"/>
        <v/>
      </c>
    </row>
    <row r="415" spans="1:16" s="204" customFormat="1" ht="18" hidden="1" customHeight="1" x14ac:dyDescent="0.2">
      <c r="A415" s="518" t="str">
        <f t="shared" si="38"/>
        <v/>
      </c>
      <c r="B415" s="517">
        <f>LARGE($B$15:$B$264,145)</f>
        <v>0</v>
      </c>
      <c r="C415" s="526" t="str">
        <f t="shared" si="39"/>
        <v/>
      </c>
      <c r="D415" s="1416" t="str">
        <f t="shared" si="40"/>
        <v/>
      </c>
      <c r="E415" s="1416"/>
      <c r="F415" s="1416"/>
      <c r="G415" s="526" t="str">
        <f t="shared" si="41"/>
        <v/>
      </c>
      <c r="H415" s="526" t="str">
        <f t="shared" si="42"/>
        <v/>
      </c>
      <c r="I415" s="1417" t="str">
        <f t="shared" si="43"/>
        <v/>
      </c>
      <c r="J415" s="1417"/>
      <c r="K415" s="527" t="str">
        <f t="shared" si="44"/>
        <v/>
      </c>
      <c r="L415" s="518" t="str">
        <f t="shared" si="45"/>
        <v/>
      </c>
      <c r="M415" s="528" t="str">
        <f t="shared" si="46"/>
        <v/>
      </c>
      <c r="N415" s="528" t="str">
        <f t="shared" si="49"/>
        <v/>
      </c>
      <c r="O415" s="526" t="str">
        <f t="shared" si="47"/>
        <v/>
      </c>
      <c r="P415" s="528" t="str">
        <f t="shared" si="48"/>
        <v/>
      </c>
    </row>
    <row r="416" spans="1:16" s="204" customFormat="1" ht="18" hidden="1" customHeight="1" x14ac:dyDescent="0.2">
      <c r="A416" s="518" t="str">
        <f t="shared" si="38"/>
        <v/>
      </c>
      <c r="B416" s="517">
        <f>LARGE($B$15:$B$264,146)</f>
        <v>0</v>
      </c>
      <c r="C416" s="526" t="str">
        <f t="shared" si="39"/>
        <v/>
      </c>
      <c r="D416" s="1416" t="str">
        <f t="shared" si="40"/>
        <v/>
      </c>
      <c r="E416" s="1416"/>
      <c r="F416" s="1416"/>
      <c r="G416" s="526" t="str">
        <f t="shared" si="41"/>
        <v/>
      </c>
      <c r="H416" s="526" t="str">
        <f t="shared" si="42"/>
        <v/>
      </c>
      <c r="I416" s="1417" t="str">
        <f t="shared" si="43"/>
        <v/>
      </c>
      <c r="J416" s="1417"/>
      <c r="K416" s="527" t="str">
        <f t="shared" si="44"/>
        <v/>
      </c>
      <c r="L416" s="518" t="str">
        <f t="shared" si="45"/>
        <v/>
      </c>
      <c r="M416" s="528" t="str">
        <f t="shared" si="46"/>
        <v/>
      </c>
      <c r="N416" s="528" t="str">
        <f t="shared" si="49"/>
        <v/>
      </c>
      <c r="O416" s="526" t="str">
        <f t="shared" si="47"/>
        <v/>
      </c>
      <c r="P416" s="528" t="str">
        <f t="shared" si="48"/>
        <v/>
      </c>
    </row>
    <row r="417" spans="1:16" s="204" customFormat="1" ht="18" hidden="1" customHeight="1" x14ac:dyDescent="0.2">
      <c r="A417" s="518" t="str">
        <f t="shared" si="38"/>
        <v/>
      </c>
      <c r="B417" s="517">
        <f>LARGE($B$15:$B$264,147)</f>
        <v>0</v>
      </c>
      <c r="C417" s="526" t="str">
        <f t="shared" si="39"/>
        <v/>
      </c>
      <c r="D417" s="1416" t="str">
        <f t="shared" si="40"/>
        <v/>
      </c>
      <c r="E417" s="1416"/>
      <c r="F417" s="1416"/>
      <c r="G417" s="526" t="str">
        <f t="shared" si="41"/>
        <v/>
      </c>
      <c r="H417" s="526" t="str">
        <f t="shared" si="42"/>
        <v/>
      </c>
      <c r="I417" s="1417" t="str">
        <f t="shared" si="43"/>
        <v/>
      </c>
      <c r="J417" s="1417"/>
      <c r="K417" s="527" t="str">
        <f t="shared" si="44"/>
        <v/>
      </c>
      <c r="L417" s="518" t="str">
        <f t="shared" si="45"/>
        <v/>
      </c>
      <c r="M417" s="528" t="str">
        <f t="shared" si="46"/>
        <v/>
      </c>
      <c r="N417" s="528" t="str">
        <f t="shared" si="49"/>
        <v/>
      </c>
      <c r="O417" s="526" t="str">
        <f t="shared" si="47"/>
        <v/>
      </c>
      <c r="P417" s="528" t="str">
        <f t="shared" si="48"/>
        <v/>
      </c>
    </row>
    <row r="418" spans="1:16" s="204" customFormat="1" ht="18" hidden="1" customHeight="1" x14ac:dyDescent="0.2">
      <c r="A418" s="518" t="str">
        <f t="shared" si="38"/>
        <v/>
      </c>
      <c r="B418" s="517">
        <f>LARGE($B$15:$B$264,148)</f>
        <v>0</v>
      </c>
      <c r="C418" s="526" t="str">
        <f t="shared" si="39"/>
        <v/>
      </c>
      <c r="D418" s="1416" t="str">
        <f t="shared" si="40"/>
        <v/>
      </c>
      <c r="E418" s="1416"/>
      <c r="F418" s="1416"/>
      <c r="G418" s="526" t="str">
        <f t="shared" si="41"/>
        <v/>
      </c>
      <c r="H418" s="526" t="str">
        <f t="shared" si="42"/>
        <v/>
      </c>
      <c r="I418" s="1417" t="str">
        <f t="shared" si="43"/>
        <v/>
      </c>
      <c r="J418" s="1417"/>
      <c r="K418" s="527" t="str">
        <f t="shared" si="44"/>
        <v/>
      </c>
      <c r="L418" s="518" t="str">
        <f t="shared" si="45"/>
        <v/>
      </c>
      <c r="M418" s="528" t="str">
        <f t="shared" si="46"/>
        <v/>
      </c>
      <c r="N418" s="528" t="str">
        <f t="shared" si="49"/>
        <v/>
      </c>
      <c r="O418" s="526" t="str">
        <f t="shared" si="47"/>
        <v/>
      </c>
      <c r="P418" s="528" t="str">
        <f t="shared" si="48"/>
        <v/>
      </c>
    </row>
    <row r="419" spans="1:16" s="204" customFormat="1" ht="18" hidden="1" customHeight="1" x14ac:dyDescent="0.2">
      <c r="A419" s="518" t="str">
        <f t="shared" si="38"/>
        <v/>
      </c>
      <c r="B419" s="517">
        <f>LARGE($B$15:$B$264,149)</f>
        <v>0</v>
      </c>
      <c r="C419" s="526" t="str">
        <f t="shared" si="39"/>
        <v/>
      </c>
      <c r="D419" s="1416" t="str">
        <f t="shared" si="40"/>
        <v/>
      </c>
      <c r="E419" s="1416"/>
      <c r="F419" s="1416"/>
      <c r="G419" s="526" t="str">
        <f t="shared" si="41"/>
        <v/>
      </c>
      <c r="H419" s="526" t="str">
        <f t="shared" si="42"/>
        <v/>
      </c>
      <c r="I419" s="1417" t="str">
        <f t="shared" si="43"/>
        <v/>
      </c>
      <c r="J419" s="1417"/>
      <c r="K419" s="527" t="str">
        <f t="shared" si="44"/>
        <v/>
      </c>
      <c r="L419" s="518" t="str">
        <f t="shared" si="45"/>
        <v/>
      </c>
      <c r="M419" s="528" t="str">
        <f t="shared" si="46"/>
        <v/>
      </c>
      <c r="N419" s="528" t="str">
        <f t="shared" si="49"/>
        <v/>
      </c>
      <c r="O419" s="526" t="str">
        <f t="shared" si="47"/>
        <v/>
      </c>
      <c r="P419" s="528" t="str">
        <f t="shared" si="48"/>
        <v/>
      </c>
    </row>
    <row r="420" spans="1:16" s="204" customFormat="1" ht="18" hidden="1" customHeight="1" x14ac:dyDescent="0.2">
      <c r="A420" s="518" t="str">
        <f t="shared" si="38"/>
        <v/>
      </c>
      <c r="B420" s="517">
        <f>LARGE($B$15:$B$264,150)</f>
        <v>0</v>
      </c>
      <c r="C420" s="526" t="str">
        <f t="shared" si="39"/>
        <v/>
      </c>
      <c r="D420" s="1416" t="str">
        <f t="shared" si="40"/>
        <v/>
      </c>
      <c r="E420" s="1416"/>
      <c r="F420" s="1416"/>
      <c r="G420" s="526" t="str">
        <f t="shared" si="41"/>
        <v/>
      </c>
      <c r="H420" s="526" t="str">
        <f t="shared" si="42"/>
        <v/>
      </c>
      <c r="I420" s="1417" t="str">
        <f t="shared" si="43"/>
        <v/>
      </c>
      <c r="J420" s="1417"/>
      <c r="K420" s="527" t="str">
        <f t="shared" si="44"/>
        <v/>
      </c>
      <c r="L420" s="518" t="str">
        <f t="shared" si="45"/>
        <v/>
      </c>
      <c r="M420" s="528" t="str">
        <f t="shared" si="46"/>
        <v/>
      </c>
      <c r="N420" s="528" t="str">
        <f t="shared" si="49"/>
        <v/>
      </c>
      <c r="O420" s="526" t="str">
        <f t="shared" si="47"/>
        <v/>
      </c>
      <c r="P420" s="528" t="str">
        <f t="shared" si="48"/>
        <v/>
      </c>
    </row>
    <row r="421" spans="1:16" s="204" customFormat="1" ht="18" hidden="1" customHeight="1" x14ac:dyDescent="0.2">
      <c r="A421" s="518" t="str">
        <f t="shared" si="38"/>
        <v/>
      </c>
      <c r="B421" s="517">
        <f>LARGE($B$15:$B$264,151)</f>
        <v>0</v>
      </c>
      <c r="C421" s="526" t="str">
        <f t="shared" si="39"/>
        <v/>
      </c>
      <c r="D421" s="1416" t="str">
        <f t="shared" si="40"/>
        <v/>
      </c>
      <c r="E421" s="1416"/>
      <c r="F421" s="1416"/>
      <c r="G421" s="526" t="str">
        <f t="shared" si="41"/>
        <v/>
      </c>
      <c r="H421" s="526" t="str">
        <f t="shared" si="42"/>
        <v/>
      </c>
      <c r="I421" s="1417" t="str">
        <f t="shared" si="43"/>
        <v/>
      </c>
      <c r="J421" s="1417"/>
      <c r="K421" s="527" t="str">
        <f t="shared" si="44"/>
        <v/>
      </c>
      <c r="L421" s="518" t="str">
        <f t="shared" si="45"/>
        <v/>
      </c>
      <c r="M421" s="528" t="str">
        <f t="shared" si="46"/>
        <v/>
      </c>
      <c r="N421" s="528" t="str">
        <f t="shared" si="49"/>
        <v/>
      </c>
      <c r="O421" s="526" t="str">
        <f t="shared" si="47"/>
        <v/>
      </c>
      <c r="P421" s="528" t="str">
        <f t="shared" si="48"/>
        <v/>
      </c>
    </row>
    <row r="422" spans="1:16" s="204" customFormat="1" ht="18" hidden="1" customHeight="1" x14ac:dyDescent="0.2">
      <c r="A422" s="518" t="str">
        <f t="shared" si="38"/>
        <v/>
      </c>
      <c r="B422" s="517">
        <f>LARGE($B$15:$B$264,152)</f>
        <v>0</v>
      </c>
      <c r="C422" s="526" t="str">
        <f t="shared" si="39"/>
        <v/>
      </c>
      <c r="D422" s="1416" t="str">
        <f t="shared" si="40"/>
        <v/>
      </c>
      <c r="E422" s="1416"/>
      <c r="F422" s="1416"/>
      <c r="G422" s="526" t="str">
        <f t="shared" si="41"/>
        <v/>
      </c>
      <c r="H422" s="526" t="str">
        <f t="shared" si="42"/>
        <v/>
      </c>
      <c r="I422" s="1417" t="str">
        <f t="shared" si="43"/>
        <v/>
      </c>
      <c r="J422" s="1417"/>
      <c r="K422" s="527" t="str">
        <f t="shared" si="44"/>
        <v/>
      </c>
      <c r="L422" s="518" t="str">
        <f t="shared" si="45"/>
        <v/>
      </c>
      <c r="M422" s="528" t="str">
        <f t="shared" si="46"/>
        <v/>
      </c>
      <c r="N422" s="528" t="str">
        <f t="shared" si="49"/>
        <v/>
      </c>
      <c r="O422" s="526" t="str">
        <f t="shared" si="47"/>
        <v/>
      </c>
      <c r="P422" s="528" t="str">
        <f t="shared" si="48"/>
        <v/>
      </c>
    </row>
    <row r="423" spans="1:16" s="204" customFormat="1" ht="18" hidden="1" customHeight="1" x14ac:dyDescent="0.2">
      <c r="A423" s="518" t="str">
        <f t="shared" si="38"/>
        <v/>
      </c>
      <c r="B423" s="517">
        <f>LARGE($B$15:$B$264,153)</f>
        <v>0</v>
      </c>
      <c r="C423" s="526" t="str">
        <f t="shared" si="39"/>
        <v/>
      </c>
      <c r="D423" s="1416" t="str">
        <f t="shared" si="40"/>
        <v/>
      </c>
      <c r="E423" s="1416"/>
      <c r="F423" s="1416"/>
      <c r="G423" s="526" t="str">
        <f t="shared" si="41"/>
        <v/>
      </c>
      <c r="H423" s="526" t="str">
        <f t="shared" si="42"/>
        <v/>
      </c>
      <c r="I423" s="1417" t="str">
        <f t="shared" si="43"/>
        <v/>
      </c>
      <c r="J423" s="1417"/>
      <c r="K423" s="527" t="str">
        <f t="shared" si="44"/>
        <v/>
      </c>
      <c r="L423" s="518" t="str">
        <f t="shared" si="45"/>
        <v/>
      </c>
      <c r="M423" s="528" t="str">
        <f t="shared" si="46"/>
        <v/>
      </c>
      <c r="N423" s="528" t="str">
        <f t="shared" si="49"/>
        <v/>
      </c>
      <c r="O423" s="526" t="str">
        <f t="shared" si="47"/>
        <v/>
      </c>
      <c r="P423" s="528" t="str">
        <f t="shared" si="48"/>
        <v/>
      </c>
    </row>
    <row r="424" spans="1:16" s="204" customFormat="1" ht="18" hidden="1" customHeight="1" x14ac:dyDescent="0.2">
      <c r="A424" s="518" t="str">
        <f t="shared" si="38"/>
        <v/>
      </c>
      <c r="B424" s="517">
        <f>LARGE($B$15:$B$264,154)</f>
        <v>0</v>
      </c>
      <c r="C424" s="526" t="str">
        <f t="shared" si="39"/>
        <v/>
      </c>
      <c r="D424" s="1416" t="str">
        <f t="shared" si="40"/>
        <v/>
      </c>
      <c r="E424" s="1416"/>
      <c r="F424" s="1416"/>
      <c r="G424" s="526" t="str">
        <f t="shared" si="41"/>
        <v/>
      </c>
      <c r="H424" s="526" t="str">
        <f t="shared" si="42"/>
        <v/>
      </c>
      <c r="I424" s="1417" t="str">
        <f t="shared" si="43"/>
        <v/>
      </c>
      <c r="J424" s="1417"/>
      <c r="K424" s="527" t="str">
        <f t="shared" si="44"/>
        <v/>
      </c>
      <c r="L424" s="518" t="str">
        <f t="shared" si="45"/>
        <v/>
      </c>
      <c r="M424" s="528" t="str">
        <f t="shared" si="46"/>
        <v/>
      </c>
      <c r="N424" s="528" t="str">
        <f t="shared" si="49"/>
        <v/>
      </c>
      <c r="O424" s="526" t="str">
        <f t="shared" si="47"/>
        <v/>
      </c>
      <c r="P424" s="528" t="str">
        <f t="shared" si="48"/>
        <v/>
      </c>
    </row>
    <row r="425" spans="1:16" s="204" customFormat="1" ht="18" hidden="1" customHeight="1" x14ac:dyDescent="0.2">
      <c r="A425" s="518" t="str">
        <f t="shared" si="38"/>
        <v/>
      </c>
      <c r="B425" s="517">
        <f>LARGE($B$15:$B$264,155)</f>
        <v>0</v>
      </c>
      <c r="C425" s="526" t="str">
        <f t="shared" si="39"/>
        <v/>
      </c>
      <c r="D425" s="1416" t="str">
        <f t="shared" si="40"/>
        <v/>
      </c>
      <c r="E425" s="1416"/>
      <c r="F425" s="1416"/>
      <c r="G425" s="526" t="str">
        <f t="shared" si="41"/>
        <v/>
      </c>
      <c r="H425" s="526" t="str">
        <f t="shared" si="42"/>
        <v/>
      </c>
      <c r="I425" s="1417" t="str">
        <f t="shared" si="43"/>
        <v/>
      </c>
      <c r="J425" s="1417"/>
      <c r="K425" s="527" t="str">
        <f t="shared" si="44"/>
        <v/>
      </c>
      <c r="L425" s="518" t="str">
        <f t="shared" si="45"/>
        <v/>
      </c>
      <c r="M425" s="528" t="str">
        <f t="shared" si="46"/>
        <v/>
      </c>
      <c r="N425" s="528" t="str">
        <f t="shared" si="49"/>
        <v/>
      </c>
      <c r="O425" s="526" t="str">
        <f t="shared" si="47"/>
        <v/>
      </c>
      <c r="P425" s="528" t="str">
        <f t="shared" si="48"/>
        <v/>
      </c>
    </row>
    <row r="426" spans="1:16" s="204" customFormat="1" ht="18" hidden="1" customHeight="1" x14ac:dyDescent="0.2">
      <c r="A426" s="518" t="str">
        <f t="shared" si="38"/>
        <v/>
      </c>
      <c r="B426" s="517">
        <f>LARGE($B$15:$B$264,156)</f>
        <v>0</v>
      </c>
      <c r="C426" s="526" t="str">
        <f t="shared" si="39"/>
        <v/>
      </c>
      <c r="D426" s="1416" t="str">
        <f t="shared" si="40"/>
        <v/>
      </c>
      <c r="E426" s="1416"/>
      <c r="F426" s="1416"/>
      <c r="G426" s="526" t="str">
        <f t="shared" si="41"/>
        <v/>
      </c>
      <c r="H426" s="526" t="str">
        <f t="shared" si="42"/>
        <v/>
      </c>
      <c r="I426" s="1417" t="str">
        <f t="shared" si="43"/>
        <v/>
      </c>
      <c r="J426" s="1417"/>
      <c r="K426" s="527" t="str">
        <f t="shared" si="44"/>
        <v/>
      </c>
      <c r="L426" s="518" t="str">
        <f t="shared" si="45"/>
        <v/>
      </c>
      <c r="M426" s="528" t="str">
        <f t="shared" si="46"/>
        <v/>
      </c>
      <c r="N426" s="528" t="str">
        <f t="shared" si="49"/>
        <v/>
      </c>
      <c r="O426" s="526" t="str">
        <f t="shared" si="47"/>
        <v/>
      </c>
      <c r="P426" s="528" t="str">
        <f t="shared" si="48"/>
        <v/>
      </c>
    </row>
    <row r="427" spans="1:16" s="204" customFormat="1" ht="18" hidden="1" customHeight="1" x14ac:dyDescent="0.2">
      <c r="A427" s="518" t="str">
        <f t="shared" si="38"/>
        <v/>
      </c>
      <c r="B427" s="517">
        <f>LARGE($B$15:$B$264,157)</f>
        <v>0</v>
      </c>
      <c r="C427" s="526" t="str">
        <f t="shared" si="39"/>
        <v/>
      </c>
      <c r="D427" s="1416" t="str">
        <f t="shared" si="40"/>
        <v/>
      </c>
      <c r="E427" s="1416"/>
      <c r="F427" s="1416"/>
      <c r="G427" s="526" t="str">
        <f t="shared" si="41"/>
        <v/>
      </c>
      <c r="H427" s="526" t="str">
        <f t="shared" si="42"/>
        <v/>
      </c>
      <c r="I427" s="1417" t="str">
        <f t="shared" si="43"/>
        <v/>
      </c>
      <c r="J427" s="1417"/>
      <c r="K427" s="527" t="str">
        <f t="shared" si="44"/>
        <v/>
      </c>
      <c r="L427" s="518" t="str">
        <f t="shared" si="45"/>
        <v/>
      </c>
      <c r="M427" s="528" t="str">
        <f t="shared" si="46"/>
        <v/>
      </c>
      <c r="N427" s="528" t="str">
        <f t="shared" si="49"/>
        <v/>
      </c>
      <c r="O427" s="526" t="str">
        <f t="shared" si="47"/>
        <v/>
      </c>
      <c r="P427" s="528" t="str">
        <f t="shared" si="48"/>
        <v/>
      </c>
    </row>
    <row r="428" spans="1:16" s="204" customFormat="1" ht="18" hidden="1" customHeight="1" x14ac:dyDescent="0.2">
      <c r="A428" s="518" t="str">
        <f t="shared" si="38"/>
        <v/>
      </c>
      <c r="B428" s="517">
        <f>LARGE($B$15:$B$264,158)</f>
        <v>0</v>
      </c>
      <c r="C428" s="526" t="str">
        <f t="shared" si="39"/>
        <v/>
      </c>
      <c r="D428" s="1416" t="str">
        <f t="shared" si="40"/>
        <v/>
      </c>
      <c r="E428" s="1416"/>
      <c r="F428" s="1416"/>
      <c r="G428" s="526" t="str">
        <f t="shared" si="41"/>
        <v/>
      </c>
      <c r="H428" s="526" t="str">
        <f t="shared" si="42"/>
        <v/>
      </c>
      <c r="I428" s="1417" t="str">
        <f t="shared" si="43"/>
        <v/>
      </c>
      <c r="J428" s="1417"/>
      <c r="K428" s="527" t="str">
        <f t="shared" si="44"/>
        <v/>
      </c>
      <c r="L428" s="518" t="str">
        <f t="shared" si="45"/>
        <v/>
      </c>
      <c r="M428" s="528" t="str">
        <f t="shared" si="46"/>
        <v/>
      </c>
      <c r="N428" s="528" t="str">
        <f t="shared" si="49"/>
        <v/>
      </c>
      <c r="O428" s="526" t="str">
        <f t="shared" si="47"/>
        <v/>
      </c>
      <c r="P428" s="528" t="str">
        <f t="shared" si="48"/>
        <v/>
      </c>
    </row>
    <row r="429" spans="1:16" s="204" customFormat="1" ht="18" hidden="1" customHeight="1" x14ac:dyDescent="0.2">
      <c r="A429" s="518" t="str">
        <f t="shared" si="38"/>
        <v/>
      </c>
      <c r="B429" s="517">
        <f>LARGE($B$15:$B$264,159)</f>
        <v>0</v>
      </c>
      <c r="C429" s="526" t="str">
        <f t="shared" si="39"/>
        <v/>
      </c>
      <c r="D429" s="1416" t="str">
        <f t="shared" si="40"/>
        <v/>
      </c>
      <c r="E429" s="1416"/>
      <c r="F429" s="1416"/>
      <c r="G429" s="526" t="str">
        <f t="shared" si="41"/>
        <v/>
      </c>
      <c r="H429" s="526" t="str">
        <f t="shared" si="42"/>
        <v/>
      </c>
      <c r="I429" s="1417" t="str">
        <f t="shared" si="43"/>
        <v/>
      </c>
      <c r="J429" s="1417"/>
      <c r="K429" s="527" t="str">
        <f t="shared" si="44"/>
        <v/>
      </c>
      <c r="L429" s="518" t="str">
        <f t="shared" si="45"/>
        <v/>
      </c>
      <c r="M429" s="528" t="str">
        <f t="shared" si="46"/>
        <v/>
      </c>
      <c r="N429" s="528" t="str">
        <f t="shared" si="49"/>
        <v/>
      </c>
      <c r="O429" s="526" t="str">
        <f t="shared" si="47"/>
        <v/>
      </c>
      <c r="P429" s="528" t="str">
        <f t="shared" si="48"/>
        <v/>
      </c>
    </row>
    <row r="430" spans="1:16" s="204" customFormat="1" ht="18" hidden="1" customHeight="1" x14ac:dyDescent="0.2">
      <c r="A430" s="518" t="str">
        <f t="shared" si="38"/>
        <v/>
      </c>
      <c r="B430" s="517">
        <f>LARGE($B$15:$B$264,160)</f>
        <v>0</v>
      </c>
      <c r="C430" s="526" t="str">
        <f t="shared" si="39"/>
        <v/>
      </c>
      <c r="D430" s="1416" t="str">
        <f t="shared" si="40"/>
        <v/>
      </c>
      <c r="E430" s="1416"/>
      <c r="F430" s="1416"/>
      <c r="G430" s="526" t="str">
        <f t="shared" si="41"/>
        <v/>
      </c>
      <c r="H430" s="526" t="str">
        <f t="shared" si="42"/>
        <v/>
      </c>
      <c r="I430" s="1417" t="str">
        <f t="shared" si="43"/>
        <v/>
      </c>
      <c r="J430" s="1417"/>
      <c r="K430" s="527" t="str">
        <f t="shared" si="44"/>
        <v/>
      </c>
      <c r="L430" s="518" t="str">
        <f t="shared" si="45"/>
        <v/>
      </c>
      <c r="M430" s="528" t="str">
        <f t="shared" si="46"/>
        <v/>
      </c>
      <c r="N430" s="528" t="str">
        <f t="shared" si="49"/>
        <v/>
      </c>
      <c r="O430" s="526" t="str">
        <f t="shared" si="47"/>
        <v/>
      </c>
      <c r="P430" s="528" t="str">
        <f t="shared" si="48"/>
        <v/>
      </c>
    </row>
    <row r="431" spans="1:16" s="204" customFormat="1" ht="18" hidden="1" customHeight="1" x14ac:dyDescent="0.2">
      <c r="A431" s="518" t="str">
        <f t="shared" si="38"/>
        <v/>
      </c>
      <c r="B431" s="517">
        <f>LARGE($B$15:$B$264,161)</f>
        <v>0</v>
      </c>
      <c r="C431" s="526" t="str">
        <f t="shared" si="39"/>
        <v/>
      </c>
      <c r="D431" s="1416" t="str">
        <f t="shared" si="40"/>
        <v/>
      </c>
      <c r="E431" s="1416"/>
      <c r="F431" s="1416"/>
      <c r="G431" s="526" t="str">
        <f t="shared" si="41"/>
        <v/>
      </c>
      <c r="H431" s="526" t="str">
        <f t="shared" si="42"/>
        <v/>
      </c>
      <c r="I431" s="1417" t="str">
        <f t="shared" si="43"/>
        <v/>
      </c>
      <c r="J431" s="1417"/>
      <c r="K431" s="527" t="str">
        <f t="shared" si="44"/>
        <v/>
      </c>
      <c r="L431" s="518" t="str">
        <f t="shared" si="45"/>
        <v/>
      </c>
      <c r="M431" s="528" t="str">
        <f t="shared" si="46"/>
        <v/>
      </c>
      <c r="N431" s="528" t="str">
        <f t="shared" si="49"/>
        <v/>
      </c>
      <c r="O431" s="526" t="str">
        <f t="shared" si="47"/>
        <v/>
      </c>
      <c r="P431" s="528" t="str">
        <f t="shared" si="48"/>
        <v/>
      </c>
    </row>
    <row r="432" spans="1:16" s="204" customFormat="1" ht="18" hidden="1" customHeight="1" x14ac:dyDescent="0.2">
      <c r="A432" s="518" t="str">
        <f t="shared" si="38"/>
        <v/>
      </c>
      <c r="B432" s="517">
        <f>LARGE($B$15:$B$264,162)</f>
        <v>0</v>
      </c>
      <c r="C432" s="526" t="str">
        <f t="shared" si="39"/>
        <v/>
      </c>
      <c r="D432" s="1416" t="str">
        <f t="shared" si="40"/>
        <v/>
      </c>
      <c r="E432" s="1416"/>
      <c r="F432" s="1416"/>
      <c r="G432" s="526" t="str">
        <f t="shared" si="41"/>
        <v/>
      </c>
      <c r="H432" s="526" t="str">
        <f t="shared" si="42"/>
        <v/>
      </c>
      <c r="I432" s="1417" t="str">
        <f t="shared" si="43"/>
        <v/>
      </c>
      <c r="J432" s="1417"/>
      <c r="K432" s="527" t="str">
        <f t="shared" si="44"/>
        <v/>
      </c>
      <c r="L432" s="518" t="str">
        <f t="shared" si="45"/>
        <v/>
      </c>
      <c r="M432" s="528" t="str">
        <f t="shared" si="46"/>
        <v/>
      </c>
      <c r="N432" s="528" t="str">
        <f t="shared" si="49"/>
        <v/>
      </c>
      <c r="O432" s="526" t="str">
        <f t="shared" si="47"/>
        <v/>
      </c>
      <c r="P432" s="528" t="str">
        <f t="shared" si="48"/>
        <v/>
      </c>
    </row>
    <row r="433" spans="1:16" s="204" customFormat="1" ht="18" hidden="1" customHeight="1" x14ac:dyDescent="0.2">
      <c r="A433" s="518" t="str">
        <f t="shared" si="38"/>
        <v/>
      </c>
      <c r="B433" s="517">
        <f>LARGE($B$15:$B$264,163)</f>
        <v>0</v>
      </c>
      <c r="C433" s="526" t="str">
        <f t="shared" si="39"/>
        <v/>
      </c>
      <c r="D433" s="1416" t="str">
        <f t="shared" si="40"/>
        <v/>
      </c>
      <c r="E433" s="1416"/>
      <c r="F433" s="1416"/>
      <c r="G433" s="526" t="str">
        <f t="shared" si="41"/>
        <v/>
      </c>
      <c r="H433" s="526" t="str">
        <f t="shared" si="42"/>
        <v/>
      </c>
      <c r="I433" s="1417" t="str">
        <f t="shared" si="43"/>
        <v/>
      </c>
      <c r="J433" s="1417"/>
      <c r="K433" s="527" t="str">
        <f t="shared" si="44"/>
        <v/>
      </c>
      <c r="L433" s="518" t="str">
        <f t="shared" si="45"/>
        <v/>
      </c>
      <c r="M433" s="528" t="str">
        <f t="shared" si="46"/>
        <v/>
      </c>
      <c r="N433" s="528" t="str">
        <f t="shared" si="49"/>
        <v/>
      </c>
      <c r="O433" s="526" t="str">
        <f t="shared" si="47"/>
        <v/>
      </c>
      <c r="P433" s="528" t="str">
        <f t="shared" si="48"/>
        <v/>
      </c>
    </row>
    <row r="434" spans="1:16" s="204" customFormat="1" ht="18" hidden="1" customHeight="1" x14ac:dyDescent="0.2">
      <c r="A434" s="518" t="str">
        <f t="shared" si="38"/>
        <v/>
      </c>
      <c r="B434" s="517">
        <f>LARGE($B$15:$B$264,164)</f>
        <v>0</v>
      </c>
      <c r="C434" s="526" t="str">
        <f t="shared" si="39"/>
        <v/>
      </c>
      <c r="D434" s="1416" t="str">
        <f t="shared" si="40"/>
        <v/>
      </c>
      <c r="E434" s="1416"/>
      <c r="F434" s="1416"/>
      <c r="G434" s="526" t="str">
        <f t="shared" si="41"/>
        <v/>
      </c>
      <c r="H434" s="526" t="str">
        <f t="shared" si="42"/>
        <v/>
      </c>
      <c r="I434" s="1417" t="str">
        <f t="shared" si="43"/>
        <v/>
      </c>
      <c r="J434" s="1417"/>
      <c r="K434" s="527" t="str">
        <f t="shared" si="44"/>
        <v/>
      </c>
      <c r="L434" s="518" t="str">
        <f t="shared" si="45"/>
        <v/>
      </c>
      <c r="M434" s="528" t="str">
        <f t="shared" si="46"/>
        <v/>
      </c>
      <c r="N434" s="528" t="str">
        <f t="shared" si="49"/>
        <v/>
      </c>
      <c r="O434" s="526" t="str">
        <f t="shared" si="47"/>
        <v/>
      </c>
      <c r="P434" s="528" t="str">
        <f t="shared" si="48"/>
        <v/>
      </c>
    </row>
    <row r="435" spans="1:16" s="204" customFormat="1" ht="18" hidden="1" customHeight="1" x14ac:dyDescent="0.2">
      <c r="A435" s="518" t="str">
        <f t="shared" si="38"/>
        <v/>
      </c>
      <c r="B435" s="517">
        <f>LARGE($B$15:$B$264,165)</f>
        <v>0</v>
      </c>
      <c r="C435" s="526" t="str">
        <f t="shared" si="39"/>
        <v/>
      </c>
      <c r="D435" s="1416" t="str">
        <f t="shared" si="40"/>
        <v/>
      </c>
      <c r="E435" s="1416"/>
      <c r="F435" s="1416"/>
      <c r="G435" s="526" t="str">
        <f t="shared" si="41"/>
        <v/>
      </c>
      <c r="H435" s="526" t="str">
        <f t="shared" si="42"/>
        <v/>
      </c>
      <c r="I435" s="1417" t="str">
        <f t="shared" si="43"/>
        <v/>
      </c>
      <c r="J435" s="1417"/>
      <c r="K435" s="527" t="str">
        <f t="shared" si="44"/>
        <v/>
      </c>
      <c r="L435" s="518" t="str">
        <f t="shared" si="45"/>
        <v/>
      </c>
      <c r="M435" s="528" t="str">
        <f t="shared" si="46"/>
        <v/>
      </c>
      <c r="N435" s="528" t="str">
        <f t="shared" si="49"/>
        <v/>
      </c>
      <c r="O435" s="526" t="str">
        <f t="shared" si="47"/>
        <v/>
      </c>
      <c r="P435" s="528" t="str">
        <f t="shared" si="48"/>
        <v/>
      </c>
    </row>
    <row r="436" spans="1:16" s="204" customFormat="1" ht="18" hidden="1" customHeight="1" x14ac:dyDescent="0.2">
      <c r="A436" s="518" t="str">
        <f t="shared" si="38"/>
        <v/>
      </c>
      <c r="B436" s="517">
        <f>LARGE($B$15:$B$264,166)</f>
        <v>0</v>
      </c>
      <c r="C436" s="526" t="str">
        <f t="shared" si="39"/>
        <v/>
      </c>
      <c r="D436" s="1416" t="str">
        <f t="shared" si="40"/>
        <v/>
      </c>
      <c r="E436" s="1416"/>
      <c r="F436" s="1416"/>
      <c r="G436" s="526" t="str">
        <f t="shared" si="41"/>
        <v/>
      </c>
      <c r="H436" s="526" t="str">
        <f t="shared" si="42"/>
        <v/>
      </c>
      <c r="I436" s="1417" t="str">
        <f t="shared" si="43"/>
        <v/>
      </c>
      <c r="J436" s="1417"/>
      <c r="K436" s="527" t="str">
        <f t="shared" si="44"/>
        <v/>
      </c>
      <c r="L436" s="518" t="str">
        <f t="shared" si="45"/>
        <v/>
      </c>
      <c r="M436" s="528" t="str">
        <f t="shared" si="46"/>
        <v/>
      </c>
      <c r="N436" s="528" t="str">
        <f t="shared" si="49"/>
        <v/>
      </c>
      <c r="O436" s="526" t="str">
        <f t="shared" si="47"/>
        <v/>
      </c>
      <c r="P436" s="528" t="str">
        <f t="shared" si="48"/>
        <v/>
      </c>
    </row>
    <row r="437" spans="1:16" s="204" customFormat="1" ht="18" hidden="1" customHeight="1" x14ac:dyDescent="0.2">
      <c r="A437" s="518" t="str">
        <f t="shared" si="38"/>
        <v/>
      </c>
      <c r="B437" s="517">
        <f>LARGE($B$15:$B$264,167)</f>
        <v>0</v>
      </c>
      <c r="C437" s="526" t="str">
        <f t="shared" si="39"/>
        <v/>
      </c>
      <c r="D437" s="1416" t="str">
        <f t="shared" si="40"/>
        <v/>
      </c>
      <c r="E437" s="1416"/>
      <c r="F437" s="1416"/>
      <c r="G437" s="526" t="str">
        <f t="shared" si="41"/>
        <v/>
      </c>
      <c r="H437" s="526" t="str">
        <f t="shared" si="42"/>
        <v/>
      </c>
      <c r="I437" s="1417" t="str">
        <f t="shared" si="43"/>
        <v/>
      </c>
      <c r="J437" s="1417"/>
      <c r="K437" s="527" t="str">
        <f t="shared" si="44"/>
        <v/>
      </c>
      <c r="L437" s="518" t="str">
        <f t="shared" si="45"/>
        <v/>
      </c>
      <c r="M437" s="528" t="str">
        <f t="shared" si="46"/>
        <v/>
      </c>
      <c r="N437" s="528" t="str">
        <f t="shared" si="49"/>
        <v/>
      </c>
      <c r="O437" s="526" t="str">
        <f t="shared" si="47"/>
        <v/>
      </c>
      <c r="P437" s="528" t="str">
        <f t="shared" si="48"/>
        <v/>
      </c>
    </row>
    <row r="438" spans="1:16" s="204" customFormat="1" ht="18" hidden="1" customHeight="1" x14ac:dyDescent="0.2">
      <c r="A438" s="518" t="str">
        <f t="shared" si="38"/>
        <v/>
      </c>
      <c r="B438" s="517">
        <f>LARGE($B$15:$B$264,168)</f>
        <v>0</v>
      </c>
      <c r="C438" s="526" t="str">
        <f t="shared" si="39"/>
        <v/>
      </c>
      <c r="D438" s="1416" t="str">
        <f t="shared" si="40"/>
        <v/>
      </c>
      <c r="E438" s="1416"/>
      <c r="F438" s="1416"/>
      <c r="G438" s="526" t="str">
        <f t="shared" si="41"/>
        <v/>
      </c>
      <c r="H438" s="526" t="str">
        <f t="shared" si="42"/>
        <v/>
      </c>
      <c r="I438" s="1417" t="str">
        <f t="shared" si="43"/>
        <v/>
      </c>
      <c r="J438" s="1417"/>
      <c r="K438" s="527" t="str">
        <f t="shared" si="44"/>
        <v/>
      </c>
      <c r="L438" s="518" t="str">
        <f t="shared" si="45"/>
        <v/>
      </c>
      <c r="M438" s="528" t="str">
        <f t="shared" si="46"/>
        <v/>
      </c>
      <c r="N438" s="528" t="str">
        <f t="shared" si="49"/>
        <v/>
      </c>
      <c r="O438" s="526" t="str">
        <f t="shared" si="47"/>
        <v/>
      </c>
      <c r="P438" s="528" t="str">
        <f t="shared" si="48"/>
        <v/>
      </c>
    </row>
    <row r="439" spans="1:16" s="204" customFormat="1" ht="18" hidden="1" customHeight="1" x14ac:dyDescent="0.2">
      <c r="A439" s="518" t="str">
        <f t="shared" si="38"/>
        <v/>
      </c>
      <c r="B439" s="517">
        <f>LARGE($B$15:$B$264,169)</f>
        <v>0</v>
      </c>
      <c r="C439" s="526" t="str">
        <f t="shared" si="39"/>
        <v/>
      </c>
      <c r="D439" s="1416" t="str">
        <f t="shared" si="40"/>
        <v/>
      </c>
      <c r="E439" s="1416"/>
      <c r="F439" s="1416"/>
      <c r="G439" s="526" t="str">
        <f t="shared" si="41"/>
        <v/>
      </c>
      <c r="H439" s="526" t="str">
        <f t="shared" si="42"/>
        <v/>
      </c>
      <c r="I439" s="1417" t="str">
        <f t="shared" si="43"/>
        <v/>
      </c>
      <c r="J439" s="1417"/>
      <c r="K439" s="527" t="str">
        <f t="shared" si="44"/>
        <v/>
      </c>
      <c r="L439" s="518" t="str">
        <f t="shared" si="45"/>
        <v/>
      </c>
      <c r="M439" s="528" t="str">
        <f t="shared" si="46"/>
        <v/>
      </c>
      <c r="N439" s="528" t="str">
        <f t="shared" si="49"/>
        <v/>
      </c>
      <c r="O439" s="526" t="str">
        <f t="shared" si="47"/>
        <v/>
      </c>
      <c r="P439" s="528" t="str">
        <f t="shared" si="48"/>
        <v/>
      </c>
    </row>
    <row r="440" spans="1:16" s="204" customFormat="1" ht="18" hidden="1" customHeight="1" x14ac:dyDescent="0.2">
      <c r="A440" s="518" t="str">
        <f t="shared" si="38"/>
        <v/>
      </c>
      <c r="B440" s="517">
        <f>LARGE($B$15:$B$264,170)</f>
        <v>0</v>
      </c>
      <c r="C440" s="526" t="str">
        <f t="shared" si="39"/>
        <v/>
      </c>
      <c r="D440" s="1416" t="str">
        <f t="shared" si="40"/>
        <v/>
      </c>
      <c r="E440" s="1416"/>
      <c r="F440" s="1416"/>
      <c r="G440" s="526" t="str">
        <f t="shared" si="41"/>
        <v/>
      </c>
      <c r="H440" s="526" t="str">
        <f t="shared" si="42"/>
        <v/>
      </c>
      <c r="I440" s="1417" t="str">
        <f t="shared" si="43"/>
        <v/>
      </c>
      <c r="J440" s="1417"/>
      <c r="K440" s="527" t="str">
        <f t="shared" si="44"/>
        <v/>
      </c>
      <c r="L440" s="518" t="str">
        <f t="shared" si="45"/>
        <v/>
      </c>
      <c r="M440" s="528" t="str">
        <f t="shared" si="46"/>
        <v/>
      </c>
      <c r="N440" s="528" t="str">
        <f t="shared" si="49"/>
        <v/>
      </c>
      <c r="O440" s="526" t="str">
        <f t="shared" si="47"/>
        <v/>
      </c>
      <c r="P440" s="528" t="str">
        <f t="shared" si="48"/>
        <v/>
      </c>
    </row>
    <row r="441" spans="1:16" s="204" customFormat="1" ht="18" hidden="1" customHeight="1" x14ac:dyDescent="0.2">
      <c r="A441" s="518" t="str">
        <f t="shared" si="38"/>
        <v/>
      </c>
      <c r="B441" s="517">
        <f>LARGE($B$15:$B$264,171)</f>
        <v>0</v>
      </c>
      <c r="C441" s="526" t="str">
        <f t="shared" si="39"/>
        <v/>
      </c>
      <c r="D441" s="1416" t="str">
        <f t="shared" si="40"/>
        <v/>
      </c>
      <c r="E441" s="1416"/>
      <c r="F441" s="1416"/>
      <c r="G441" s="526" t="str">
        <f t="shared" si="41"/>
        <v/>
      </c>
      <c r="H441" s="526" t="str">
        <f t="shared" si="42"/>
        <v/>
      </c>
      <c r="I441" s="1417" t="str">
        <f t="shared" si="43"/>
        <v/>
      </c>
      <c r="J441" s="1417"/>
      <c r="K441" s="527" t="str">
        <f t="shared" si="44"/>
        <v/>
      </c>
      <c r="L441" s="518" t="str">
        <f t="shared" si="45"/>
        <v/>
      </c>
      <c r="M441" s="528" t="str">
        <f t="shared" si="46"/>
        <v/>
      </c>
      <c r="N441" s="528" t="str">
        <f t="shared" si="49"/>
        <v/>
      </c>
      <c r="O441" s="526" t="str">
        <f t="shared" si="47"/>
        <v/>
      </c>
      <c r="P441" s="528" t="str">
        <f t="shared" si="48"/>
        <v/>
      </c>
    </row>
    <row r="442" spans="1:16" s="204" customFormat="1" ht="18" hidden="1" customHeight="1" x14ac:dyDescent="0.2">
      <c r="A442" s="518" t="str">
        <f t="shared" si="38"/>
        <v/>
      </c>
      <c r="B442" s="517">
        <f>LARGE($B$15:$B$264,172)</f>
        <v>0</v>
      </c>
      <c r="C442" s="526" t="str">
        <f t="shared" si="39"/>
        <v/>
      </c>
      <c r="D442" s="1416" t="str">
        <f t="shared" si="40"/>
        <v/>
      </c>
      <c r="E442" s="1416"/>
      <c r="F442" s="1416"/>
      <c r="G442" s="526" t="str">
        <f t="shared" si="41"/>
        <v/>
      </c>
      <c r="H442" s="526" t="str">
        <f t="shared" si="42"/>
        <v/>
      </c>
      <c r="I442" s="1417" t="str">
        <f t="shared" si="43"/>
        <v/>
      </c>
      <c r="J442" s="1417"/>
      <c r="K442" s="527" t="str">
        <f t="shared" si="44"/>
        <v/>
      </c>
      <c r="L442" s="518" t="str">
        <f t="shared" si="45"/>
        <v/>
      </c>
      <c r="M442" s="528" t="str">
        <f t="shared" si="46"/>
        <v/>
      </c>
      <c r="N442" s="528" t="str">
        <f t="shared" si="49"/>
        <v/>
      </c>
      <c r="O442" s="526" t="str">
        <f t="shared" si="47"/>
        <v/>
      </c>
      <c r="P442" s="528" t="str">
        <f t="shared" si="48"/>
        <v/>
      </c>
    </row>
    <row r="443" spans="1:16" s="204" customFormat="1" ht="18" hidden="1" customHeight="1" x14ac:dyDescent="0.2">
      <c r="A443" s="518" t="str">
        <f t="shared" si="38"/>
        <v/>
      </c>
      <c r="B443" s="517">
        <f>LARGE($B$15:$B$264,173)</f>
        <v>0</v>
      </c>
      <c r="C443" s="526" t="str">
        <f t="shared" si="39"/>
        <v/>
      </c>
      <c r="D443" s="1416" t="str">
        <f t="shared" si="40"/>
        <v/>
      </c>
      <c r="E443" s="1416"/>
      <c r="F443" s="1416"/>
      <c r="G443" s="526" t="str">
        <f t="shared" si="41"/>
        <v/>
      </c>
      <c r="H443" s="526" t="str">
        <f t="shared" si="42"/>
        <v/>
      </c>
      <c r="I443" s="1417" t="str">
        <f t="shared" si="43"/>
        <v/>
      </c>
      <c r="J443" s="1417"/>
      <c r="K443" s="527" t="str">
        <f t="shared" si="44"/>
        <v/>
      </c>
      <c r="L443" s="518" t="str">
        <f t="shared" si="45"/>
        <v/>
      </c>
      <c r="M443" s="528" t="str">
        <f t="shared" si="46"/>
        <v/>
      </c>
      <c r="N443" s="528" t="str">
        <f t="shared" si="49"/>
        <v/>
      </c>
      <c r="O443" s="526" t="str">
        <f t="shared" si="47"/>
        <v/>
      </c>
      <c r="P443" s="528" t="str">
        <f t="shared" si="48"/>
        <v/>
      </c>
    </row>
    <row r="444" spans="1:16" s="204" customFormat="1" ht="18" hidden="1" customHeight="1" x14ac:dyDescent="0.2">
      <c r="A444" s="518" t="str">
        <f t="shared" si="38"/>
        <v/>
      </c>
      <c r="B444" s="517">
        <f>LARGE($B$15:$B$264,174)</f>
        <v>0</v>
      </c>
      <c r="C444" s="526" t="str">
        <f t="shared" si="39"/>
        <v/>
      </c>
      <c r="D444" s="1416" t="str">
        <f t="shared" si="40"/>
        <v/>
      </c>
      <c r="E444" s="1416"/>
      <c r="F444" s="1416"/>
      <c r="G444" s="526" t="str">
        <f t="shared" si="41"/>
        <v/>
      </c>
      <c r="H444" s="526" t="str">
        <f t="shared" si="42"/>
        <v/>
      </c>
      <c r="I444" s="1417" t="str">
        <f t="shared" si="43"/>
        <v/>
      </c>
      <c r="J444" s="1417"/>
      <c r="K444" s="527" t="str">
        <f t="shared" si="44"/>
        <v/>
      </c>
      <c r="L444" s="518" t="str">
        <f t="shared" si="45"/>
        <v/>
      </c>
      <c r="M444" s="528" t="str">
        <f t="shared" si="46"/>
        <v/>
      </c>
      <c r="N444" s="528" t="str">
        <f t="shared" si="49"/>
        <v/>
      </c>
      <c r="O444" s="526" t="str">
        <f t="shared" si="47"/>
        <v/>
      </c>
      <c r="P444" s="528" t="str">
        <f t="shared" si="48"/>
        <v/>
      </c>
    </row>
    <row r="445" spans="1:16" s="204" customFormat="1" ht="18" hidden="1" customHeight="1" x14ac:dyDescent="0.2">
      <c r="A445" s="518" t="str">
        <f t="shared" si="38"/>
        <v/>
      </c>
      <c r="B445" s="517">
        <f>LARGE($B$15:$B$264,175)</f>
        <v>0</v>
      </c>
      <c r="C445" s="526" t="str">
        <f t="shared" si="39"/>
        <v/>
      </c>
      <c r="D445" s="1416" t="str">
        <f t="shared" si="40"/>
        <v/>
      </c>
      <c r="E445" s="1416"/>
      <c r="F445" s="1416"/>
      <c r="G445" s="526" t="str">
        <f t="shared" si="41"/>
        <v/>
      </c>
      <c r="H445" s="526" t="str">
        <f t="shared" si="42"/>
        <v/>
      </c>
      <c r="I445" s="1417" t="str">
        <f t="shared" si="43"/>
        <v/>
      </c>
      <c r="J445" s="1417"/>
      <c r="K445" s="527" t="str">
        <f t="shared" si="44"/>
        <v/>
      </c>
      <c r="L445" s="518" t="str">
        <f t="shared" si="45"/>
        <v/>
      </c>
      <c r="M445" s="528" t="str">
        <f t="shared" si="46"/>
        <v/>
      </c>
      <c r="N445" s="528" t="str">
        <f t="shared" si="49"/>
        <v/>
      </c>
      <c r="O445" s="526" t="str">
        <f t="shared" si="47"/>
        <v/>
      </c>
      <c r="P445" s="528" t="str">
        <f t="shared" si="48"/>
        <v/>
      </c>
    </row>
    <row r="446" spans="1:16" s="204" customFormat="1" ht="18" hidden="1" customHeight="1" x14ac:dyDescent="0.2">
      <c r="A446" s="518" t="str">
        <f t="shared" si="38"/>
        <v/>
      </c>
      <c r="B446" s="517">
        <f>LARGE($B$15:$B$264,176)</f>
        <v>0</v>
      </c>
      <c r="C446" s="526" t="str">
        <f t="shared" si="39"/>
        <v/>
      </c>
      <c r="D446" s="1416" t="str">
        <f t="shared" si="40"/>
        <v/>
      </c>
      <c r="E446" s="1416"/>
      <c r="F446" s="1416"/>
      <c r="G446" s="526" t="str">
        <f t="shared" si="41"/>
        <v/>
      </c>
      <c r="H446" s="526" t="str">
        <f t="shared" si="42"/>
        <v/>
      </c>
      <c r="I446" s="1417" t="str">
        <f t="shared" si="43"/>
        <v/>
      </c>
      <c r="J446" s="1417"/>
      <c r="K446" s="527" t="str">
        <f t="shared" si="44"/>
        <v/>
      </c>
      <c r="L446" s="518" t="str">
        <f t="shared" si="45"/>
        <v/>
      </c>
      <c r="M446" s="528" t="str">
        <f t="shared" si="46"/>
        <v/>
      </c>
      <c r="N446" s="528" t="str">
        <f t="shared" si="49"/>
        <v/>
      </c>
      <c r="O446" s="526" t="str">
        <f t="shared" si="47"/>
        <v/>
      </c>
      <c r="P446" s="528" t="str">
        <f t="shared" si="48"/>
        <v/>
      </c>
    </row>
    <row r="447" spans="1:16" s="204" customFormat="1" ht="18" hidden="1" customHeight="1" x14ac:dyDescent="0.2">
      <c r="A447" s="518" t="str">
        <f t="shared" si="38"/>
        <v/>
      </c>
      <c r="B447" s="517">
        <f>LARGE($B$15:$B$264,177)</f>
        <v>0</v>
      </c>
      <c r="C447" s="526" t="str">
        <f t="shared" si="39"/>
        <v/>
      </c>
      <c r="D447" s="1416" t="str">
        <f t="shared" si="40"/>
        <v/>
      </c>
      <c r="E447" s="1416"/>
      <c r="F447" s="1416"/>
      <c r="G447" s="526" t="str">
        <f t="shared" si="41"/>
        <v/>
      </c>
      <c r="H447" s="526" t="str">
        <f t="shared" si="42"/>
        <v/>
      </c>
      <c r="I447" s="1417" t="str">
        <f t="shared" si="43"/>
        <v/>
      </c>
      <c r="J447" s="1417"/>
      <c r="K447" s="527" t="str">
        <f t="shared" si="44"/>
        <v/>
      </c>
      <c r="L447" s="518" t="str">
        <f t="shared" si="45"/>
        <v/>
      </c>
      <c r="M447" s="528" t="str">
        <f t="shared" si="46"/>
        <v/>
      </c>
      <c r="N447" s="528" t="str">
        <f t="shared" si="49"/>
        <v/>
      </c>
      <c r="O447" s="526" t="str">
        <f t="shared" si="47"/>
        <v/>
      </c>
      <c r="P447" s="528" t="str">
        <f t="shared" si="48"/>
        <v/>
      </c>
    </row>
    <row r="448" spans="1:16" s="204" customFormat="1" ht="18" hidden="1" customHeight="1" x14ac:dyDescent="0.2">
      <c r="A448" s="518" t="str">
        <f t="shared" si="38"/>
        <v/>
      </c>
      <c r="B448" s="517">
        <f>LARGE($B$15:$B$264,178)</f>
        <v>0</v>
      </c>
      <c r="C448" s="526" t="str">
        <f t="shared" si="39"/>
        <v/>
      </c>
      <c r="D448" s="1416" t="str">
        <f t="shared" si="40"/>
        <v/>
      </c>
      <c r="E448" s="1416"/>
      <c r="F448" s="1416"/>
      <c r="G448" s="526" t="str">
        <f t="shared" si="41"/>
        <v/>
      </c>
      <c r="H448" s="526" t="str">
        <f t="shared" si="42"/>
        <v/>
      </c>
      <c r="I448" s="1417" t="str">
        <f t="shared" si="43"/>
        <v/>
      </c>
      <c r="J448" s="1417"/>
      <c r="K448" s="527" t="str">
        <f t="shared" si="44"/>
        <v/>
      </c>
      <c r="L448" s="518" t="str">
        <f t="shared" si="45"/>
        <v/>
      </c>
      <c r="M448" s="528" t="str">
        <f t="shared" si="46"/>
        <v/>
      </c>
      <c r="N448" s="528" t="str">
        <f t="shared" si="49"/>
        <v/>
      </c>
      <c r="O448" s="526" t="str">
        <f t="shared" si="47"/>
        <v/>
      </c>
      <c r="P448" s="528" t="str">
        <f t="shared" si="48"/>
        <v/>
      </c>
    </row>
    <row r="449" spans="1:16" s="204" customFormat="1" ht="18" hidden="1" customHeight="1" x14ac:dyDescent="0.2">
      <c r="A449" s="518" t="str">
        <f t="shared" si="38"/>
        <v/>
      </c>
      <c r="B449" s="517">
        <f>LARGE($B$15:$B$264,179)</f>
        <v>0</v>
      </c>
      <c r="C449" s="526" t="str">
        <f t="shared" si="39"/>
        <v/>
      </c>
      <c r="D449" s="1416" t="str">
        <f t="shared" si="40"/>
        <v/>
      </c>
      <c r="E449" s="1416"/>
      <c r="F449" s="1416"/>
      <c r="G449" s="526" t="str">
        <f t="shared" si="41"/>
        <v/>
      </c>
      <c r="H449" s="526" t="str">
        <f t="shared" si="42"/>
        <v/>
      </c>
      <c r="I449" s="1417" t="str">
        <f t="shared" si="43"/>
        <v/>
      </c>
      <c r="J449" s="1417"/>
      <c r="K449" s="527" t="str">
        <f t="shared" si="44"/>
        <v/>
      </c>
      <c r="L449" s="518" t="str">
        <f t="shared" si="45"/>
        <v/>
      </c>
      <c r="M449" s="528" t="str">
        <f t="shared" si="46"/>
        <v/>
      </c>
      <c r="N449" s="528" t="str">
        <f t="shared" si="49"/>
        <v/>
      </c>
      <c r="O449" s="526" t="str">
        <f t="shared" si="47"/>
        <v/>
      </c>
      <c r="P449" s="528" t="str">
        <f t="shared" si="48"/>
        <v/>
      </c>
    </row>
    <row r="450" spans="1:16" s="204" customFormat="1" ht="18" hidden="1" customHeight="1" x14ac:dyDescent="0.2">
      <c r="A450" s="518" t="str">
        <f t="shared" si="38"/>
        <v/>
      </c>
      <c r="B450" s="517">
        <f>LARGE($B$15:$B$264,180)</f>
        <v>0</v>
      </c>
      <c r="C450" s="526" t="str">
        <f t="shared" si="39"/>
        <v/>
      </c>
      <c r="D450" s="1416" t="str">
        <f t="shared" si="40"/>
        <v/>
      </c>
      <c r="E450" s="1416"/>
      <c r="F450" s="1416"/>
      <c r="G450" s="526" t="str">
        <f t="shared" si="41"/>
        <v/>
      </c>
      <c r="H450" s="526" t="str">
        <f t="shared" si="42"/>
        <v/>
      </c>
      <c r="I450" s="1417" t="str">
        <f t="shared" si="43"/>
        <v/>
      </c>
      <c r="J450" s="1417"/>
      <c r="K450" s="527" t="str">
        <f t="shared" si="44"/>
        <v/>
      </c>
      <c r="L450" s="518" t="str">
        <f t="shared" si="45"/>
        <v/>
      </c>
      <c r="M450" s="528" t="str">
        <f t="shared" si="46"/>
        <v/>
      </c>
      <c r="N450" s="528" t="str">
        <f t="shared" si="49"/>
        <v/>
      </c>
      <c r="O450" s="526" t="str">
        <f t="shared" si="47"/>
        <v/>
      </c>
      <c r="P450" s="528" t="str">
        <f t="shared" si="48"/>
        <v/>
      </c>
    </row>
    <row r="451" spans="1:16" s="204" customFormat="1" ht="18" hidden="1" customHeight="1" x14ac:dyDescent="0.2">
      <c r="A451" s="518" t="str">
        <f t="shared" si="38"/>
        <v/>
      </c>
      <c r="B451" s="517">
        <f>LARGE($B$15:$B$264,181)</f>
        <v>0</v>
      </c>
      <c r="C451" s="526" t="str">
        <f t="shared" si="39"/>
        <v/>
      </c>
      <c r="D451" s="1416" t="str">
        <f t="shared" si="40"/>
        <v/>
      </c>
      <c r="E451" s="1416"/>
      <c r="F451" s="1416"/>
      <c r="G451" s="526" t="str">
        <f t="shared" si="41"/>
        <v/>
      </c>
      <c r="H451" s="526" t="str">
        <f t="shared" si="42"/>
        <v/>
      </c>
      <c r="I451" s="1417" t="str">
        <f t="shared" si="43"/>
        <v/>
      </c>
      <c r="J451" s="1417"/>
      <c r="K451" s="527" t="str">
        <f t="shared" si="44"/>
        <v/>
      </c>
      <c r="L451" s="518" t="str">
        <f t="shared" si="45"/>
        <v/>
      </c>
      <c r="M451" s="528" t="str">
        <f t="shared" si="46"/>
        <v/>
      </c>
      <c r="N451" s="528" t="str">
        <f t="shared" si="49"/>
        <v/>
      </c>
      <c r="O451" s="526" t="str">
        <f t="shared" si="47"/>
        <v/>
      </c>
      <c r="P451" s="528" t="str">
        <f t="shared" si="48"/>
        <v/>
      </c>
    </row>
    <row r="452" spans="1:16" s="204" customFormat="1" ht="18" hidden="1" customHeight="1" x14ac:dyDescent="0.2">
      <c r="A452" s="518" t="str">
        <f t="shared" si="38"/>
        <v/>
      </c>
      <c r="B452" s="517">
        <f>LARGE($B$15:$B$264,182)</f>
        <v>0</v>
      </c>
      <c r="C452" s="526" t="str">
        <f t="shared" si="39"/>
        <v/>
      </c>
      <c r="D452" s="1416" t="str">
        <f t="shared" si="40"/>
        <v/>
      </c>
      <c r="E452" s="1416"/>
      <c r="F452" s="1416"/>
      <c r="G452" s="526" t="str">
        <f t="shared" si="41"/>
        <v/>
      </c>
      <c r="H452" s="526" t="str">
        <f t="shared" si="42"/>
        <v/>
      </c>
      <c r="I452" s="1417" t="str">
        <f t="shared" si="43"/>
        <v/>
      </c>
      <c r="J452" s="1417"/>
      <c r="K452" s="527" t="str">
        <f t="shared" si="44"/>
        <v/>
      </c>
      <c r="L452" s="518" t="str">
        <f t="shared" si="45"/>
        <v/>
      </c>
      <c r="M452" s="528" t="str">
        <f t="shared" si="46"/>
        <v/>
      </c>
      <c r="N452" s="528" t="str">
        <f t="shared" si="49"/>
        <v/>
      </c>
      <c r="O452" s="526" t="str">
        <f t="shared" si="47"/>
        <v/>
      </c>
      <c r="P452" s="528" t="str">
        <f t="shared" si="48"/>
        <v/>
      </c>
    </row>
    <row r="453" spans="1:16" s="204" customFormat="1" ht="18" hidden="1" customHeight="1" x14ac:dyDescent="0.2">
      <c r="A453" s="518" t="str">
        <f t="shared" si="38"/>
        <v/>
      </c>
      <c r="B453" s="517">
        <f>LARGE($B$15:$B$264,183)</f>
        <v>0</v>
      </c>
      <c r="C453" s="526" t="str">
        <f t="shared" si="39"/>
        <v/>
      </c>
      <c r="D453" s="1416" t="str">
        <f t="shared" si="40"/>
        <v/>
      </c>
      <c r="E453" s="1416"/>
      <c r="F453" s="1416"/>
      <c r="G453" s="526" t="str">
        <f t="shared" si="41"/>
        <v/>
      </c>
      <c r="H453" s="526" t="str">
        <f t="shared" si="42"/>
        <v/>
      </c>
      <c r="I453" s="1417" t="str">
        <f t="shared" si="43"/>
        <v/>
      </c>
      <c r="J453" s="1417"/>
      <c r="K453" s="527" t="str">
        <f t="shared" si="44"/>
        <v/>
      </c>
      <c r="L453" s="518" t="str">
        <f t="shared" si="45"/>
        <v/>
      </c>
      <c r="M453" s="528" t="str">
        <f t="shared" si="46"/>
        <v/>
      </c>
      <c r="N453" s="528" t="str">
        <f t="shared" si="49"/>
        <v/>
      </c>
      <c r="O453" s="526" t="str">
        <f t="shared" si="47"/>
        <v/>
      </c>
      <c r="P453" s="528" t="str">
        <f t="shared" si="48"/>
        <v/>
      </c>
    </row>
    <row r="454" spans="1:16" s="204" customFormat="1" ht="18" hidden="1" customHeight="1" x14ac:dyDescent="0.2">
      <c r="A454" s="518" t="str">
        <f t="shared" si="38"/>
        <v/>
      </c>
      <c r="B454" s="517">
        <f>LARGE($B$15:$B$264,184)</f>
        <v>0</v>
      </c>
      <c r="C454" s="526" t="str">
        <f t="shared" si="39"/>
        <v/>
      </c>
      <c r="D454" s="1416" t="str">
        <f t="shared" si="40"/>
        <v/>
      </c>
      <c r="E454" s="1416"/>
      <c r="F454" s="1416"/>
      <c r="G454" s="526" t="str">
        <f t="shared" si="41"/>
        <v/>
      </c>
      <c r="H454" s="526" t="str">
        <f t="shared" si="42"/>
        <v/>
      </c>
      <c r="I454" s="1417" t="str">
        <f t="shared" si="43"/>
        <v/>
      </c>
      <c r="J454" s="1417"/>
      <c r="K454" s="527" t="str">
        <f t="shared" si="44"/>
        <v/>
      </c>
      <c r="L454" s="518" t="str">
        <f t="shared" si="45"/>
        <v/>
      </c>
      <c r="M454" s="528" t="str">
        <f t="shared" si="46"/>
        <v/>
      </c>
      <c r="N454" s="528" t="str">
        <f t="shared" si="49"/>
        <v/>
      </c>
      <c r="O454" s="526" t="str">
        <f t="shared" si="47"/>
        <v/>
      </c>
      <c r="P454" s="528" t="str">
        <f t="shared" si="48"/>
        <v/>
      </c>
    </row>
    <row r="455" spans="1:16" s="204" customFormat="1" ht="18" hidden="1" customHeight="1" x14ac:dyDescent="0.2">
      <c r="A455" s="518" t="str">
        <f t="shared" si="38"/>
        <v/>
      </c>
      <c r="B455" s="517">
        <f>LARGE($B$15:$B$264,185)</f>
        <v>0</v>
      </c>
      <c r="C455" s="526" t="str">
        <f t="shared" si="39"/>
        <v/>
      </c>
      <c r="D455" s="1416" t="str">
        <f t="shared" si="40"/>
        <v/>
      </c>
      <c r="E455" s="1416"/>
      <c r="F455" s="1416"/>
      <c r="G455" s="526" t="str">
        <f t="shared" si="41"/>
        <v/>
      </c>
      <c r="H455" s="526" t="str">
        <f t="shared" si="42"/>
        <v/>
      </c>
      <c r="I455" s="1417" t="str">
        <f t="shared" si="43"/>
        <v/>
      </c>
      <c r="J455" s="1417"/>
      <c r="K455" s="527" t="str">
        <f t="shared" si="44"/>
        <v/>
      </c>
      <c r="L455" s="518" t="str">
        <f t="shared" si="45"/>
        <v/>
      </c>
      <c r="M455" s="528" t="str">
        <f t="shared" si="46"/>
        <v/>
      </c>
      <c r="N455" s="528" t="str">
        <f t="shared" si="49"/>
        <v/>
      </c>
      <c r="O455" s="526" t="str">
        <f t="shared" si="47"/>
        <v/>
      </c>
      <c r="P455" s="528" t="str">
        <f t="shared" si="48"/>
        <v/>
      </c>
    </row>
    <row r="456" spans="1:16" s="204" customFormat="1" ht="18" hidden="1" customHeight="1" x14ac:dyDescent="0.2">
      <c r="A456" s="518" t="str">
        <f t="shared" si="38"/>
        <v/>
      </c>
      <c r="B456" s="517">
        <f>LARGE($B$15:$B$264,186)</f>
        <v>0</v>
      </c>
      <c r="C456" s="526" t="str">
        <f t="shared" si="39"/>
        <v/>
      </c>
      <c r="D456" s="1416" t="str">
        <f t="shared" si="40"/>
        <v/>
      </c>
      <c r="E456" s="1416"/>
      <c r="F456" s="1416"/>
      <c r="G456" s="526" t="str">
        <f t="shared" si="41"/>
        <v/>
      </c>
      <c r="H456" s="526" t="str">
        <f t="shared" si="42"/>
        <v/>
      </c>
      <c r="I456" s="1417" t="str">
        <f t="shared" si="43"/>
        <v/>
      </c>
      <c r="J456" s="1417"/>
      <c r="K456" s="527" t="str">
        <f t="shared" si="44"/>
        <v/>
      </c>
      <c r="L456" s="518" t="str">
        <f t="shared" si="45"/>
        <v/>
      </c>
      <c r="M456" s="528" t="str">
        <f t="shared" si="46"/>
        <v/>
      </c>
      <c r="N456" s="528" t="str">
        <f t="shared" si="49"/>
        <v/>
      </c>
      <c r="O456" s="526" t="str">
        <f t="shared" si="47"/>
        <v/>
      </c>
      <c r="P456" s="528" t="str">
        <f t="shared" si="48"/>
        <v/>
      </c>
    </row>
    <row r="457" spans="1:16" s="204" customFormat="1" ht="18" hidden="1" customHeight="1" x14ac:dyDescent="0.2">
      <c r="A457" s="518" t="str">
        <f t="shared" si="38"/>
        <v/>
      </c>
      <c r="B457" s="517">
        <f>LARGE($B$15:$B$264,187)</f>
        <v>0</v>
      </c>
      <c r="C457" s="526" t="str">
        <f t="shared" si="39"/>
        <v/>
      </c>
      <c r="D457" s="1416" t="str">
        <f t="shared" si="40"/>
        <v/>
      </c>
      <c r="E457" s="1416"/>
      <c r="F457" s="1416"/>
      <c r="G457" s="526" t="str">
        <f t="shared" si="41"/>
        <v/>
      </c>
      <c r="H457" s="526" t="str">
        <f t="shared" si="42"/>
        <v/>
      </c>
      <c r="I457" s="1417" t="str">
        <f t="shared" si="43"/>
        <v/>
      </c>
      <c r="J457" s="1417"/>
      <c r="K457" s="527" t="str">
        <f t="shared" si="44"/>
        <v/>
      </c>
      <c r="L457" s="518" t="str">
        <f t="shared" si="45"/>
        <v/>
      </c>
      <c r="M457" s="528" t="str">
        <f t="shared" si="46"/>
        <v/>
      </c>
      <c r="N457" s="528" t="str">
        <f t="shared" si="49"/>
        <v/>
      </c>
      <c r="O457" s="526" t="str">
        <f t="shared" si="47"/>
        <v/>
      </c>
      <c r="P457" s="528" t="str">
        <f t="shared" si="48"/>
        <v/>
      </c>
    </row>
    <row r="458" spans="1:16" s="204" customFormat="1" ht="18" hidden="1" customHeight="1" x14ac:dyDescent="0.2">
      <c r="A458" s="518" t="str">
        <f t="shared" si="38"/>
        <v/>
      </c>
      <c r="B458" s="517">
        <f>LARGE($B$15:$B$264,188)</f>
        <v>0</v>
      </c>
      <c r="C458" s="526" t="str">
        <f t="shared" si="39"/>
        <v/>
      </c>
      <c r="D458" s="1416" t="str">
        <f t="shared" si="40"/>
        <v/>
      </c>
      <c r="E458" s="1416"/>
      <c r="F458" s="1416"/>
      <c r="G458" s="526" t="str">
        <f t="shared" si="41"/>
        <v/>
      </c>
      <c r="H458" s="526" t="str">
        <f t="shared" si="42"/>
        <v/>
      </c>
      <c r="I458" s="1417" t="str">
        <f t="shared" si="43"/>
        <v/>
      </c>
      <c r="J458" s="1417"/>
      <c r="K458" s="527" t="str">
        <f t="shared" si="44"/>
        <v/>
      </c>
      <c r="L458" s="518" t="str">
        <f t="shared" si="45"/>
        <v/>
      </c>
      <c r="M458" s="528" t="str">
        <f t="shared" si="46"/>
        <v/>
      </c>
      <c r="N458" s="528" t="str">
        <f t="shared" si="49"/>
        <v/>
      </c>
      <c r="O458" s="526" t="str">
        <f t="shared" si="47"/>
        <v/>
      </c>
      <c r="P458" s="528" t="str">
        <f t="shared" si="48"/>
        <v/>
      </c>
    </row>
    <row r="459" spans="1:16" s="204" customFormat="1" ht="18" hidden="1" customHeight="1" x14ac:dyDescent="0.2">
      <c r="A459" s="518" t="str">
        <f t="shared" si="38"/>
        <v/>
      </c>
      <c r="B459" s="517">
        <f>LARGE($B$15:$B$264,189)</f>
        <v>0</v>
      </c>
      <c r="C459" s="526" t="str">
        <f t="shared" si="39"/>
        <v/>
      </c>
      <c r="D459" s="1416" t="str">
        <f t="shared" si="40"/>
        <v/>
      </c>
      <c r="E459" s="1416"/>
      <c r="F459" s="1416"/>
      <c r="G459" s="526" t="str">
        <f t="shared" si="41"/>
        <v/>
      </c>
      <c r="H459" s="526" t="str">
        <f t="shared" si="42"/>
        <v/>
      </c>
      <c r="I459" s="1417" t="str">
        <f t="shared" si="43"/>
        <v/>
      </c>
      <c r="J459" s="1417"/>
      <c r="K459" s="527" t="str">
        <f t="shared" si="44"/>
        <v/>
      </c>
      <c r="L459" s="518" t="str">
        <f t="shared" si="45"/>
        <v/>
      </c>
      <c r="M459" s="528" t="str">
        <f t="shared" si="46"/>
        <v/>
      </c>
      <c r="N459" s="528" t="str">
        <f t="shared" si="49"/>
        <v/>
      </c>
      <c r="O459" s="526" t="str">
        <f t="shared" si="47"/>
        <v/>
      </c>
      <c r="P459" s="528" t="str">
        <f t="shared" si="48"/>
        <v/>
      </c>
    </row>
    <row r="460" spans="1:16" s="204" customFormat="1" ht="18" hidden="1" customHeight="1" x14ac:dyDescent="0.2">
      <c r="A460" s="518" t="str">
        <f t="shared" si="38"/>
        <v/>
      </c>
      <c r="B460" s="517">
        <f>LARGE($B$15:$B$264,190)</f>
        <v>0</v>
      </c>
      <c r="C460" s="526" t="str">
        <f t="shared" si="39"/>
        <v/>
      </c>
      <c r="D460" s="1416" t="str">
        <f t="shared" si="40"/>
        <v/>
      </c>
      <c r="E460" s="1416"/>
      <c r="F460" s="1416"/>
      <c r="G460" s="526" t="str">
        <f t="shared" si="41"/>
        <v/>
      </c>
      <c r="H460" s="526" t="str">
        <f t="shared" si="42"/>
        <v/>
      </c>
      <c r="I460" s="1417" t="str">
        <f t="shared" si="43"/>
        <v/>
      </c>
      <c r="J460" s="1417"/>
      <c r="K460" s="527" t="str">
        <f t="shared" si="44"/>
        <v/>
      </c>
      <c r="L460" s="518" t="str">
        <f t="shared" si="45"/>
        <v/>
      </c>
      <c r="M460" s="528" t="str">
        <f t="shared" si="46"/>
        <v/>
      </c>
      <c r="N460" s="528" t="str">
        <f t="shared" si="49"/>
        <v/>
      </c>
      <c r="O460" s="526" t="str">
        <f t="shared" si="47"/>
        <v/>
      </c>
      <c r="P460" s="528" t="str">
        <f t="shared" si="48"/>
        <v/>
      </c>
    </row>
    <row r="461" spans="1:16" s="204" customFormat="1" ht="18" hidden="1" customHeight="1" x14ac:dyDescent="0.2">
      <c r="A461" s="518" t="str">
        <f t="shared" si="38"/>
        <v/>
      </c>
      <c r="B461" s="517">
        <f>LARGE($B$15:$B$264,191)</f>
        <v>0</v>
      </c>
      <c r="C461" s="526" t="str">
        <f t="shared" si="39"/>
        <v/>
      </c>
      <c r="D461" s="1416" t="str">
        <f t="shared" si="40"/>
        <v/>
      </c>
      <c r="E461" s="1416"/>
      <c r="F461" s="1416"/>
      <c r="G461" s="526" t="str">
        <f t="shared" si="41"/>
        <v/>
      </c>
      <c r="H461" s="526" t="str">
        <f t="shared" si="42"/>
        <v/>
      </c>
      <c r="I461" s="1417" t="str">
        <f t="shared" si="43"/>
        <v/>
      </c>
      <c r="J461" s="1417"/>
      <c r="K461" s="527" t="str">
        <f t="shared" si="44"/>
        <v/>
      </c>
      <c r="L461" s="518" t="str">
        <f t="shared" si="45"/>
        <v/>
      </c>
      <c r="M461" s="528" t="str">
        <f t="shared" si="46"/>
        <v/>
      </c>
      <c r="N461" s="528" t="str">
        <f t="shared" si="49"/>
        <v/>
      </c>
      <c r="O461" s="526" t="str">
        <f t="shared" si="47"/>
        <v/>
      </c>
      <c r="P461" s="528" t="str">
        <f t="shared" si="48"/>
        <v/>
      </c>
    </row>
    <row r="462" spans="1:16" s="204" customFormat="1" ht="18" hidden="1" customHeight="1" x14ac:dyDescent="0.2">
      <c r="A462" s="518" t="str">
        <f t="shared" si="38"/>
        <v/>
      </c>
      <c r="B462" s="517">
        <f>LARGE($B$15:$B$264,192)</f>
        <v>0</v>
      </c>
      <c r="C462" s="526" t="str">
        <f t="shared" si="39"/>
        <v/>
      </c>
      <c r="D462" s="1416" t="str">
        <f t="shared" si="40"/>
        <v/>
      </c>
      <c r="E462" s="1416"/>
      <c r="F462" s="1416"/>
      <c r="G462" s="526" t="str">
        <f t="shared" si="41"/>
        <v/>
      </c>
      <c r="H462" s="526" t="str">
        <f t="shared" si="42"/>
        <v/>
      </c>
      <c r="I462" s="1417" t="str">
        <f t="shared" si="43"/>
        <v/>
      </c>
      <c r="J462" s="1417"/>
      <c r="K462" s="527" t="str">
        <f t="shared" si="44"/>
        <v/>
      </c>
      <c r="L462" s="518" t="str">
        <f t="shared" si="45"/>
        <v/>
      </c>
      <c r="M462" s="528" t="str">
        <f t="shared" si="46"/>
        <v/>
      </c>
      <c r="N462" s="528" t="str">
        <f t="shared" si="49"/>
        <v/>
      </c>
      <c r="O462" s="526" t="str">
        <f t="shared" si="47"/>
        <v/>
      </c>
      <c r="P462" s="528" t="str">
        <f t="shared" si="48"/>
        <v/>
      </c>
    </row>
    <row r="463" spans="1:16" s="204" customFormat="1" ht="18" hidden="1" customHeight="1" x14ac:dyDescent="0.2">
      <c r="A463" s="518" t="str">
        <f t="shared" si="38"/>
        <v/>
      </c>
      <c r="B463" s="517">
        <f>LARGE($B$15:$B$264,193)</f>
        <v>0</v>
      </c>
      <c r="C463" s="526" t="str">
        <f t="shared" si="39"/>
        <v/>
      </c>
      <c r="D463" s="1416" t="str">
        <f t="shared" si="40"/>
        <v/>
      </c>
      <c r="E463" s="1416"/>
      <c r="F463" s="1416"/>
      <c r="G463" s="526" t="str">
        <f t="shared" si="41"/>
        <v/>
      </c>
      <c r="H463" s="526" t="str">
        <f t="shared" si="42"/>
        <v/>
      </c>
      <c r="I463" s="1417" t="str">
        <f t="shared" si="43"/>
        <v/>
      </c>
      <c r="J463" s="1417"/>
      <c r="K463" s="527" t="str">
        <f t="shared" si="44"/>
        <v/>
      </c>
      <c r="L463" s="518" t="str">
        <f t="shared" si="45"/>
        <v/>
      </c>
      <c r="M463" s="528" t="str">
        <f t="shared" si="46"/>
        <v/>
      </c>
      <c r="N463" s="528" t="str">
        <f t="shared" si="49"/>
        <v/>
      </c>
      <c r="O463" s="526" t="str">
        <f t="shared" si="47"/>
        <v/>
      </c>
      <c r="P463" s="528" t="str">
        <f t="shared" si="48"/>
        <v/>
      </c>
    </row>
    <row r="464" spans="1:16" s="204" customFormat="1" ht="18" hidden="1" customHeight="1" x14ac:dyDescent="0.2">
      <c r="A464" s="518" t="str">
        <f t="shared" ref="A464:A520" si="50">P464</f>
        <v/>
      </c>
      <c r="B464" s="517">
        <f>LARGE($B$15:$B$264,194)</f>
        <v>0</v>
      </c>
      <c r="C464" s="526" t="str">
        <f t="shared" ref="C464:C471" si="51">IFERROR(IF(B464=0,"",VLOOKUP(B464,$B$15:$J$264,2,FALSE)),"")</f>
        <v/>
      </c>
      <c r="D464" s="1416" t="str">
        <f t="shared" ref="D464:D471" si="52">IFERROR(IF(B464=0,"",VLOOKUP(B464,$B$15:$J$264,3,FALSE)),"")</f>
        <v/>
      </c>
      <c r="E464" s="1416"/>
      <c r="F464" s="1416"/>
      <c r="G464" s="526" t="str">
        <f t="shared" ref="G464:G471" si="53">IFERROR(IF(B464=0,"",VLOOKUP(B464,$B$15:$J$264,6,FALSE)),"")</f>
        <v/>
      </c>
      <c r="H464" s="526" t="str">
        <f t="shared" ref="H464:H471" si="54">IFERROR(IF(B464=0,"",VLOOKUP(B464,$B$15:$J$264,7,FALSE)),"")</f>
        <v/>
      </c>
      <c r="I464" s="1417" t="str">
        <f t="shared" ref="I464:I471" si="55">IF(B464=0,"",VLOOKUP(B464,$B$15:$J$264,8,FALSE))</f>
        <v/>
      </c>
      <c r="J464" s="1417"/>
      <c r="K464" s="527" t="str">
        <f t="shared" ref="K464:K471" si="56">IF(B464=0,"",H464*I464)</f>
        <v/>
      </c>
      <c r="L464" s="518" t="str">
        <f t="shared" ref="L464:L520" si="57">O464</f>
        <v/>
      </c>
      <c r="M464" s="528" t="str">
        <f t="shared" ref="M464:M471" si="58">IF(B464=0,"",B464)</f>
        <v/>
      </c>
      <c r="N464" s="528" t="str">
        <f t="shared" si="49"/>
        <v/>
      </c>
      <c r="O464" s="526" t="str">
        <f t="shared" ref="O464:O471" si="59">IF(B464=0,"",(IF(N464&lt;80%,"Si","No")))</f>
        <v/>
      </c>
      <c r="P464" s="528" t="str">
        <f t="shared" ref="P464:P471" si="60">IF(B464=0,"",(IF(M464=$M$521,"Si",(IF(M464&gt;$M$521,"Si","No")))))</f>
        <v/>
      </c>
    </row>
    <row r="465" spans="1:16" s="204" customFormat="1" ht="18" hidden="1" customHeight="1" x14ac:dyDescent="0.2">
      <c r="A465" s="518" t="str">
        <f t="shared" si="50"/>
        <v/>
      </c>
      <c r="B465" s="517">
        <f>LARGE($B$15:$B$264,195)</f>
        <v>0</v>
      </c>
      <c r="C465" s="526" t="str">
        <f t="shared" si="51"/>
        <v/>
      </c>
      <c r="D465" s="1416" t="str">
        <f t="shared" si="52"/>
        <v/>
      </c>
      <c r="E465" s="1416"/>
      <c r="F465" s="1416"/>
      <c r="G465" s="526" t="str">
        <f t="shared" si="53"/>
        <v/>
      </c>
      <c r="H465" s="526" t="str">
        <f t="shared" si="54"/>
        <v/>
      </c>
      <c r="I465" s="1417" t="str">
        <f t="shared" si="55"/>
        <v/>
      </c>
      <c r="J465" s="1417"/>
      <c r="K465" s="527" t="str">
        <f t="shared" si="56"/>
        <v/>
      </c>
      <c r="L465" s="518" t="str">
        <f t="shared" si="57"/>
        <v/>
      </c>
      <c r="M465" s="528" t="str">
        <f t="shared" si="58"/>
        <v/>
      </c>
      <c r="N465" s="528" t="str">
        <f t="shared" ref="N465:N520" si="61">IF(B465=0,"",M465+N464)</f>
        <v/>
      </c>
      <c r="O465" s="526" t="str">
        <f t="shared" si="59"/>
        <v/>
      </c>
      <c r="P465" s="528" t="str">
        <f t="shared" si="60"/>
        <v/>
      </c>
    </row>
    <row r="466" spans="1:16" s="204" customFormat="1" ht="18" hidden="1" customHeight="1" x14ac:dyDescent="0.2">
      <c r="A466" s="518" t="str">
        <f t="shared" si="50"/>
        <v/>
      </c>
      <c r="B466" s="517">
        <f>LARGE($B$15:$B$264,196)</f>
        <v>0</v>
      </c>
      <c r="C466" s="526" t="str">
        <f t="shared" si="51"/>
        <v/>
      </c>
      <c r="D466" s="1416" t="str">
        <f t="shared" si="52"/>
        <v/>
      </c>
      <c r="E466" s="1416"/>
      <c r="F466" s="1416"/>
      <c r="G466" s="526" t="str">
        <f t="shared" si="53"/>
        <v/>
      </c>
      <c r="H466" s="526" t="str">
        <f t="shared" si="54"/>
        <v/>
      </c>
      <c r="I466" s="1417" t="str">
        <f t="shared" si="55"/>
        <v/>
      </c>
      <c r="J466" s="1417"/>
      <c r="K466" s="527" t="str">
        <f t="shared" si="56"/>
        <v/>
      </c>
      <c r="L466" s="518" t="str">
        <f t="shared" si="57"/>
        <v/>
      </c>
      <c r="M466" s="528" t="str">
        <f t="shared" si="58"/>
        <v/>
      </c>
      <c r="N466" s="528" t="str">
        <f t="shared" si="61"/>
        <v/>
      </c>
      <c r="O466" s="526" t="str">
        <f t="shared" si="59"/>
        <v/>
      </c>
      <c r="P466" s="528" t="str">
        <f t="shared" si="60"/>
        <v/>
      </c>
    </row>
    <row r="467" spans="1:16" s="204" customFormat="1" ht="18" hidden="1" customHeight="1" x14ac:dyDescent="0.2">
      <c r="A467" s="518" t="str">
        <f t="shared" si="50"/>
        <v/>
      </c>
      <c r="B467" s="517">
        <f>LARGE($B$15:$B$264,197)</f>
        <v>0</v>
      </c>
      <c r="C467" s="526" t="str">
        <f t="shared" si="51"/>
        <v/>
      </c>
      <c r="D467" s="1416" t="str">
        <f t="shared" si="52"/>
        <v/>
      </c>
      <c r="E467" s="1416"/>
      <c r="F467" s="1416"/>
      <c r="G467" s="526" t="str">
        <f t="shared" si="53"/>
        <v/>
      </c>
      <c r="H467" s="526" t="str">
        <f t="shared" si="54"/>
        <v/>
      </c>
      <c r="I467" s="1417" t="str">
        <f t="shared" si="55"/>
        <v/>
      </c>
      <c r="J467" s="1417"/>
      <c r="K467" s="527" t="str">
        <f t="shared" si="56"/>
        <v/>
      </c>
      <c r="L467" s="518" t="str">
        <f t="shared" si="57"/>
        <v/>
      </c>
      <c r="M467" s="528" t="str">
        <f t="shared" si="58"/>
        <v/>
      </c>
      <c r="N467" s="528" t="str">
        <f t="shared" si="61"/>
        <v/>
      </c>
      <c r="O467" s="526" t="str">
        <f t="shared" si="59"/>
        <v/>
      </c>
      <c r="P467" s="528" t="str">
        <f t="shared" si="60"/>
        <v/>
      </c>
    </row>
    <row r="468" spans="1:16" s="204" customFormat="1" ht="18" hidden="1" customHeight="1" x14ac:dyDescent="0.2">
      <c r="A468" s="518" t="str">
        <f t="shared" si="50"/>
        <v/>
      </c>
      <c r="B468" s="517">
        <f>LARGE($B$15:$B$264,198)</f>
        <v>0</v>
      </c>
      <c r="C468" s="526" t="str">
        <f t="shared" si="51"/>
        <v/>
      </c>
      <c r="D468" s="1416" t="str">
        <f t="shared" si="52"/>
        <v/>
      </c>
      <c r="E468" s="1416"/>
      <c r="F468" s="1416"/>
      <c r="G468" s="526" t="str">
        <f t="shared" si="53"/>
        <v/>
      </c>
      <c r="H468" s="526" t="str">
        <f t="shared" si="54"/>
        <v/>
      </c>
      <c r="I468" s="1417" t="str">
        <f t="shared" si="55"/>
        <v/>
      </c>
      <c r="J468" s="1417"/>
      <c r="K468" s="527" t="str">
        <f t="shared" si="56"/>
        <v/>
      </c>
      <c r="L468" s="518" t="str">
        <f t="shared" si="57"/>
        <v/>
      </c>
      <c r="M468" s="528" t="str">
        <f t="shared" si="58"/>
        <v/>
      </c>
      <c r="N468" s="528" t="str">
        <f t="shared" si="61"/>
        <v/>
      </c>
      <c r="O468" s="526" t="str">
        <f t="shared" si="59"/>
        <v/>
      </c>
      <c r="P468" s="528" t="str">
        <f t="shared" si="60"/>
        <v/>
      </c>
    </row>
    <row r="469" spans="1:16" s="204" customFormat="1" ht="18" hidden="1" customHeight="1" x14ac:dyDescent="0.2">
      <c r="A469" s="518" t="str">
        <f t="shared" si="50"/>
        <v/>
      </c>
      <c r="B469" s="517">
        <f>LARGE($B$15:$B$264,199)</f>
        <v>0</v>
      </c>
      <c r="C469" s="526" t="str">
        <f t="shared" si="51"/>
        <v/>
      </c>
      <c r="D469" s="1416" t="str">
        <f>IFERROR(IF(B469=0,"",VLOOKUP(B469,$B$15:$J$264,3,FALSE)),"")</f>
        <v/>
      </c>
      <c r="E469" s="1416"/>
      <c r="F469" s="1416"/>
      <c r="G469" s="526" t="str">
        <f t="shared" si="53"/>
        <v/>
      </c>
      <c r="H469" s="526" t="str">
        <f t="shared" si="54"/>
        <v/>
      </c>
      <c r="I469" s="1417" t="str">
        <f>IF(B469=0,"",VLOOKUP(B469,$B$15:$J$264,8,FALSE))</f>
        <v/>
      </c>
      <c r="J469" s="1417"/>
      <c r="K469" s="527" t="str">
        <f t="shared" si="56"/>
        <v/>
      </c>
      <c r="L469" s="518" t="str">
        <f t="shared" si="57"/>
        <v/>
      </c>
      <c r="M469" s="528" t="str">
        <f t="shared" si="58"/>
        <v/>
      </c>
      <c r="N469" s="528" t="str">
        <f t="shared" si="61"/>
        <v/>
      </c>
      <c r="O469" s="526" t="str">
        <f t="shared" si="59"/>
        <v/>
      </c>
      <c r="P469" s="528" t="str">
        <f t="shared" si="60"/>
        <v/>
      </c>
    </row>
    <row r="470" spans="1:16" s="204" customFormat="1" ht="18" hidden="1" customHeight="1" x14ac:dyDescent="0.2">
      <c r="A470" s="518" t="str">
        <f t="shared" si="50"/>
        <v/>
      </c>
      <c r="B470" s="517">
        <f>LARGE($B$15:$B$264,200)</f>
        <v>0</v>
      </c>
      <c r="C470" s="526" t="str">
        <f t="shared" si="51"/>
        <v/>
      </c>
      <c r="D470" s="1416" t="str">
        <f t="shared" si="52"/>
        <v/>
      </c>
      <c r="E470" s="1416"/>
      <c r="F470" s="1416"/>
      <c r="G470" s="526" t="str">
        <f t="shared" si="53"/>
        <v/>
      </c>
      <c r="H470" s="526" t="str">
        <f t="shared" si="54"/>
        <v/>
      </c>
      <c r="I470" s="1417" t="str">
        <f t="shared" si="55"/>
        <v/>
      </c>
      <c r="J470" s="1417"/>
      <c r="K470" s="527" t="str">
        <f t="shared" si="56"/>
        <v/>
      </c>
      <c r="L470" s="518" t="str">
        <f t="shared" si="57"/>
        <v/>
      </c>
      <c r="M470" s="528" t="str">
        <f t="shared" si="58"/>
        <v/>
      </c>
      <c r="N470" s="528" t="str">
        <f t="shared" si="61"/>
        <v/>
      </c>
      <c r="O470" s="526" t="str">
        <f t="shared" si="59"/>
        <v/>
      </c>
      <c r="P470" s="528" t="str">
        <f t="shared" si="60"/>
        <v/>
      </c>
    </row>
    <row r="471" spans="1:16" s="204" customFormat="1" ht="18" hidden="1" customHeight="1" x14ac:dyDescent="0.2">
      <c r="A471" s="518" t="str">
        <f t="shared" si="50"/>
        <v/>
      </c>
      <c r="B471" s="517">
        <f>LARGE($B$15:$B$264,201)</f>
        <v>0</v>
      </c>
      <c r="C471" s="526" t="str">
        <f t="shared" si="51"/>
        <v/>
      </c>
      <c r="D471" s="1416" t="str">
        <f t="shared" si="52"/>
        <v/>
      </c>
      <c r="E471" s="1416"/>
      <c r="F471" s="1416"/>
      <c r="G471" s="526" t="str">
        <f t="shared" si="53"/>
        <v/>
      </c>
      <c r="H471" s="526" t="str">
        <f t="shared" si="54"/>
        <v/>
      </c>
      <c r="I471" s="1417" t="str">
        <f t="shared" si="55"/>
        <v/>
      </c>
      <c r="J471" s="1417"/>
      <c r="K471" s="527" t="str">
        <f t="shared" si="56"/>
        <v/>
      </c>
      <c r="L471" s="518" t="str">
        <f t="shared" si="57"/>
        <v/>
      </c>
      <c r="M471" s="528" t="str">
        <f t="shared" si="58"/>
        <v/>
      </c>
      <c r="N471" s="528" t="str">
        <f t="shared" si="61"/>
        <v/>
      </c>
      <c r="O471" s="526" t="str">
        <f t="shared" si="59"/>
        <v/>
      </c>
      <c r="P471" s="528" t="str">
        <f t="shared" si="60"/>
        <v/>
      </c>
    </row>
    <row r="472" spans="1:16" s="204" customFormat="1" ht="18" hidden="1" customHeight="1" x14ac:dyDescent="0.2">
      <c r="A472" s="518" t="str">
        <f t="shared" si="50"/>
        <v/>
      </c>
      <c r="B472" s="517">
        <f>LARGE($B$15:$B$264,202)</f>
        <v>0</v>
      </c>
      <c r="C472" s="526" t="str">
        <f t="shared" ref="C472:C503" si="62">IFERROR(IF(B472=0,"",VLOOKUP(B472,$B$15:$J$264,2,FALSE)),"")</f>
        <v/>
      </c>
      <c r="D472" s="1416" t="str">
        <f t="shared" ref="D472:D503" si="63">IF(B472=0,"",VLOOKUP(B472,$B$15:$J$264,3,FALSE))</f>
        <v/>
      </c>
      <c r="E472" s="1416"/>
      <c r="F472" s="1416"/>
      <c r="G472" s="526" t="str">
        <f t="shared" ref="G472:G503" si="64">IF(B472=0,"",VLOOKUP(B472,$B$15:$J$264,6,FALSE))</f>
        <v/>
      </c>
      <c r="H472" s="526" t="str">
        <f t="shared" ref="H472:H503" si="65">IF(B472=0,"",VLOOKUP(B472,$B$15:$J$264,7,FALSE))</f>
        <v/>
      </c>
      <c r="I472" s="1417" t="str">
        <f t="shared" ref="I472:I503" si="66">IF(B472=0,"",VLOOKUP(B472,$B$15:$J$264,8,FALSE))</f>
        <v/>
      </c>
      <c r="J472" s="1417"/>
      <c r="K472" s="527" t="str">
        <f t="shared" ref="K472:K502" si="67">IF(B472=0,"",H472*I472)</f>
        <v/>
      </c>
      <c r="L472" s="518" t="str">
        <f t="shared" si="57"/>
        <v/>
      </c>
      <c r="M472" s="528" t="str">
        <f t="shared" ref="M472:M502" si="68">IF(B472=0,"",B472)</f>
        <v/>
      </c>
      <c r="N472" s="528" t="str">
        <f t="shared" si="61"/>
        <v/>
      </c>
      <c r="O472" s="526" t="str">
        <f t="shared" ref="O472:O502" si="69">IF(B472=0,"",(IF(N472&lt;80%,"Si","No")))</f>
        <v/>
      </c>
      <c r="P472" s="528" t="str">
        <f t="shared" ref="P472:P502" si="70">IF(B472=0,"",(IF(M472=$M$521,"Si",(IF(M472&gt;$M$521,"Si","No")))))</f>
        <v/>
      </c>
    </row>
    <row r="473" spans="1:16" s="204" customFormat="1" ht="18" hidden="1" customHeight="1" x14ac:dyDescent="0.2">
      <c r="A473" s="518" t="str">
        <f t="shared" si="50"/>
        <v/>
      </c>
      <c r="B473" s="517">
        <f>LARGE($B$15:$B$264,203)</f>
        <v>0</v>
      </c>
      <c r="C473" s="526" t="str">
        <f t="shared" si="62"/>
        <v/>
      </c>
      <c r="D473" s="1416" t="str">
        <f t="shared" si="63"/>
        <v/>
      </c>
      <c r="E473" s="1416"/>
      <c r="F473" s="1416"/>
      <c r="G473" s="526" t="str">
        <f t="shared" si="64"/>
        <v/>
      </c>
      <c r="H473" s="526" t="str">
        <f t="shared" si="65"/>
        <v/>
      </c>
      <c r="I473" s="1417" t="str">
        <f t="shared" si="66"/>
        <v/>
      </c>
      <c r="J473" s="1417"/>
      <c r="K473" s="527" t="str">
        <f t="shared" si="67"/>
        <v/>
      </c>
      <c r="L473" s="518" t="str">
        <f t="shared" si="57"/>
        <v/>
      </c>
      <c r="M473" s="528" t="str">
        <f t="shared" si="68"/>
        <v/>
      </c>
      <c r="N473" s="528" t="str">
        <f t="shared" si="61"/>
        <v/>
      </c>
      <c r="O473" s="526" t="str">
        <f t="shared" si="69"/>
        <v/>
      </c>
      <c r="P473" s="528" t="str">
        <f t="shared" si="70"/>
        <v/>
      </c>
    </row>
    <row r="474" spans="1:16" s="204" customFormat="1" ht="18" hidden="1" customHeight="1" x14ac:dyDescent="0.2">
      <c r="A474" s="518" t="str">
        <f t="shared" si="50"/>
        <v/>
      </c>
      <c r="B474" s="517">
        <f>LARGE($B$15:$B$264,204)</f>
        <v>0</v>
      </c>
      <c r="C474" s="526" t="str">
        <f t="shared" si="62"/>
        <v/>
      </c>
      <c r="D474" s="1416" t="str">
        <f t="shared" si="63"/>
        <v/>
      </c>
      <c r="E474" s="1416"/>
      <c r="F474" s="1416"/>
      <c r="G474" s="526" t="str">
        <f t="shared" si="64"/>
        <v/>
      </c>
      <c r="H474" s="526" t="str">
        <f t="shared" si="65"/>
        <v/>
      </c>
      <c r="I474" s="1417" t="str">
        <f t="shared" si="66"/>
        <v/>
      </c>
      <c r="J474" s="1417"/>
      <c r="K474" s="527" t="str">
        <f t="shared" si="67"/>
        <v/>
      </c>
      <c r="L474" s="518" t="str">
        <f t="shared" si="57"/>
        <v/>
      </c>
      <c r="M474" s="528" t="str">
        <f t="shared" si="68"/>
        <v/>
      </c>
      <c r="N474" s="528" t="str">
        <f t="shared" si="61"/>
        <v/>
      </c>
      <c r="O474" s="526" t="str">
        <f t="shared" si="69"/>
        <v/>
      </c>
      <c r="P474" s="528" t="str">
        <f t="shared" si="70"/>
        <v/>
      </c>
    </row>
    <row r="475" spans="1:16" s="204" customFormat="1" ht="18" hidden="1" customHeight="1" x14ac:dyDescent="0.2">
      <c r="A475" s="518" t="str">
        <f t="shared" si="50"/>
        <v/>
      </c>
      <c r="B475" s="517">
        <f>LARGE($B$15:$B$264,205)</f>
        <v>0</v>
      </c>
      <c r="C475" s="526" t="str">
        <f t="shared" si="62"/>
        <v/>
      </c>
      <c r="D475" s="1416" t="str">
        <f t="shared" si="63"/>
        <v/>
      </c>
      <c r="E475" s="1416"/>
      <c r="F475" s="1416"/>
      <c r="G475" s="526" t="str">
        <f t="shared" si="64"/>
        <v/>
      </c>
      <c r="H475" s="526" t="str">
        <f t="shared" si="65"/>
        <v/>
      </c>
      <c r="I475" s="1417" t="str">
        <f t="shared" si="66"/>
        <v/>
      </c>
      <c r="J475" s="1417"/>
      <c r="K475" s="527" t="str">
        <f t="shared" si="67"/>
        <v/>
      </c>
      <c r="L475" s="518" t="str">
        <f t="shared" si="57"/>
        <v/>
      </c>
      <c r="M475" s="528" t="str">
        <f t="shared" si="68"/>
        <v/>
      </c>
      <c r="N475" s="528" t="str">
        <f t="shared" si="61"/>
        <v/>
      </c>
      <c r="O475" s="526" t="str">
        <f t="shared" si="69"/>
        <v/>
      </c>
      <c r="P475" s="528" t="str">
        <f t="shared" si="70"/>
        <v/>
      </c>
    </row>
    <row r="476" spans="1:16" s="204" customFormat="1" ht="18" hidden="1" customHeight="1" x14ac:dyDescent="0.2">
      <c r="A476" s="518" t="str">
        <f t="shared" si="50"/>
        <v/>
      </c>
      <c r="B476" s="517">
        <f>LARGE($B$15:$B$264,206)</f>
        <v>0</v>
      </c>
      <c r="C476" s="526" t="str">
        <f t="shared" si="62"/>
        <v/>
      </c>
      <c r="D476" s="1416" t="str">
        <f t="shared" si="63"/>
        <v/>
      </c>
      <c r="E476" s="1416"/>
      <c r="F476" s="1416"/>
      <c r="G476" s="526" t="str">
        <f t="shared" si="64"/>
        <v/>
      </c>
      <c r="H476" s="526" t="str">
        <f t="shared" si="65"/>
        <v/>
      </c>
      <c r="I476" s="1417" t="str">
        <f t="shared" si="66"/>
        <v/>
      </c>
      <c r="J476" s="1417"/>
      <c r="K476" s="527" t="str">
        <f t="shared" si="67"/>
        <v/>
      </c>
      <c r="L476" s="518" t="str">
        <f t="shared" si="57"/>
        <v/>
      </c>
      <c r="M476" s="528" t="str">
        <f t="shared" si="68"/>
        <v/>
      </c>
      <c r="N476" s="528" t="str">
        <f t="shared" si="61"/>
        <v/>
      </c>
      <c r="O476" s="526" t="str">
        <f t="shared" si="69"/>
        <v/>
      </c>
      <c r="P476" s="528" t="str">
        <f t="shared" si="70"/>
        <v/>
      </c>
    </row>
    <row r="477" spans="1:16" s="204" customFormat="1" ht="18" hidden="1" customHeight="1" x14ac:dyDescent="0.2">
      <c r="A477" s="518" t="str">
        <f t="shared" si="50"/>
        <v/>
      </c>
      <c r="B477" s="517">
        <f>LARGE($B$15:$B$264,207)</f>
        <v>0</v>
      </c>
      <c r="C477" s="526" t="str">
        <f t="shared" si="62"/>
        <v/>
      </c>
      <c r="D477" s="1416" t="str">
        <f t="shared" si="63"/>
        <v/>
      </c>
      <c r="E477" s="1416"/>
      <c r="F477" s="1416"/>
      <c r="G477" s="526" t="str">
        <f t="shared" si="64"/>
        <v/>
      </c>
      <c r="H477" s="526" t="str">
        <f t="shared" si="65"/>
        <v/>
      </c>
      <c r="I477" s="1417" t="str">
        <f t="shared" si="66"/>
        <v/>
      </c>
      <c r="J477" s="1417"/>
      <c r="K477" s="527" t="str">
        <f t="shared" si="67"/>
        <v/>
      </c>
      <c r="L477" s="518" t="str">
        <f t="shared" si="57"/>
        <v/>
      </c>
      <c r="M477" s="528" t="str">
        <f t="shared" si="68"/>
        <v/>
      </c>
      <c r="N477" s="528" t="str">
        <f t="shared" si="61"/>
        <v/>
      </c>
      <c r="O477" s="526" t="str">
        <f t="shared" si="69"/>
        <v/>
      </c>
      <c r="P477" s="528" t="str">
        <f t="shared" si="70"/>
        <v/>
      </c>
    </row>
    <row r="478" spans="1:16" s="204" customFormat="1" ht="18" hidden="1" customHeight="1" x14ac:dyDescent="0.2">
      <c r="A478" s="518" t="str">
        <f t="shared" si="50"/>
        <v/>
      </c>
      <c r="B478" s="517">
        <f>LARGE($B$15:$B$264,208)</f>
        <v>0</v>
      </c>
      <c r="C478" s="526" t="str">
        <f t="shared" si="62"/>
        <v/>
      </c>
      <c r="D478" s="1416" t="str">
        <f t="shared" si="63"/>
        <v/>
      </c>
      <c r="E478" s="1416"/>
      <c r="F478" s="1416"/>
      <c r="G478" s="526" t="str">
        <f t="shared" si="64"/>
        <v/>
      </c>
      <c r="H478" s="526" t="str">
        <f t="shared" si="65"/>
        <v/>
      </c>
      <c r="I478" s="1417" t="str">
        <f t="shared" si="66"/>
        <v/>
      </c>
      <c r="J478" s="1417"/>
      <c r="K478" s="527" t="str">
        <f t="shared" si="67"/>
        <v/>
      </c>
      <c r="L478" s="518" t="str">
        <f t="shared" si="57"/>
        <v/>
      </c>
      <c r="M478" s="528" t="str">
        <f t="shared" si="68"/>
        <v/>
      </c>
      <c r="N478" s="528" t="str">
        <f t="shared" si="61"/>
        <v/>
      </c>
      <c r="O478" s="526" t="str">
        <f t="shared" si="69"/>
        <v/>
      </c>
      <c r="P478" s="528" t="str">
        <f t="shared" si="70"/>
        <v/>
      </c>
    </row>
    <row r="479" spans="1:16" s="204" customFormat="1" ht="18" hidden="1" customHeight="1" x14ac:dyDescent="0.2">
      <c r="A479" s="518" t="str">
        <f t="shared" si="50"/>
        <v/>
      </c>
      <c r="B479" s="517">
        <f>LARGE($B$15:$B$264,209)</f>
        <v>0</v>
      </c>
      <c r="C479" s="526" t="str">
        <f t="shared" si="62"/>
        <v/>
      </c>
      <c r="D479" s="1416" t="str">
        <f t="shared" si="63"/>
        <v/>
      </c>
      <c r="E479" s="1416"/>
      <c r="F479" s="1416"/>
      <c r="G479" s="526" t="str">
        <f t="shared" si="64"/>
        <v/>
      </c>
      <c r="H479" s="526" t="str">
        <f t="shared" si="65"/>
        <v/>
      </c>
      <c r="I479" s="1417" t="str">
        <f t="shared" si="66"/>
        <v/>
      </c>
      <c r="J479" s="1417"/>
      <c r="K479" s="527" t="str">
        <f t="shared" si="67"/>
        <v/>
      </c>
      <c r="L479" s="518" t="str">
        <f t="shared" si="57"/>
        <v/>
      </c>
      <c r="M479" s="528" t="str">
        <f t="shared" si="68"/>
        <v/>
      </c>
      <c r="N479" s="528" t="str">
        <f t="shared" si="61"/>
        <v/>
      </c>
      <c r="O479" s="526" t="str">
        <f t="shared" si="69"/>
        <v/>
      </c>
      <c r="P479" s="528" t="str">
        <f t="shared" si="70"/>
        <v/>
      </c>
    </row>
    <row r="480" spans="1:16" s="204" customFormat="1" ht="18" hidden="1" customHeight="1" x14ac:dyDescent="0.2">
      <c r="A480" s="518" t="str">
        <f t="shared" si="50"/>
        <v/>
      </c>
      <c r="B480" s="517">
        <f>LARGE($B$15:$B$264,210)</f>
        <v>0</v>
      </c>
      <c r="C480" s="526" t="str">
        <f t="shared" si="62"/>
        <v/>
      </c>
      <c r="D480" s="1416" t="str">
        <f t="shared" si="63"/>
        <v/>
      </c>
      <c r="E480" s="1416"/>
      <c r="F480" s="1416"/>
      <c r="G480" s="526" t="str">
        <f t="shared" si="64"/>
        <v/>
      </c>
      <c r="H480" s="526" t="str">
        <f t="shared" si="65"/>
        <v/>
      </c>
      <c r="I480" s="1417" t="str">
        <f t="shared" si="66"/>
        <v/>
      </c>
      <c r="J480" s="1417"/>
      <c r="K480" s="527" t="str">
        <f t="shared" si="67"/>
        <v/>
      </c>
      <c r="L480" s="518" t="str">
        <f t="shared" si="57"/>
        <v/>
      </c>
      <c r="M480" s="528" t="str">
        <f t="shared" si="68"/>
        <v/>
      </c>
      <c r="N480" s="528" t="str">
        <f t="shared" si="61"/>
        <v/>
      </c>
      <c r="O480" s="526" t="str">
        <f t="shared" si="69"/>
        <v/>
      </c>
      <c r="P480" s="528" t="str">
        <f t="shared" si="70"/>
        <v/>
      </c>
    </row>
    <row r="481" spans="1:16" s="204" customFormat="1" ht="18" hidden="1" customHeight="1" x14ac:dyDescent="0.2">
      <c r="A481" s="518" t="str">
        <f t="shared" si="50"/>
        <v/>
      </c>
      <c r="B481" s="517">
        <f>LARGE($B$15:$B$264,211)</f>
        <v>0</v>
      </c>
      <c r="C481" s="526" t="str">
        <f t="shared" si="62"/>
        <v/>
      </c>
      <c r="D481" s="1416" t="str">
        <f t="shared" si="63"/>
        <v/>
      </c>
      <c r="E481" s="1416"/>
      <c r="F481" s="1416"/>
      <c r="G481" s="526" t="str">
        <f t="shared" si="64"/>
        <v/>
      </c>
      <c r="H481" s="526" t="str">
        <f t="shared" si="65"/>
        <v/>
      </c>
      <c r="I481" s="1417" t="str">
        <f t="shared" si="66"/>
        <v/>
      </c>
      <c r="J481" s="1417"/>
      <c r="K481" s="527" t="str">
        <f t="shared" si="67"/>
        <v/>
      </c>
      <c r="L481" s="518" t="str">
        <f t="shared" si="57"/>
        <v/>
      </c>
      <c r="M481" s="528" t="str">
        <f t="shared" si="68"/>
        <v/>
      </c>
      <c r="N481" s="528" t="str">
        <f t="shared" si="61"/>
        <v/>
      </c>
      <c r="O481" s="526" t="str">
        <f t="shared" si="69"/>
        <v/>
      </c>
      <c r="P481" s="528" t="str">
        <f t="shared" si="70"/>
        <v/>
      </c>
    </row>
    <row r="482" spans="1:16" s="204" customFormat="1" ht="18" hidden="1" customHeight="1" x14ac:dyDescent="0.2">
      <c r="A482" s="518" t="str">
        <f t="shared" si="50"/>
        <v/>
      </c>
      <c r="B482" s="517">
        <f>LARGE($B$15:$B$264,212)</f>
        <v>0</v>
      </c>
      <c r="C482" s="526" t="str">
        <f t="shared" si="62"/>
        <v/>
      </c>
      <c r="D482" s="1416" t="str">
        <f t="shared" si="63"/>
        <v/>
      </c>
      <c r="E482" s="1416"/>
      <c r="F482" s="1416"/>
      <c r="G482" s="526" t="str">
        <f t="shared" si="64"/>
        <v/>
      </c>
      <c r="H482" s="526" t="str">
        <f t="shared" si="65"/>
        <v/>
      </c>
      <c r="I482" s="1417" t="str">
        <f t="shared" si="66"/>
        <v/>
      </c>
      <c r="J482" s="1417"/>
      <c r="K482" s="527" t="str">
        <f t="shared" si="67"/>
        <v/>
      </c>
      <c r="L482" s="518" t="str">
        <f t="shared" si="57"/>
        <v/>
      </c>
      <c r="M482" s="528" t="str">
        <f t="shared" si="68"/>
        <v/>
      </c>
      <c r="N482" s="528" t="str">
        <f t="shared" si="61"/>
        <v/>
      </c>
      <c r="O482" s="526" t="str">
        <f t="shared" si="69"/>
        <v/>
      </c>
      <c r="P482" s="528" t="str">
        <f t="shared" si="70"/>
        <v/>
      </c>
    </row>
    <row r="483" spans="1:16" s="204" customFormat="1" ht="18" hidden="1" customHeight="1" x14ac:dyDescent="0.2">
      <c r="A483" s="518" t="str">
        <f t="shared" si="50"/>
        <v/>
      </c>
      <c r="B483" s="517">
        <f>LARGE($B$15:$B$264,213)</f>
        <v>0</v>
      </c>
      <c r="C483" s="526" t="str">
        <f t="shared" si="62"/>
        <v/>
      </c>
      <c r="D483" s="1416" t="str">
        <f t="shared" si="63"/>
        <v/>
      </c>
      <c r="E483" s="1416"/>
      <c r="F483" s="1416"/>
      <c r="G483" s="526" t="str">
        <f t="shared" si="64"/>
        <v/>
      </c>
      <c r="H483" s="526" t="str">
        <f t="shared" si="65"/>
        <v/>
      </c>
      <c r="I483" s="1417" t="str">
        <f t="shared" si="66"/>
        <v/>
      </c>
      <c r="J483" s="1417"/>
      <c r="K483" s="527" t="str">
        <f t="shared" si="67"/>
        <v/>
      </c>
      <c r="L483" s="518" t="str">
        <f t="shared" si="57"/>
        <v/>
      </c>
      <c r="M483" s="528" t="str">
        <f t="shared" si="68"/>
        <v/>
      </c>
      <c r="N483" s="528" t="str">
        <f t="shared" si="61"/>
        <v/>
      </c>
      <c r="O483" s="526" t="str">
        <f t="shared" si="69"/>
        <v/>
      </c>
      <c r="P483" s="528" t="str">
        <f t="shared" si="70"/>
        <v/>
      </c>
    </row>
    <row r="484" spans="1:16" s="204" customFormat="1" ht="18" hidden="1" customHeight="1" x14ac:dyDescent="0.2">
      <c r="A484" s="518" t="str">
        <f t="shared" si="50"/>
        <v/>
      </c>
      <c r="B484" s="517">
        <f>LARGE($B$15:$B$264,214)</f>
        <v>0</v>
      </c>
      <c r="C484" s="526" t="str">
        <f t="shared" si="62"/>
        <v/>
      </c>
      <c r="D484" s="1416" t="str">
        <f t="shared" si="63"/>
        <v/>
      </c>
      <c r="E484" s="1416"/>
      <c r="F484" s="1416"/>
      <c r="G484" s="526" t="str">
        <f t="shared" si="64"/>
        <v/>
      </c>
      <c r="H484" s="526" t="str">
        <f t="shared" si="65"/>
        <v/>
      </c>
      <c r="I484" s="1417" t="str">
        <f t="shared" si="66"/>
        <v/>
      </c>
      <c r="J484" s="1417"/>
      <c r="K484" s="527" t="str">
        <f t="shared" si="67"/>
        <v/>
      </c>
      <c r="L484" s="518" t="str">
        <f t="shared" si="57"/>
        <v/>
      </c>
      <c r="M484" s="528" t="str">
        <f t="shared" si="68"/>
        <v/>
      </c>
      <c r="N484" s="528" t="str">
        <f t="shared" si="61"/>
        <v/>
      </c>
      <c r="O484" s="526" t="str">
        <f t="shared" si="69"/>
        <v/>
      </c>
      <c r="P484" s="528" t="str">
        <f t="shared" si="70"/>
        <v/>
      </c>
    </row>
    <row r="485" spans="1:16" s="204" customFormat="1" ht="18" hidden="1" customHeight="1" x14ac:dyDescent="0.2">
      <c r="A485" s="518" t="str">
        <f t="shared" si="50"/>
        <v/>
      </c>
      <c r="B485" s="517">
        <f>LARGE($B$15:$B$264,215)</f>
        <v>0</v>
      </c>
      <c r="C485" s="526" t="str">
        <f t="shared" si="62"/>
        <v/>
      </c>
      <c r="D485" s="1416" t="str">
        <f t="shared" si="63"/>
        <v/>
      </c>
      <c r="E485" s="1416"/>
      <c r="F485" s="1416"/>
      <c r="G485" s="526" t="str">
        <f t="shared" si="64"/>
        <v/>
      </c>
      <c r="H485" s="526" t="str">
        <f t="shared" si="65"/>
        <v/>
      </c>
      <c r="I485" s="1417" t="str">
        <f t="shared" si="66"/>
        <v/>
      </c>
      <c r="J485" s="1417"/>
      <c r="K485" s="527" t="str">
        <f t="shared" si="67"/>
        <v/>
      </c>
      <c r="L485" s="518" t="str">
        <f t="shared" si="57"/>
        <v/>
      </c>
      <c r="M485" s="528" t="str">
        <f t="shared" si="68"/>
        <v/>
      </c>
      <c r="N485" s="528" t="str">
        <f t="shared" si="61"/>
        <v/>
      </c>
      <c r="O485" s="526" t="str">
        <f t="shared" si="69"/>
        <v/>
      </c>
      <c r="P485" s="528" t="str">
        <f t="shared" si="70"/>
        <v/>
      </c>
    </row>
    <row r="486" spans="1:16" s="204" customFormat="1" ht="18" hidden="1" customHeight="1" x14ac:dyDescent="0.2">
      <c r="A486" s="518" t="str">
        <f t="shared" si="50"/>
        <v/>
      </c>
      <c r="B486" s="517">
        <f>LARGE($B$15:$B$264,216)</f>
        <v>0</v>
      </c>
      <c r="C486" s="526" t="str">
        <f t="shared" si="62"/>
        <v/>
      </c>
      <c r="D486" s="1416" t="str">
        <f t="shared" si="63"/>
        <v/>
      </c>
      <c r="E486" s="1416"/>
      <c r="F486" s="1416"/>
      <c r="G486" s="526" t="str">
        <f t="shared" si="64"/>
        <v/>
      </c>
      <c r="H486" s="526" t="str">
        <f t="shared" si="65"/>
        <v/>
      </c>
      <c r="I486" s="1417" t="str">
        <f t="shared" si="66"/>
        <v/>
      </c>
      <c r="J486" s="1417"/>
      <c r="K486" s="527" t="str">
        <f t="shared" si="67"/>
        <v/>
      </c>
      <c r="L486" s="518" t="str">
        <f t="shared" si="57"/>
        <v/>
      </c>
      <c r="M486" s="528" t="str">
        <f t="shared" si="68"/>
        <v/>
      </c>
      <c r="N486" s="528" t="str">
        <f t="shared" si="61"/>
        <v/>
      </c>
      <c r="O486" s="526" t="str">
        <f t="shared" si="69"/>
        <v/>
      </c>
      <c r="P486" s="528" t="str">
        <f t="shared" si="70"/>
        <v/>
      </c>
    </row>
    <row r="487" spans="1:16" s="204" customFormat="1" ht="18" hidden="1" customHeight="1" x14ac:dyDescent="0.2">
      <c r="A487" s="518" t="str">
        <f t="shared" si="50"/>
        <v/>
      </c>
      <c r="B487" s="517">
        <f>LARGE($B$15:$B$264,217)</f>
        <v>0</v>
      </c>
      <c r="C487" s="526" t="str">
        <f t="shared" si="62"/>
        <v/>
      </c>
      <c r="D487" s="1416" t="str">
        <f t="shared" si="63"/>
        <v/>
      </c>
      <c r="E487" s="1416"/>
      <c r="F487" s="1416"/>
      <c r="G487" s="526" t="str">
        <f t="shared" si="64"/>
        <v/>
      </c>
      <c r="H487" s="526" t="str">
        <f t="shared" si="65"/>
        <v/>
      </c>
      <c r="I487" s="1417" t="str">
        <f t="shared" si="66"/>
        <v/>
      </c>
      <c r="J487" s="1417"/>
      <c r="K487" s="527" t="str">
        <f t="shared" si="67"/>
        <v/>
      </c>
      <c r="L487" s="518" t="str">
        <f t="shared" si="57"/>
        <v/>
      </c>
      <c r="M487" s="528" t="str">
        <f t="shared" si="68"/>
        <v/>
      </c>
      <c r="N487" s="528" t="str">
        <f t="shared" si="61"/>
        <v/>
      </c>
      <c r="O487" s="526" t="str">
        <f t="shared" si="69"/>
        <v/>
      </c>
      <c r="P487" s="528" t="str">
        <f t="shared" si="70"/>
        <v/>
      </c>
    </row>
    <row r="488" spans="1:16" s="204" customFormat="1" ht="18" hidden="1" customHeight="1" x14ac:dyDescent="0.2">
      <c r="A488" s="518" t="str">
        <f t="shared" si="50"/>
        <v/>
      </c>
      <c r="B488" s="517">
        <f>LARGE($B$15:$B$264,218)</f>
        <v>0</v>
      </c>
      <c r="C488" s="526" t="str">
        <f t="shared" si="62"/>
        <v/>
      </c>
      <c r="D488" s="1416" t="str">
        <f t="shared" si="63"/>
        <v/>
      </c>
      <c r="E488" s="1416"/>
      <c r="F488" s="1416"/>
      <c r="G488" s="526" t="str">
        <f t="shared" si="64"/>
        <v/>
      </c>
      <c r="H488" s="526" t="str">
        <f t="shared" si="65"/>
        <v/>
      </c>
      <c r="I488" s="1417" t="str">
        <f t="shared" si="66"/>
        <v/>
      </c>
      <c r="J488" s="1417"/>
      <c r="K488" s="527" t="str">
        <f t="shared" si="67"/>
        <v/>
      </c>
      <c r="L488" s="518" t="str">
        <f t="shared" si="57"/>
        <v/>
      </c>
      <c r="M488" s="528" t="str">
        <f t="shared" si="68"/>
        <v/>
      </c>
      <c r="N488" s="528" t="str">
        <f t="shared" si="61"/>
        <v/>
      </c>
      <c r="O488" s="526" t="str">
        <f t="shared" si="69"/>
        <v/>
      </c>
      <c r="P488" s="528" t="str">
        <f t="shared" si="70"/>
        <v/>
      </c>
    </row>
    <row r="489" spans="1:16" s="204" customFormat="1" ht="18" hidden="1" customHeight="1" x14ac:dyDescent="0.2">
      <c r="A489" s="518" t="str">
        <f t="shared" si="50"/>
        <v/>
      </c>
      <c r="B489" s="517">
        <f>LARGE($B$15:$B$264,219)</f>
        <v>0</v>
      </c>
      <c r="C489" s="526" t="str">
        <f t="shared" si="62"/>
        <v/>
      </c>
      <c r="D489" s="1416" t="str">
        <f t="shared" si="63"/>
        <v/>
      </c>
      <c r="E489" s="1416"/>
      <c r="F489" s="1416"/>
      <c r="G489" s="526" t="str">
        <f t="shared" si="64"/>
        <v/>
      </c>
      <c r="H489" s="526" t="str">
        <f t="shared" si="65"/>
        <v/>
      </c>
      <c r="I489" s="1417" t="str">
        <f t="shared" si="66"/>
        <v/>
      </c>
      <c r="J489" s="1417"/>
      <c r="K489" s="527" t="str">
        <f t="shared" si="67"/>
        <v/>
      </c>
      <c r="L489" s="518" t="str">
        <f t="shared" si="57"/>
        <v/>
      </c>
      <c r="M489" s="528" t="str">
        <f t="shared" si="68"/>
        <v/>
      </c>
      <c r="N489" s="528" t="str">
        <f t="shared" si="61"/>
        <v/>
      </c>
      <c r="O489" s="526" t="str">
        <f t="shared" si="69"/>
        <v/>
      </c>
      <c r="P489" s="528" t="str">
        <f t="shared" si="70"/>
        <v/>
      </c>
    </row>
    <row r="490" spans="1:16" s="204" customFormat="1" ht="18" hidden="1" customHeight="1" x14ac:dyDescent="0.2">
      <c r="A490" s="518" t="str">
        <f t="shared" si="50"/>
        <v/>
      </c>
      <c r="B490" s="517">
        <f>LARGE($B$15:$B$264,220)</f>
        <v>0</v>
      </c>
      <c r="C490" s="526" t="str">
        <f t="shared" si="62"/>
        <v/>
      </c>
      <c r="D490" s="1416" t="str">
        <f t="shared" si="63"/>
        <v/>
      </c>
      <c r="E490" s="1416"/>
      <c r="F490" s="1416"/>
      <c r="G490" s="526" t="str">
        <f t="shared" si="64"/>
        <v/>
      </c>
      <c r="H490" s="526" t="str">
        <f t="shared" si="65"/>
        <v/>
      </c>
      <c r="I490" s="1417" t="str">
        <f t="shared" si="66"/>
        <v/>
      </c>
      <c r="J490" s="1417"/>
      <c r="K490" s="527" t="str">
        <f t="shared" si="67"/>
        <v/>
      </c>
      <c r="L490" s="518" t="str">
        <f t="shared" si="57"/>
        <v/>
      </c>
      <c r="M490" s="528" t="str">
        <f t="shared" si="68"/>
        <v/>
      </c>
      <c r="N490" s="528" t="str">
        <f t="shared" si="61"/>
        <v/>
      </c>
      <c r="O490" s="526" t="str">
        <f t="shared" si="69"/>
        <v/>
      </c>
      <c r="P490" s="528" t="str">
        <f t="shared" si="70"/>
        <v/>
      </c>
    </row>
    <row r="491" spans="1:16" s="204" customFormat="1" ht="18" hidden="1" customHeight="1" x14ac:dyDescent="0.2">
      <c r="A491" s="518" t="str">
        <f t="shared" si="50"/>
        <v/>
      </c>
      <c r="B491" s="517">
        <f>LARGE($B$15:$B$264,221)</f>
        <v>0</v>
      </c>
      <c r="C491" s="526" t="str">
        <f t="shared" si="62"/>
        <v/>
      </c>
      <c r="D491" s="1416" t="str">
        <f t="shared" si="63"/>
        <v/>
      </c>
      <c r="E491" s="1416"/>
      <c r="F491" s="1416"/>
      <c r="G491" s="526" t="str">
        <f t="shared" si="64"/>
        <v/>
      </c>
      <c r="H491" s="526" t="str">
        <f t="shared" si="65"/>
        <v/>
      </c>
      <c r="I491" s="1417" t="str">
        <f t="shared" si="66"/>
        <v/>
      </c>
      <c r="J491" s="1417"/>
      <c r="K491" s="527" t="str">
        <f t="shared" si="67"/>
        <v/>
      </c>
      <c r="L491" s="518" t="str">
        <f t="shared" si="57"/>
        <v/>
      </c>
      <c r="M491" s="528" t="str">
        <f t="shared" si="68"/>
        <v/>
      </c>
      <c r="N491" s="528" t="str">
        <f t="shared" si="61"/>
        <v/>
      </c>
      <c r="O491" s="526" t="str">
        <f t="shared" si="69"/>
        <v/>
      </c>
      <c r="P491" s="528" t="str">
        <f t="shared" si="70"/>
        <v/>
      </c>
    </row>
    <row r="492" spans="1:16" s="204" customFormat="1" ht="18" hidden="1" customHeight="1" x14ac:dyDescent="0.2">
      <c r="A492" s="518" t="str">
        <f t="shared" si="50"/>
        <v/>
      </c>
      <c r="B492" s="517">
        <f>LARGE($B$15:$B$264,222)</f>
        <v>0</v>
      </c>
      <c r="C492" s="526" t="str">
        <f t="shared" si="62"/>
        <v/>
      </c>
      <c r="D492" s="1416" t="str">
        <f t="shared" si="63"/>
        <v/>
      </c>
      <c r="E492" s="1416"/>
      <c r="F492" s="1416"/>
      <c r="G492" s="526" t="str">
        <f t="shared" si="64"/>
        <v/>
      </c>
      <c r="H492" s="526" t="str">
        <f t="shared" si="65"/>
        <v/>
      </c>
      <c r="I492" s="1417" t="str">
        <f t="shared" si="66"/>
        <v/>
      </c>
      <c r="J492" s="1417"/>
      <c r="K492" s="527" t="str">
        <f t="shared" si="67"/>
        <v/>
      </c>
      <c r="L492" s="518" t="str">
        <f t="shared" si="57"/>
        <v/>
      </c>
      <c r="M492" s="528" t="str">
        <f t="shared" si="68"/>
        <v/>
      </c>
      <c r="N492" s="528" t="str">
        <f t="shared" si="61"/>
        <v/>
      </c>
      <c r="O492" s="526" t="str">
        <f t="shared" si="69"/>
        <v/>
      </c>
      <c r="P492" s="528" t="str">
        <f t="shared" si="70"/>
        <v/>
      </c>
    </row>
    <row r="493" spans="1:16" s="204" customFormat="1" ht="18" hidden="1" customHeight="1" x14ac:dyDescent="0.2">
      <c r="A493" s="518" t="str">
        <f t="shared" si="50"/>
        <v/>
      </c>
      <c r="B493" s="517">
        <f>LARGE($B$15:$B$264,223)</f>
        <v>0</v>
      </c>
      <c r="C493" s="526" t="str">
        <f t="shared" si="62"/>
        <v/>
      </c>
      <c r="D493" s="1416" t="str">
        <f t="shared" si="63"/>
        <v/>
      </c>
      <c r="E493" s="1416"/>
      <c r="F493" s="1416"/>
      <c r="G493" s="526" t="str">
        <f t="shared" si="64"/>
        <v/>
      </c>
      <c r="H493" s="526" t="str">
        <f t="shared" si="65"/>
        <v/>
      </c>
      <c r="I493" s="1417" t="str">
        <f t="shared" si="66"/>
        <v/>
      </c>
      <c r="J493" s="1417"/>
      <c r="K493" s="527" t="str">
        <f t="shared" si="67"/>
        <v/>
      </c>
      <c r="L493" s="518" t="str">
        <f t="shared" si="57"/>
        <v/>
      </c>
      <c r="M493" s="528" t="str">
        <f t="shared" si="68"/>
        <v/>
      </c>
      <c r="N493" s="528" t="str">
        <f t="shared" si="61"/>
        <v/>
      </c>
      <c r="O493" s="526" t="str">
        <f t="shared" si="69"/>
        <v/>
      </c>
      <c r="P493" s="528" t="str">
        <f t="shared" si="70"/>
        <v/>
      </c>
    </row>
    <row r="494" spans="1:16" s="204" customFormat="1" ht="18" hidden="1" customHeight="1" x14ac:dyDescent="0.2">
      <c r="A494" s="518" t="str">
        <f t="shared" si="50"/>
        <v/>
      </c>
      <c r="B494" s="517">
        <f>LARGE($B$15:$B$264,224)</f>
        <v>0</v>
      </c>
      <c r="C494" s="526" t="str">
        <f t="shared" si="62"/>
        <v/>
      </c>
      <c r="D494" s="1416" t="str">
        <f t="shared" si="63"/>
        <v/>
      </c>
      <c r="E494" s="1416"/>
      <c r="F494" s="1416"/>
      <c r="G494" s="526" t="str">
        <f t="shared" si="64"/>
        <v/>
      </c>
      <c r="H494" s="526" t="str">
        <f t="shared" si="65"/>
        <v/>
      </c>
      <c r="I494" s="1417" t="str">
        <f t="shared" si="66"/>
        <v/>
      </c>
      <c r="J494" s="1417"/>
      <c r="K494" s="527" t="str">
        <f t="shared" si="67"/>
        <v/>
      </c>
      <c r="L494" s="518" t="str">
        <f t="shared" si="57"/>
        <v/>
      </c>
      <c r="M494" s="528" t="str">
        <f t="shared" si="68"/>
        <v/>
      </c>
      <c r="N494" s="528" t="str">
        <f t="shared" si="61"/>
        <v/>
      </c>
      <c r="O494" s="526" t="str">
        <f t="shared" si="69"/>
        <v/>
      </c>
      <c r="P494" s="528" t="str">
        <f t="shared" si="70"/>
        <v/>
      </c>
    </row>
    <row r="495" spans="1:16" s="204" customFormat="1" ht="18" hidden="1" customHeight="1" x14ac:dyDescent="0.2">
      <c r="A495" s="518" t="str">
        <f t="shared" si="50"/>
        <v/>
      </c>
      <c r="B495" s="517">
        <f>LARGE($B$15:$B$264,225)</f>
        <v>0</v>
      </c>
      <c r="C495" s="526" t="str">
        <f t="shared" si="62"/>
        <v/>
      </c>
      <c r="D495" s="1416" t="str">
        <f t="shared" si="63"/>
        <v/>
      </c>
      <c r="E495" s="1416"/>
      <c r="F495" s="1416"/>
      <c r="G495" s="526" t="str">
        <f t="shared" si="64"/>
        <v/>
      </c>
      <c r="H495" s="526" t="str">
        <f t="shared" si="65"/>
        <v/>
      </c>
      <c r="I495" s="1417" t="str">
        <f t="shared" si="66"/>
        <v/>
      </c>
      <c r="J495" s="1417"/>
      <c r="K495" s="527" t="str">
        <f t="shared" si="67"/>
        <v/>
      </c>
      <c r="L495" s="518" t="str">
        <f t="shared" si="57"/>
        <v/>
      </c>
      <c r="M495" s="528" t="str">
        <f t="shared" si="68"/>
        <v/>
      </c>
      <c r="N495" s="528" t="str">
        <f t="shared" si="61"/>
        <v/>
      </c>
      <c r="O495" s="526" t="str">
        <f t="shared" si="69"/>
        <v/>
      </c>
      <c r="P495" s="528" t="str">
        <f t="shared" si="70"/>
        <v/>
      </c>
    </row>
    <row r="496" spans="1:16" s="204" customFormat="1" ht="18" hidden="1" customHeight="1" x14ac:dyDescent="0.2">
      <c r="A496" s="518" t="str">
        <f t="shared" si="50"/>
        <v/>
      </c>
      <c r="B496" s="517">
        <f>LARGE($B$15:$B$264,226)</f>
        <v>0</v>
      </c>
      <c r="C496" s="526" t="str">
        <f t="shared" si="62"/>
        <v/>
      </c>
      <c r="D496" s="1416" t="str">
        <f t="shared" si="63"/>
        <v/>
      </c>
      <c r="E496" s="1416"/>
      <c r="F496" s="1416"/>
      <c r="G496" s="526" t="str">
        <f t="shared" si="64"/>
        <v/>
      </c>
      <c r="H496" s="526" t="str">
        <f t="shared" si="65"/>
        <v/>
      </c>
      <c r="I496" s="1417" t="str">
        <f t="shared" si="66"/>
        <v/>
      </c>
      <c r="J496" s="1417"/>
      <c r="K496" s="527" t="str">
        <f t="shared" si="67"/>
        <v/>
      </c>
      <c r="L496" s="518" t="str">
        <f t="shared" si="57"/>
        <v/>
      </c>
      <c r="M496" s="528" t="str">
        <f t="shared" si="68"/>
        <v/>
      </c>
      <c r="N496" s="528" t="str">
        <f t="shared" si="61"/>
        <v/>
      </c>
      <c r="O496" s="526" t="str">
        <f t="shared" si="69"/>
        <v/>
      </c>
      <c r="P496" s="528" t="str">
        <f t="shared" si="70"/>
        <v/>
      </c>
    </row>
    <row r="497" spans="1:16" s="204" customFormat="1" ht="18" hidden="1" customHeight="1" x14ac:dyDescent="0.2">
      <c r="A497" s="518" t="str">
        <f t="shared" si="50"/>
        <v/>
      </c>
      <c r="B497" s="517">
        <f>LARGE($B$15:$B$264,227)</f>
        <v>0</v>
      </c>
      <c r="C497" s="526" t="str">
        <f t="shared" si="62"/>
        <v/>
      </c>
      <c r="D497" s="1416" t="str">
        <f t="shared" si="63"/>
        <v/>
      </c>
      <c r="E497" s="1416"/>
      <c r="F497" s="1416"/>
      <c r="G497" s="526" t="str">
        <f t="shared" si="64"/>
        <v/>
      </c>
      <c r="H497" s="526" t="str">
        <f t="shared" si="65"/>
        <v/>
      </c>
      <c r="I497" s="1417" t="str">
        <f t="shared" si="66"/>
        <v/>
      </c>
      <c r="J497" s="1417"/>
      <c r="K497" s="527" t="str">
        <f t="shared" si="67"/>
        <v/>
      </c>
      <c r="L497" s="518" t="str">
        <f t="shared" si="57"/>
        <v/>
      </c>
      <c r="M497" s="528" t="str">
        <f t="shared" si="68"/>
        <v/>
      </c>
      <c r="N497" s="528" t="str">
        <f t="shared" si="61"/>
        <v/>
      </c>
      <c r="O497" s="526" t="str">
        <f t="shared" si="69"/>
        <v/>
      </c>
      <c r="P497" s="528" t="str">
        <f t="shared" si="70"/>
        <v/>
      </c>
    </row>
    <row r="498" spans="1:16" s="204" customFormat="1" ht="18" hidden="1" customHeight="1" x14ac:dyDescent="0.2">
      <c r="A498" s="518" t="str">
        <f t="shared" si="50"/>
        <v/>
      </c>
      <c r="B498" s="517">
        <f>LARGE($B$15:$B$264,228)</f>
        <v>0</v>
      </c>
      <c r="C498" s="526" t="str">
        <f t="shared" si="62"/>
        <v/>
      </c>
      <c r="D498" s="1416" t="str">
        <f t="shared" si="63"/>
        <v/>
      </c>
      <c r="E498" s="1416"/>
      <c r="F498" s="1416"/>
      <c r="G498" s="526" t="str">
        <f t="shared" si="64"/>
        <v/>
      </c>
      <c r="H498" s="526" t="str">
        <f t="shared" si="65"/>
        <v/>
      </c>
      <c r="I498" s="1417" t="str">
        <f t="shared" si="66"/>
        <v/>
      </c>
      <c r="J498" s="1417"/>
      <c r="K498" s="527" t="str">
        <f t="shared" si="67"/>
        <v/>
      </c>
      <c r="L498" s="518" t="str">
        <f t="shared" si="57"/>
        <v/>
      </c>
      <c r="M498" s="528" t="str">
        <f t="shared" si="68"/>
        <v/>
      </c>
      <c r="N498" s="528" t="str">
        <f t="shared" si="61"/>
        <v/>
      </c>
      <c r="O498" s="526" t="str">
        <f t="shared" si="69"/>
        <v/>
      </c>
      <c r="P498" s="528" t="str">
        <f t="shared" si="70"/>
        <v/>
      </c>
    </row>
    <row r="499" spans="1:16" s="204" customFormat="1" ht="18" hidden="1" customHeight="1" x14ac:dyDescent="0.2">
      <c r="A499" s="518" t="str">
        <f t="shared" si="50"/>
        <v/>
      </c>
      <c r="B499" s="517">
        <f>LARGE($B$15:$B$264,229)</f>
        <v>0</v>
      </c>
      <c r="C499" s="526" t="str">
        <f t="shared" si="62"/>
        <v/>
      </c>
      <c r="D499" s="1416" t="str">
        <f t="shared" si="63"/>
        <v/>
      </c>
      <c r="E499" s="1416"/>
      <c r="F499" s="1416"/>
      <c r="G499" s="526" t="str">
        <f t="shared" si="64"/>
        <v/>
      </c>
      <c r="H499" s="526" t="str">
        <f t="shared" si="65"/>
        <v/>
      </c>
      <c r="I499" s="1417" t="str">
        <f t="shared" si="66"/>
        <v/>
      </c>
      <c r="J499" s="1417"/>
      <c r="K499" s="527" t="str">
        <f t="shared" si="67"/>
        <v/>
      </c>
      <c r="L499" s="518" t="str">
        <f t="shared" si="57"/>
        <v/>
      </c>
      <c r="M499" s="528" t="str">
        <f t="shared" si="68"/>
        <v/>
      </c>
      <c r="N499" s="528" t="str">
        <f t="shared" si="61"/>
        <v/>
      </c>
      <c r="O499" s="526" t="str">
        <f t="shared" si="69"/>
        <v/>
      </c>
      <c r="P499" s="528" t="str">
        <f t="shared" si="70"/>
        <v/>
      </c>
    </row>
    <row r="500" spans="1:16" s="204" customFormat="1" ht="18" hidden="1" customHeight="1" x14ac:dyDescent="0.2">
      <c r="A500" s="518" t="str">
        <f t="shared" si="50"/>
        <v/>
      </c>
      <c r="B500" s="517">
        <f>LARGE($B$15:$B$264,230)</f>
        <v>0</v>
      </c>
      <c r="C500" s="526" t="str">
        <f t="shared" si="62"/>
        <v/>
      </c>
      <c r="D500" s="1416" t="str">
        <f t="shared" si="63"/>
        <v/>
      </c>
      <c r="E500" s="1416"/>
      <c r="F500" s="1416"/>
      <c r="G500" s="526" t="str">
        <f t="shared" si="64"/>
        <v/>
      </c>
      <c r="H500" s="526" t="str">
        <f t="shared" si="65"/>
        <v/>
      </c>
      <c r="I500" s="1417" t="str">
        <f t="shared" si="66"/>
        <v/>
      </c>
      <c r="J500" s="1417"/>
      <c r="K500" s="527" t="str">
        <f t="shared" si="67"/>
        <v/>
      </c>
      <c r="L500" s="518" t="str">
        <f t="shared" si="57"/>
        <v/>
      </c>
      <c r="M500" s="528" t="str">
        <f t="shared" si="68"/>
        <v/>
      </c>
      <c r="N500" s="528" t="str">
        <f t="shared" si="61"/>
        <v/>
      </c>
      <c r="O500" s="526" t="str">
        <f t="shared" si="69"/>
        <v/>
      </c>
      <c r="P500" s="528" t="str">
        <f t="shared" si="70"/>
        <v/>
      </c>
    </row>
    <row r="501" spans="1:16" s="204" customFormat="1" ht="18" hidden="1" customHeight="1" x14ac:dyDescent="0.2">
      <c r="A501" s="518" t="str">
        <f t="shared" si="50"/>
        <v/>
      </c>
      <c r="B501" s="517">
        <f>LARGE($B$15:$B$264,231)</f>
        <v>0</v>
      </c>
      <c r="C501" s="526" t="str">
        <f t="shared" si="62"/>
        <v/>
      </c>
      <c r="D501" s="1416" t="str">
        <f t="shared" si="63"/>
        <v/>
      </c>
      <c r="E501" s="1416"/>
      <c r="F501" s="1416"/>
      <c r="G501" s="526" t="str">
        <f t="shared" si="64"/>
        <v/>
      </c>
      <c r="H501" s="526" t="str">
        <f t="shared" si="65"/>
        <v/>
      </c>
      <c r="I501" s="1417" t="str">
        <f t="shared" si="66"/>
        <v/>
      </c>
      <c r="J501" s="1417"/>
      <c r="K501" s="527" t="str">
        <f t="shared" si="67"/>
        <v/>
      </c>
      <c r="L501" s="518" t="str">
        <f t="shared" si="57"/>
        <v/>
      </c>
      <c r="M501" s="528" t="str">
        <f t="shared" si="68"/>
        <v/>
      </c>
      <c r="N501" s="528" t="str">
        <f t="shared" si="61"/>
        <v/>
      </c>
      <c r="O501" s="526" t="str">
        <f t="shared" si="69"/>
        <v/>
      </c>
      <c r="P501" s="528" t="str">
        <f t="shared" si="70"/>
        <v/>
      </c>
    </row>
    <row r="502" spans="1:16" s="204" customFormat="1" ht="18" hidden="1" customHeight="1" x14ac:dyDescent="0.2">
      <c r="A502" s="518" t="str">
        <f t="shared" si="50"/>
        <v/>
      </c>
      <c r="B502" s="517">
        <f>LARGE($B$15:$B$264,232)</f>
        <v>0</v>
      </c>
      <c r="C502" s="526" t="str">
        <f t="shared" si="62"/>
        <v/>
      </c>
      <c r="D502" s="1416" t="str">
        <f t="shared" si="63"/>
        <v/>
      </c>
      <c r="E502" s="1416"/>
      <c r="F502" s="1416"/>
      <c r="G502" s="526" t="str">
        <f t="shared" si="64"/>
        <v/>
      </c>
      <c r="H502" s="526" t="str">
        <f t="shared" si="65"/>
        <v/>
      </c>
      <c r="I502" s="1417" t="str">
        <f t="shared" si="66"/>
        <v/>
      </c>
      <c r="J502" s="1417"/>
      <c r="K502" s="527" t="str">
        <f t="shared" si="67"/>
        <v/>
      </c>
      <c r="L502" s="518" t="str">
        <f t="shared" si="57"/>
        <v/>
      </c>
      <c r="M502" s="528" t="str">
        <f t="shared" si="68"/>
        <v/>
      </c>
      <c r="N502" s="528" t="str">
        <f t="shared" si="61"/>
        <v/>
      </c>
      <c r="O502" s="526" t="str">
        <f t="shared" si="69"/>
        <v/>
      </c>
      <c r="P502" s="528" t="str">
        <f t="shared" si="70"/>
        <v/>
      </c>
    </row>
    <row r="503" spans="1:16" s="204" customFormat="1" ht="18" hidden="1" customHeight="1" x14ac:dyDescent="0.2">
      <c r="A503" s="518" t="str">
        <f t="shared" si="50"/>
        <v/>
      </c>
      <c r="B503" s="517">
        <f>LARGE($B$15:$B$264,233)</f>
        <v>0</v>
      </c>
      <c r="C503" s="526" t="str">
        <f t="shared" si="62"/>
        <v/>
      </c>
      <c r="D503" s="1416" t="str">
        <f t="shared" si="63"/>
        <v/>
      </c>
      <c r="E503" s="1416"/>
      <c r="F503" s="1416"/>
      <c r="G503" s="526" t="str">
        <f t="shared" si="64"/>
        <v/>
      </c>
      <c r="H503" s="526" t="str">
        <f t="shared" si="65"/>
        <v/>
      </c>
      <c r="I503" s="1417" t="str">
        <f t="shared" si="66"/>
        <v/>
      </c>
      <c r="J503" s="1417"/>
      <c r="K503" s="527" t="str">
        <f t="shared" ref="K503:K520" si="71">IF(B503=0,"",H503*I503)</f>
        <v/>
      </c>
      <c r="L503" s="518" t="str">
        <f t="shared" si="57"/>
        <v/>
      </c>
      <c r="M503" s="528" t="str">
        <f t="shared" ref="M503:M520" si="72">IF(B503=0,"",B503)</f>
        <v/>
      </c>
      <c r="N503" s="528" t="str">
        <f t="shared" si="61"/>
        <v/>
      </c>
      <c r="O503" s="526" t="str">
        <f t="shared" ref="O503:O520" si="73">IF(B503=0,"",(IF(N503&lt;80%,"Si","No")))</f>
        <v/>
      </c>
      <c r="P503" s="528" t="str">
        <f t="shared" ref="P503:P520" si="74">IF(B503=0,"",(IF(M503=$M$521,"Si",(IF(M503&gt;$M$521,"Si","No")))))</f>
        <v/>
      </c>
    </row>
    <row r="504" spans="1:16" s="204" customFormat="1" ht="18" hidden="1" customHeight="1" x14ac:dyDescent="0.2">
      <c r="A504" s="518" t="str">
        <f t="shared" si="50"/>
        <v/>
      </c>
      <c r="B504" s="517">
        <f>LARGE($B$15:$B$264,234)</f>
        <v>0</v>
      </c>
      <c r="C504" s="526" t="str">
        <f t="shared" ref="C504:C520" si="75">IFERROR(IF(B504=0,"",VLOOKUP(B504,$B$15:$J$264,2,FALSE)),"")</f>
        <v/>
      </c>
      <c r="D504" s="1416" t="str">
        <f t="shared" ref="D504:D520" si="76">IF(B504=0,"",VLOOKUP(B504,$B$15:$J$264,3,FALSE))</f>
        <v/>
      </c>
      <c r="E504" s="1416"/>
      <c r="F504" s="1416"/>
      <c r="G504" s="526" t="str">
        <f t="shared" ref="G504:G520" si="77">IF(B504=0,"",VLOOKUP(B504,$B$15:$J$264,6,FALSE))</f>
        <v/>
      </c>
      <c r="H504" s="526" t="str">
        <f t="shared" ref="H504:H520" si="78">IF(B504=0,"",VLOOKUP(B504,$B$15:$J$264,7,FALSE))</f>
        <v/>
      </c>
      <c r="I504" s="1417" t="str">
        <f t="shared" ref="I504:I520" si="79">IF(B504=0,"",VLOOKUP(B504,$B$15:$J$264,8,FALSE))</f>
        <v/>
      </c>
      <c r="J504" s="1417"/>
      <c r="K504" s="527" t="str">
        <f t="shared" si="71"/>
        <v/>
      </c>
      <c r="L504" s="518" t="str">
        <f t="shared" si="57"/>
        <v/>
      </c>
      <c r="M504" s="528" t="str">
        <f t="shared" si="72"/>
        <v/>
      </c>
      <c r="N504" s="528" t="str">
        <f t="shared" si="61"/>
        <v/>
      </c>
      <c r="O504" s="526" t="str">
        <f t="shared" si="73"/>
        <v/>
      </c>
      <c r="P504" s="528" t="str">
        <f t="shared" si="74"/>
        <v/>
      </c>
    </row>
    <row r="505" spans="1:16" s="204" customFormat="1" ht="18" hidden="1" customHeight="1" x14ac:dyDescent="0.2">
      <c r="A505" s="518" t="str">
        <f t="shared" si="50"/>
        <v/>
      </c>
      <c r="B505" s="517">
        <f>LARGE($B$15:$B$264,235)</f>
        <v>0</v>
      </c>
      <c r="C505" s="526" t="str">
        <f t="shared" si="75"/>
        <v/>
      </c>
      <c r="D505" s="1416" t="str">
        <f t="shared" si="76"/>
        <v/>
      </c>
      <c r="E505" s="1416"/>
      <c r="F505" s="1416"/>
      <c r="G505" s="526" t="str">
        <f t="shared" si="77"/>
        <v/>
      </c>
      <c r="H505" s="526" t="str">
        <f t="shared" si="78"/>
        <v/>
      </c>
      <c r="I505" s="1417" t="str">
        <f t="shared" si="79"/>
        <v/>
      </c>
      <c r="J505" s="1417"/>
      <c r="K505" s="527" t="str">
        <f t="shared" si="71"/>
        <v/>
      </c>
      <c r="L505" s="518" t="str">
        <f t="shared" si="57"/>
        <v/>
      </c>
      <c r="M505" s="528" t="str">
        <f t="shared" si="72"/>
        <v/>
      </c>
      <c r="N505" s="528" t="str">
        <f t="shared" si="61"/>
        <v/>
      </c>
      <c r="O505" s="526" t="str">
        <f t="shared" si="73"/>
        <v/>
      </c>
      <c r="P505" s="528" t="str">
        <f t="shared" si="74"/>
        <v/>
      </c>
    </row>
    <row r="506" spans="1:16" s="204" customFormat="1" ht="18" hidden="1" customHeight="1" x14ac:dyDescent="0.2">
      <c r="A506" s="518" t="str">
        <f t="shared" si="50"/>
        <v/>
      </c>
      <c r="B506" s="517">
        <f>LARGE($B$15:$B$264,236)</f>
        <v>0</v>
      </c>
      <c r="C506" s="526" t="str">
        <f t="shared" si="75"/>
        <v/>
      </c>
      <c r="D506" s="1416" t="str">
        <f t="shared" si="76"/>
        <v/>
      </c>
      <c r="E506" s="1416"/>
      <c r="F506" s="1416"/>
      <c r="G506" s="526" t="str">
        <f t="shared" si="77"/>
        <v/>
      </c>
      <c r="H506" s="526" t="str">
        <f t="shared" si="78"/>
        <v/>
      </c>
      <c r="I506" s="1417" t="str">
        <f t="shared" si="79"/>
        <v/>
      </c>
      <c r="J506" s="1417"/>
      <c r="K506" s="527" t="str">
        <f t="shared" si="71"/>
        <v/>
      </c>
      <c r="L506" s="518" t="str">
        <f t="shared" si="57"/>
        <v/>
      </c>
      <c r="M506" s="528" t="str">
        <f t="shared" si="72"/>
        <v/>
      </c>
      <c r="N506" s="528" t="str">
        <f t="shared" si="61"/>
        <v/>
      </c>
      <c r="O506" s="526" t="str">
        <f t="shared" si="73"/>
        <v/>
      </c>
      <c r="P506" s="528" t="str">
        <f t="shared" si="74"/>
        <v/>
      </c>
    </row>
    <row r="507" spans="1:16" s="204" customFormat="1" ht="18" hidden="1" customHeight="1" x14ac:dyDescent="0.2">
      <c r="A507" s="518" t="str">
        <f t="shared" si="50"/>
        <v/>
      </c>
      <c r="B507" s="517">
        <f>LARGE($B$15:$B$264,237)</f>
        <v>0</v>
      </c>
      <c r="C507" s="526" t="str">
        <f t="shared" si="75"/>
        <v/>
      </c>
      <c r="D507" s="1416" t="str">
        <f t="shared" si="76"/>
        <v/>
      </c>
      <c r="E507" s="1416"/>
      <c r="F507" s="1416"/>
      <c r="G507" s="526" t="str">
        <f t="shared" si="77"/>
        <v/>
      </c>
      <c r="H507" s="526" t="str">
        <f t="shared" si="78"/>
        <v/>
      </c>
      <c r="I507" s="1417" t="str">
        <f t="shared" si="79"/>
        <v/>
      </c>
      <c r="J507" s="1417"/>
      <c r="K507" s="527" t="str">
        <f t="shared" si="71"/>
        <v/>
      </c>
      <c r="L507" s="518" t="str">
        <f t="shared" si="57"/>
        <v/>
      </c>
      <c r="M507" s="528" t="str">
        <f t="shared" si="72"/>
        <v/>
      </c>
      <c r="N507" s="528" t="str">
        <f t="shared" si="61"/>
        <v/>
      </c>
      <c r="O507" s="526" t="str">
        <f t="shared" si="73"/>
        <v/>
      </c>
      <c r="P507" s="528" t="str">
        <f t="shared" si="74"/>
        <v/>
      </c>
    </row>
    <row r="508" spans="1:16" s="204" customFormat="1" ht="18" hidden="1" customHeight="1" x14ac:dyDescent="0.2">
      <c r="A508" s="518" t="str">
        <f t="shared" si="50"/>
        <v/>
      </c>
      <c r="B508" s="517">
        <f>LARGE($B$15:$B$264,238)</f>
        <v>0</v>
      </c>
      <c r="C508" s="526" t="str">
        <f t="shared" si="75"/>
        <v/>
      </c>
      <c r="D508" s="1416" t="str">
        <f t="shared" si="76"/>
        <v/>
      </c>
      <c r="E508" s="1416"/>
      <c r="F508" s="1416"/>
      <c r="G508" s="526" t="str">
        <f t="shared" si="77"/>
        <v/>
      </c>
      <c r="H508" s="526" t="str">
        <f t="shared" si="78"/>
        <v/>
      </c>
      <c r="I508" s="1417" t="str">
        <f t="shared" si="79"/>
        <v/>
      </c>
      <c r="J508" s="1417"/>
      <c r="K508" s="527" t="str">
        <f t="shared" si="71"/>
        <v/>
      </c>
      <c r="L508" s="518" t="str">
        <f t="shared" si="57"/>
        <v/>
      </c>
      <c r="M508" s="528" t="str">
        <f t="shared" si="72"/>
        <v/>
      </c>
      <c r="N508" s="528" t="str">
        <f t="shared" si="61"/>
        <v/>
      </c>
      <c r="O508" s="526" t="str">
        <f t="shared" si="73"/>
        <v/>
      </c>
      <c r="P508" s="528" t="str">
        <f t="shared" si="74"/>
        <v/>
      </c>
    </row>
    <row r="509" spans="1:16" s="204" customFormat="1" ht="18" hidden="1" customHeight="1" x14ac:dyDescent="0.2">
      <c r="A509" s="518" t="str">
        <f t="shared" si="50"/>
        <v/>
      </c>
      <c r="B509" s="517">
        <f>LARGE($B$15:$B$264,239)</f>
        <v>0</v>
      </c>
      <c r="C509" s="526" t="str">
        <f t="shared" si="75"/>
        <v/>
      </c>
      <c r="D509" s="1416" t="str">
        <f t="shared" si="76"/>
        <v/>
      </c>
      <c r="E509" s="1416"/>
      <c r="F509" s="1416"/>
      <c r="G509" s="526" t="str">
        <f t="shared" si="77"/>
        <v/>
      </c>
      <c r="H509" s="526" t="str">
        <f t="shared" si="78"/>
        <v/>
      </c>
      <c r="I509" s="1417" t="str">
        <f t="shared" si="79"/>
        <v/>
      </c>
      <c r="J509" s="1417"/>
      <c r="K509" s="527" t="str">
        <f t="shared" si="71"/>
        <v/>
      </c>
      <c r="L509" s="518" t="str">
        <f t="shared" si="57"/>
        <v/>
      </c>
      <c r="M509" s="528" t="str">
        <f t="shared" si="72"/>
        <v/>
      </c>
      <c r="N509" s="528" t="str">
        <f t="shared" si="61"/>
        <v/>
      </c>
      <c r="O509" s="526" t="str">
        <f t="shared" si="73"/>
        <v/>
      </c>
      <c r="P509" s="528" t="str">
        <f t="shared" si="74"/>
        <v/>
      </c>
    </row>
    <row r="510" spans="1:16" s="204" customFormat="1" ht="18" hidden="1" customHeight="1" x14ac:dyDescent="0.2">
      <c r="A510" s="518" t="str">
        <f t="shared" si="50"/>
        <v/>
      </c>
      <c r="B510" s="517">
        <f>LARGE($B$15:$B$264,240)</f>
        <v>0</v>
      </c>
      <c r="C510" s="526" t="str">
        <f t="shared" si="75"/>
        <v/>
      </c>
      <c r="D510" s="1416" t="str">
        <f t="shared" si="76"/>
        <v/>
      </c>
      <c r="E510" s="1416"/>
      <c r="F510" s="1416"/>
      <c r="G510" s="526" t="str">
        <f t="shared" si="77"/>
        <v/>
      </c>
      <c r="H510" s="526" t="str">
        <f t="shared" si="78"/>
        <v/>
      </c>
      <c r="I510" s="1417" t="str">
        <f t="shared" si="79"/>
        <v/>
      </c>
      <c r="J510" s="1417"/>
      <c r="K510" s="527" t="str">
        <f t="shared" si="71"/>
        <v/>
      </c>
      <c r="L510" s="518" t="str">
        <f t="shared" si="57"/>
        <v/>
      </c>
      <c r="M510" s="528" t="str">
        <f t="shared" si="72"/>
        <v/>
      </c>
      <c r="N510" s="528" t="str">
        <f t="shared" si="61"/>
        <v/>
      </c>
      <c r="O510" s="526" t="str">
        <f t="shared" si="73"/>
        <v/>
      </c>
      <c r="P510" s="528" t="str">
        <f>IF(B510=0,"",(IF(M510=$M$521,"Si",(IF(M510&gt;$M$521,"Si","No")))))</f>
        <v/>
      </c>
    </row>
    <row r="511" spans="1:16" s="204" customFormat="1" ht="18" hidden="1" customHeight="1" x14ac:dyDescent="0.2">
      <c r="A511" s="518" t="str">
        <f t="shared" si="50"/>
        <v/>
      </c>
      <c r="B511" s="517">
        <f>LARGE($B$15:$B$264,241)</f>
        <v>0</v>
      </c>
      <c r="C511" s="526" t="str">
        <f t="shared" si="75"/>
        <v/>
      </c>
      <c r="D511" s="1416" t="str">
        <f t="shared" si="76"/>
        <v/>
      </c>
      <c r="E511" s="1416"/>
      <c r="F511" s="1416"/>
      <c r="G511" s="526" t="str">
        <f t="shared" si="77"/>
        <v/>
      </c>
      <c r="H511" s="526" t="str">
        <f t="shared" si="78"/>
        <v/>
      </c>
      <c r="I511" s="1417" t="str">
        <f t="shared" si="79"/>
        <v/>
      </c>
      <c r="J511" s="1417"/>
      <c r="K511" s="527" t="str">
        <f t="shared" si="71"/>
        <v/>
      </c>
      <c r="L511" s="518" t="str">
        <f t="shared" si="57"/>
        <v/>
      </c>
      <c r="M511" s="528" t="str">
        <f t="shared" si="72"/>
        <v/>
      </c>
      <c r="N511" s="528" t="str">
        <f t="shared" si="61"/>
        <v/>
      </c>
      <c r="O511" s="526" t="str">
        <f t="shared" si="73"/>
        <v/>
      </c>
      <c r="P511" s="528" t="str">
        <f t="shared" si="74"/>
        <v/>
      </c>
    </row>
    <row r="512" spans="1:16" s="204" customFormat="1" ht="18" hidden="1" customHeight="1" x14ac:dyDescent="0.2">
      <c r="A512" s="518" t="str">
        <f t="shared" si="50"/>
        <v/>
      </c>
      <c r="B512" s="517">
        <f>LARGE($B$15:$B$264,242)</f>
        <v>0</v>
      </c>
      <c r="C512" s="526" t="str">
        <f t="shared" si="75"/>
        <v/>
      </c>
      <c r="D512" s="1416" t="str">
        <f t="shared" si="76"/>
        <v/>
      </c>
      <c r="E512" s="1416"/>
      <c r="F512" s="1416"/>
      <c r="G512" s="526" t="str">
        <f t="shared" si="77"/>
        <v/>
      </c>
      <c r="H512" s="526" t="str">
        <f t="shared" si="78"/>
        <v/>
      </c>
      <c r="I512" s="1417" t="str">
        <f t="shared" si="79"/>
        <v/>
      </c>
      <c r="J512" s="1417"/>
      <c r="K512" s="527" t="str">
        <f t="shared" si="71"/>
        <v/>
      </c>
      <c r="L512" s="518" t="str">
        <f t="shared" si="57"/>
        <v/>
      </c>
      <c r="M512" s="528" t="str">
        <f t="shared" si="72"/>
        <v/>
      </c>
      <c r="N512" s="528" t="str">
        <f t="shared" si="61"/>
        <v/>
      </c>
      <c r="O512" s="526" t="str">
        <f t="shared" si="73"/>
        <v/>
      </c>
      <c r="P512" s="528" t="str">
        <f t="shared" si="74"/>
        <v/>
      </c>
    </row>
    <row r="513" spans="1:17" s="204" customFormat="1" ht="18" hidden="1" customHeight="1" x14ac:dyDescent="0.2">
      <c r="A513" s="518" t="str">
        <f t="shared" si="50"/>
        <v/>
      </c>
      <c r="B513" s="517">
        <f>LARGE($B$15:$B$264,243)</f>
        <v>0</v>
      </c>
      <c r="C513" s="526" t="str">
        <f t="shared" si="75"/>
        <v/>
      </c>
      <c r="D513" s="1416" t="str">
        <f t="shared" si="76"/>
        <v/>
      </c>
      <c r="E513" s="1416"/>
      <c r="F513" s="1416"/>
      <c r="G513" s="526" t="str">
        <f t="shared" si="77"/>
        <v/>
      </c>
      <c r="H513" s="526" t="str">
        <f t="shared" si="78"/>
        <v/>
      </c>
      <c r="I513" s="1417" t="str">
        <f t="shared" si="79"/>
        <v/>
      </c>
      <c r="J513" s="1417"/>
      <c r="K513" s="527" t="str">
        <f t="shared" si="71"/>
        <v/>
      </c>
      <c r="L513" s="518" t="str">
        <f t="shared" si="57"/>
        <v/>
      </c>
      <c r="M513" s="528" t="str">
        <f t="shared" si="72"/>
        <v/>
      </c>
      <c r="N513" s="528" t="str">
        <f t="shared" si="61"/>
        <v/>
      </c>
      <c r="O513" s="526" t="str">
        <f t="shared" si="73"/>
        <v/>
      </c>
      <c r="P513" s="528" t="str">
        <f t="shared" si="74"/>
        <v/>
      </c>
    </row>
    <row r="514" spans="1:17" s="204" customFormat="1" ht="18" hidden="1" customHeight="1" x14ac:dyDescent="0.2">
      <c r="A514" s="518" t="str">
        <f t="shared" si="50"/>
        <v/>
      </c>
      <c r="B514" s="517">
        <f>LARGE($B$15:$B$264,244)</f>
        <v>0</v>
      </c>
      <c r="C514" s="526" t="str">
        <f t="shared" si="75"/>
        <v/>
      </c>
      <c r="D514" s="1416" t="str">
        <f t="shared" si="76"/>
        <v/>
      </c>
      <c r="E514" s="1416"/>
      <c r="F514" s="1416"/>
      <c r="G514" s="526" t="str">
        <f t="shared" si="77"/>
        <v/>
      </c>
      <c r="H514" s="526" t="str">
        <f t="shared" si="78"/>
        <v/>
      </c>
      <c r="I514" s="1417" t="str">
        <f t="shared" si="79"/>
        <v/>
      </c>
      <c r="J514" s="1417"/>
      <c r="K514" s="527" t="str">
        <f t="shared" si="71"/>
        <v/>
      </c>
      <c r="L514" s="518" t="str">
        <f t="shared" si="57"/>
        <v/>
      </c>
      <c r="M514" s="528" t="str">
        <f t="shared" si="72"/>
        <v/>
      </c>
      <c r="N514" s="528" t="str">
        <f t="shared" si="61"/>
        <v/>
      </c>
      <c r="O514" s="526" t="str">
        <f t="shared" si="73"/>
        <v/>
      </c>
      <c r="P514" s="528" t="str">
        <f t="shared" si="74"/>
        <v/>
      </c>
    </row>
    <row r="515" spans="1:17" s="204" customFormat="1" ht="18" hidden="1" customHeight="1" x14ac:dyDescent="0.2">
      <c r="A515" s="518" t="str">
        <f t="shared" si="50"/>
        <v/>
      </c>
      <c r="B515" s="517">
        <f>LARGE($B$15:$B$264,245)</f>
        <v>0</v>
      </c>
      <c r="C515" s="526" t="str">
        <f t="shared" si="75"/>
        <v/>
      </c>
      <c r="D515" s="1416" t="str">
        <f t="shared" si="76"/>
        <v/>
      </c>
      <c r="E515" s="1416"/>
      <c r="F515" s="1416"/>
      <c r="G515" s="526" t="str">
        <f t="shared" si="77"/>
        <v/>
      </c>
      <c r="H515" s="526" t="str">
        <f t="shared" si="78"/>
        <v/>
      </c>
      <c r="I515" s="1417" t="str">
        <f t="shared" si="79"/>
        <v/>
      </c>
      <c r="J515" s="1417"/>
      <c r="K515" s="527" t="str">
        <f t="shared" si="71"/>
        <v/>
      </c>
      <c r="L515" s="518" t="str">
        <f t="shared" si="57"/>
        <v/>
      </c>
      <c r="M515" s="528" t="str">
        <f t="shared" si="72"/>
        <v/>
      </c>
      <c r="N515" s="528" t="str">
        <f t="shared" si="61"/>
        <v/>
      </c>
      <c r="O515" s="526" t="str">
        <f t="shared" si="73"/>
        <v/>
      </c>
      <c r="P515" s="528" t="str">
        <f t="shared" si="74"/>
        <v/>
      </c>
    </row>
    <row r="516" spans="1:17" s="204" customFormat="1" ht="18" hidden="1" customHeight="1" x14ac:dyDescent="0.2">
      <c r="A516" s="518" t="str">
        <f t="shared" si="50"/>
        <v/>
      </c>
      <c r="B516" s="517">
        <f>LARGE($B$15:$B$264,246)</f>
        <v>0</v>
      </c>
      <c r="C516" s="526" t="str">
        <f t="shared" si="75"/>
        <v/>
      </c>
      <c r="D516" s="1416" t="str">
        <f t="shared" si="76"/>
        <v/>
      </c>
      <c r="E516" s="1416"/>
      <c r="F516" s="1416"/>
      <c r="G516" s="526" t="str">
        <f t="shared" si="77"/>
        <v/>
      </c>
      <c r="H516" s="526" t="str">
        <f t="shared" si="78"/>
        <v/>
      </c>
      <c r="I516" s="1417" t="str">
        <f t="shared" si="79"/>
        <v/>
      </c>
      <c r="J516" s="1417"/>
      <c r="K516" s="527" t="str">
        <f t="shared" si="71"/>
        <v/>
      </c>
      <c r="L516" s="518" t="str">
        <f t="shared" si="57"/>
        <v/>
      </c>
      <c r="M516" s="528" t="str">
        <f t="shared" si="72"/>
        <v/>
      </c>
      <c r="N516" s="528" t="str">
        <f t="shared" si="61"/>
        <v/>
      </c>
      <c r="O516" s="526" t="str">
        <f t="shared" si="73"/>
        <v/>
      </c>
      <c r="P516" s="528" t="str">
        <f t="shared" si="74"/>
        <v/>
      </c>
    </row>
    <row r="517" spans="1:17" s="204" customFormat="1" ht="18" hidden="1" customHeight="1" x14ac:dyDescent="0.2">
      <c r="A517" s="518" t="str">
        <f t="shared" si="50"/>
        <v/>
      </c>
      <c r="B517" s="517">
        <f>LARGE($B$15:$B$264,247)</f>
        <v>0</v>
      </c>
      <c r="C517" s="526" t="str">
        <f t="shared" si="75"/>
        <v/>
      </c>
      <c r="D517" s="1416" t="str">
        <f t="shared" si="76"/>
        <v/>
      </c>
      <c r="E517" s="1416"/>
      <c r="F517" s="1416"/>
      <c r="G517" s="526" t="str">
        <f t="shared" si="77"/>
        <v/>
      </c>
      <c r="H517" s="526" t="str">
        <f t="shared" si="78"/>
        <v/>
      </c>
      <c r="I517" s="1417" t="str">
        <f t="shared" si="79"/>
        <v/>
      </c>
      <c r="J517" s="1417"/>
      <c r="K517" s="527" t="str">
        <f t="shared" si="71"/>
        <v/>
      </c>
      <c r="L517" s="518" t="str">
        <f t="shared" si="57"/>
        <v/>
      </c>
      <c r="M517" s="528" t="str">
        <f t="shared" si="72"/>
        <v/>
      </c>
      <c r="N517" s="528" t="str">
        <f t="shared" si="61"/>
        <v/>
      </c>
      <c r="O517" s="526" t="str">
        <f t="shared" si="73"/>
        <v/>
      </c>
      <c r="P517" s="528" t="str">
        <f t="shared" si="74"/>
        <v/>
      </c>
    </row>
    <row r="518" spans="1:17" s="204" customFormat="1" ht="18" hidden="1" customHeight="1" x14ac:dyDescent="0.2">
      <c r="A518" s="518" t="str">
        <f t="shared" si="50"/>
        <v/>
      </c>
      <c r="B518" s="517">
        <f>LARGE($B$15:$B$264,248)</f>
        <v>0</v>
      </c>
      <c r="C518" s="526" t="str">
        <f t="shared" si="75"/>
        <v/>
      </c>
      <c r="D518" s="1416" t="str">
        <f t="shared" si="76"/>
        <v/>
      </c>
      <c r="E518" s="1416"/>
      <c r="F518" s="1416"/>
      <c r="G518" s="526" t="str">
        <f t="shared" si="77"/>
        <v/>
      </c>
      <c r="H518" s="526" t="str">
        <f t="shared" si="78"/>
        <v/>
      </c>
      <c r="I518" s="1417" t="str">
        <f t="shared" si="79"/>
        <v/>
      </c>
      <c r="J518" s="1417"/>
      <c r="K518" s="527" t="str">
        <f t="shared" si="71"/>
        <v/>
      </c>
      <c r="L518" s="518" t="str">
        <f t="shared" si="57"/>
        <v/>
      </c>
      <c r="M518" s="528" t="str">
        <f t="shared" si="72"/>
        <v/>
      </c>
      <c r="N518" s="528" t="str">
        <f t="shared" si="61"/>
        <v/>
      </c>
      <c r="O518" s="526" t="str">
        <f t="shared" si="73"/>
        <v/>
      </c>
      <c r="P518" s="528" t="str">
        <f t="shared" si="74"/>
        <v/>
      </c>
    </row>
    <row r="519" spans="1:17" s="204" customFormat="1" ht="18" hidden="1" customHeight="1" x14ac:dyDescent="0.2">
      <c r="A519" s="518" t="str">
        <f t="shared" si="50"/>
        <v/>
      </c>
      <c r="B519" s="517">
        <f>LARGE($B$15:$B$264,249)</f>
        <v>0</v>
      </c>
      <c r="C519" s="526" t="str">
        <f t="shared" si="75"/>
        <v/>
      </c>
      <c r="D519" s="1416" t="str">
        <f t="shared" si="76"/>
        <v/>
      </c>
      <c r="E519" s="1416"/>
      <c r="F519" s="1416"/>
      <c r="G519" s="526" t="str">
        <f t="shared" si="77"/>
        <v/>
      </c>
      <c r="H519" s="526" t="str">
        <f t="shared" si="78"/>
        <v/>
      </c>
      <c r="I519" s="1417" t="str">
        <f t="shared" si="79"/>
        <v/>
      </c>
      <c r="J519" s="1417"/>
      <c r="K519" s="527" t="str">
        <f t="shared" si="71"/>
        <v/>
      </c>
      <c r="L519" s="518" t="str">
        <f t="shared" si="57"/>
        <v/>
      </c>
      <c r="M519" s="528" t="str">
        <f>IF(B519=0,"",B519)</f>
        <v/>
      </c>
      <c r="N519" s="528" t="str">
        <f t="shared" si="61"/>
        <v/>
      </c>
      <c r="O519" s="526" t="str">
        <f t="shared" si="73"/>
        <v/>
      </c>
      <c r="P519" s="528" t="str">
        <f t="shared" si="74"/>
        <v/>
      </c>
    </row>
    <row r="520" spans="1:17" s="204" customFormat="1" ht="18" hidden="1" customHeight="1" x14ac:dyDescent="0.2">
      <c r="A520" s="518" t="str">
        <f t="shared" si="50"/>
        <v/>
      </c>
      <c r="B520" s="517">
        <f>LARGE($B$15:$B$264,250)</f>
        <v>0</v>
      </c>
      <c r="C520" s="526" t="str">
        <f t="shared" si="75"/>
        <v/>
      </c>
      <c r="D520" s="1416" t="str">
        <f t="shared" si="76"/>
        <v/>
      </c>
      <c r="E520" s="1416"/>
      <c r="F520" s="1416"/>
      <c r="G520" s="526" t="str">
        <f t="shared" si="77"/>
        <v/>
      </c>
      <c r="H520" s="526" t="str">
        <f t="shared" si="78"/>
        <v/>
      </c>
      <c r="I520" s="1417" t="str">
        <f t="shared" si="79"/>
        <v/>
      </c>
      <c r="J520" s="1417"/>
      <c r="K520" s="527" t="str">
        <f t="shared" si="71"/>
        <v/>
      </c>
      <c r="L520" s="518" t="str">
        <f t="shared" si="57"/>
        <v/>
      </c>
      <c r="M520" s="528" t="str">
        <f t="shared" si="72"/>
        <v/>
      </c>
      <c r="N520" s="528" t="str">
        <f t="shared" si="61"/>
        <v/>
      </c>
      <c r="O520" s="526" t="str">
        <f t="shared" si="73"/>
        <v/>
      </c>
      <c r="P520" s="528" t="str">
        <f t="shared" si="74"/>
        <v/>
      </c>
    </row>
    <row r="521" spans="1:17" s="204" customFormat="1" ht="18" customHeight="1" x14ac:dyDescent="0.2">
      <c r="A521" s="515"/>
      <c r="B521" s="513"/>
      <c r="C521" s="1438" t="s">
        <v>653</v>
      </c>
      <c r="D521" s="1439"/>
      <c r="E521" s="1439"/>
      <c r="F521" s="1439"/>
      <c r="G521" s="1439"/>
      <c r="H521" s="1439"/>
      <c r="I521" s="1439"/>
      <c r="J521" s="1439"/>
      <c r="K521" s="1439"/>
      <c r="L521" s="1440"/>
      <c r="M521" s="529" t="str">
        <f>IFERROR(AVERAGEIF(L271:L520,"Si",M271:M520),"No aplica")</f>
        <v>No aplica</v>
      </c>
      <c r="N521" s="1447"/>
      <c r="O521" s="1448"/>
      <c r="P521" s="1449"/>
    </row>
    <row r="522" spans="1:17" s="204" customFormat="1" ht="18" customHeight="1" thickBot="1" x14ac:dyDescent="0.25">
      <c r="A522" s="513"/>
      <c r="B522" s="514"/>
      <c r="G522" s="206"/>
      <c r="H522" s="206"/>
      <c r="L522" s="506"/>
    </row>
    <row r="523" spans="1:17" s="204" customFormat="1" ht="106.5" customHeight="1" thickBot="1" x14ac:dyDescent="0.25">
      <c r="A523" s="513"/>
      <c r="B523" s="514"/>
      <c r="C523" s="1423" t="s">
        <v>654</v>
      </c>
      <c r="D523" s="1424"/>
      <c r="E523" s="1424"/>
      <c r="F523" s="1424"/>
      <c r="G523" s="1424"/>
      <c r="H523" s="1424"/>
      <c r="I523" s="1424"/>
      <c r="J523" s="1424"/>
      <c r="K523" s="1424"/>
      <c r="L523" s="1424"/>
      <c r="M523" s="1424"/>
      <c r="N523" s="1424"/>
      <c r="O523" s="1424"/>
      <c r="P523" s="1425"/>
    </row>
    <row r="524" spans="1:17" s="204" customFormat="1" ht="18" customHeight="1" x14ac:dyDescent="0.2">
      <c r="A524" s="513"/>
      <c r="B524" s="514"/>
      <c r="G524" s="206"/>
      <c r="H524" s="206"/>
      <c r="L524" s="506"/>
    </row>
    <row r="525" spans="1:17" s="204" customFormat="1" ht="18" customHeight="1" x14ac:dyDescent="0.2">
      <c r="A525" s="513"/>
      <c r="B525" s="514"/>
      <c r="C525" s="1450" t="s">
        <v>655</v>
      </c>
      <c r="D525" s="1450"/>
      <c r="E525" s="1450"/>
      <c r="F525" s="1450"/>
      <c r="G525" s="1450"/>
      <c r="H525" s="1450"/>
      <c r="I525" s="1450"/>
      <c r="J525" s="1450"/>
      <c r="K525" s="1450"/>
      <c r="L525" s="1450"/>
      <c r="M525" s="1450"/>
      <c r="N525" s="1450"/>
      <c r="O525" s="1450"/>
      <c r="P525" s="1450"/>
      <c r="Q525" s="208"/>
    </row>
    <row r="526" spans="1:17" s="204" customFormat="1" ht="18" customHeight="1" x14ac:dyDescent="0.2">
      <c r="A526" s="513"/>
      <c r="B526" s="514"/>
      <c r="C526" s="1454" t="s">
        <v>656</v>
      </c>
      <c r="D526" s="1455"/>
      <c r="E526" s="1451" t="s">
        <v>657</v>
      </c>
      <c r="F526" s="1452"/>
      <c r="G526" s="1452"/>
      <c r="H526" s="1452"/>
      <c r="I526" s="1452"/>
      <c r="J526" s="1452"/>
      <c r="K526" s="1452"/>
      <c r="L526" s="1452"/>
      <c r="M526" s="1452"/>
      <c r="N526" s="1452"/>
      <c r="O526" s="1452"/>
      <c r="P526" s="1453"/>
      <c r="Q526" s="208"/>
    </row>
    <row r="527" spans="1:17" s="204" customFormat="1" ht="32.25" customHeight="1" x14ac:dyDescent="0.2">
      <c r="A527" s="513"/>
      <c r="B527" s="514"/>
      <c r="C527" s="525" t="s">
        <v>448</v>
      </c>
      <c r="D527" s="1418" t="s">
        <v>370</v>
      </c>
      <c r="E527" s="1418"/>
      <c r="F527" s="1418"/>
      <c r="G527" s="525" t="s">
        <v>649</v>
      </c>
      <c r="H527" s="108" t="s">
        <v>658</v>
      </c>
      <c r="I527" s="1147" t="s">
        <v>659</v>
      </c>
      <c r="J527" s="1147"/>
      <c r="K527" s="1147"/>
      <c r="L527" s="1147"/>
      <c r="M527" s="1147"/>
      <c r="N527" s="1147"/>
      <c r="O527" s="1147"/>
      <c r="P527" s="1147"/>
    </row>
    <row r="528" spans="1:17" s="204" customFormat="1" ht="18" customHeight="1" x14ac:dyDescent="0.2">
      <c r="A528" s="513"/>
      <c r="B528" s="514"/>
      <c r="C528" s="526" t="str">
        <f>IF(A271="Si",C271,"")</f>
        <v/>
      </c>
      <c r="D528" s="1416" t="str">
        <f>IF(A271="Si",D271,"")</f>
        <v/>
      </c>
      <c r="E528" s="1416"/>
      <c r="F528" s="1416"/>
      <c r="G528" s="730" t="str">
        <f>IF(A271="Si",M271,"")</f>
        <v/>
      </c>
      <c r="H528" s="507"/>
      <c r="I528" s="1419"/>
      <c r="J528" s="1419"/>
      <c r="K528" s="1419"/>
      <c r="L528" s="1419"/>
      <c r="M528" s="1419"/>
      <c r="N528" s="1419"/>
      <c r="O528" s="1419"/>
      <c r="P528" s="1419"/>
    </row>
    <row r="529" spans="1:16" s="204" customFormat="1" ht="18" customHeight="1" x14ac:dyDescent="0.2">
      <c r="A529" s="513"/>
      <c r="B529" s="514"/>
      <c r="C529" s="526" t="str">
        <f t="shared" ref="C529:C592" si="80">IF(A272="Si",C272,"")</f>
        <v/>
      </c>
      <c r="D529" s="1416" t="str">
        <f t="shared" ref="D529:D592" si="81">IF(A272="Si",D272,"")</f>
        <v/>
      </c>
      <c r="E529" s="1416"/>
      <c r="F529" s="1416"/>
      <c r="G529" s="730" t="str">
        <f t="shared" ref="G529:G592" si="82">IF(A272="Si",M272,"")</f>
        <v/>
      </c>
      <c r="H529" s="507"/>
      <c r="I529" s="1419"/>
      <c r="J529" s="1419"/>
      <c r="K529" s="1419"/>
      <c r="L529" s="1419"/>
      <c r="M529" s="1419"/>
      <c r="N529" s="1419"/>
      <c r="O529" s="1419"/>
      <c r="P529" s="1419"/>
    </row>
    <row r="530" spans="1:16" s="204" customFormat="1" ht="18" customHeight="1" x14ac:dyDescent="0.2">
      <c r="A530" s="513"/>
      <c r="B530" s="514"/>
      <c r="C530" s="526" t="str">
        <f t="shared" si="80"/>
        <v/>
      </c>
      <c r="D530" s="1416" t="str">
        <f t="shared" si="81"/>
        <v/>
      </c>
      <c r="E530" s="1416"/>
      <c r="F530" s="1416"/>
      <c r="G530" s="730" t="str">
        <f t="shared" si="82"/>
        <v/>
      </c>
      <c r="H530" s="507"/>
      <c r="I530" s="1419"/>
      <c r="J530" s="1419"/>
      <c r="K530" s="1419"/>
      <c r="L530" s="1419"/>
      <c r="M530" s="1419"/>
      <c r="N530" s="1419"/>
      <c r="O530" s="1419"/>
      <c r="P530" s="1419"/>
    </row>
    <row r="531" spans="1:16" s="204" customFormat="1" ht="18" customHeight="1" x14ac:dyDescent="0.2">
      <c r="A531" s="513"/>
      <c r="B531" s="514"/>
      <c r="C531" s="526" t="str">
        <f t="shared" si="80"/>
        <v/>
      </c>
      <c r="D531" s="1416" t="str">
        <f t="shared" si="81"/>
        <v/>
      </c>
      <c r="E531" s="1416"/>
      <c r="F531" s="1416"/>
      <c r="G531" s="730" t="str">
        <f t="shared" si="82"/>
        <v/>
      </c>
      <c r="H531" s="507"/>
      <c r="I531" s="1419"/>
      <c r="J531" s="1419"/>
      <c r="K531" s="1419"/>
      <c r="L531" s="1419"/>
      <c r="M531" s="1419"/>
      <c r="N531" s="1419"/>
      <c r="O531" s="1419"/>
      <c r="P531" s="1419"/>
    </row>
    <row r="532" spans="1:16" s="204" customFormat="1" ht="18" customHeight="1" x14ac:dyDescent="0.2">
      <c r="A532" s="513"/>
      <c r="B532" s="514"/>
      <c r="C532" s="526" t="str">
        <f t="shared" si="80"/>
        <v/>
      </c>
      <c r="D532" s="1416" t="str">
        <f t="shared" si="81"/>
        <v/>
      </c>
      <c r="E532" s="1416"/>
      <c r="F532" s="1416"/>
      <c r="G532" s="730" t="str">
        <f t="shared" si="82"/>
        <v/>
      </c>
      <c r="H532" s="507"/>
      <c r="I532" s="1419"/>
      <c r="J532" s="1419"/>
      <c r="K532" s="1419"/>
      <c r="L532" s="1419"/>
      <c r="M532" s="1419"/>
      <c r="N532" s="1419"/>
      <c r="O532" s="1419"/>
      <c r="P532" s="1419"/>
    </row>
    <row r="533" spans="1:16" s="204" customFormat="1" ht="18" hidden="1" customHeight="1" x14ac:dyDescent="0.2">
      <c r="A533" s="513"/>
      <c r="B533" s="514"/>
      <c r="C533" s="526" t="str">
        <f t="shared" si="80"/>
        <v/>
      </c>
      <c r="D533" s="1416" t="str">
        <f t="shared" si="81"/>
        <v/>
      </c>
      <c r="E533" s="1416"/>
      <c r="F533" s="1416"/>
      <c r="G533" s="730" t="str">
        <f t="shared" si="82"/>
        <v/>
      </c>
      <c r="H533" s="507"/>
      <c r="I533" s="1419"/>
      <c r="J533" s="1419"/>
      <c r="K533" s="1419"/>
      <c r="L533" s="1419"/>
      <c r="M533" s="1419"/>
      <c r="N533" s="1419"/>
      <c r="O533" s="1419"/>
      <c r="P533" s="1419"/>
    </row>
    <row r="534" spans="1:16" s="204" customFormat="1" ht="18" hidden="1" customHeight="1" x14ac:dyDescent="0.2">
      <c r="A534" s="513"/>
      <c r="B534" s="514"/>
      <c r="C534" s="526" t="str">
        <f t="shared" si="80"/>
        <v/>
      </c>
      <c r="D534" s="1416" t="str">
        <f t="shared" si="81"/>
        <v/>
      </c>
      <c r="E534" s="1416"/>
      <c r="F534" s="1416"/>
      <c r="G534" s="730" t="str">
        <f t="shared" si="82"/>
        <v/>
      </c>
      <c r="H534" s="507"/>
      <c r="I534" s="1419"/>
      <c r="J534" s="1419"/>
      <c r="K534" s="1419"/>
      <c r="L534" s="1419"/>
      <c r="M534" s="1419"/>
      <c r="N534" s="1419"/>
      <c r="O534" s="1419"/>
      <c r="P534" s="1419"/>
    </row>
    <row r="535" spans="1:16" s="204" customFormat="1" ht="18" hidden="1" customHeight="1" x14ac:dyDescent="0.2">
      <c r="A535" s="513"/>
      <c r="B535" s="514"/>
      <c r="C535" s="526" t="str">
        <f t="shared" si="80"/>
        <v/>
      </c>
      <c r="D535" s="1416" t="str">
        <f t="shared" si="81"/>
        <v/>
      </c>
      <c r="E535" s="1416"/>
      <c r="F535" s="1416"/>
      <c r="G535" s="730" t="str">
        <f t="shared" si="82"/>
        <v/>
      </c>
      <c r="H535" s="507"/>
      <c r="I535" s="1419"/>
      <c r="J535" s="1419"/>
      <c r="K535" s="1419"/>
      <c r="L535" s="1419"/>
      <c r="M535" s="1419"/>
      <c r="N535" s="1419"/>
      <c r="O535" s="1419"/>
      <c r="P535" s="1419"/>
    </row>
    <row r="536" spans="1:16" s="204" customFormat="1" ht="18" hidden="1" customHeight="1" x14ac:dyDescent="0.2">
      <c r="A536" s="513"/>
      <c r="B536" s="514"/>
      <c r="C536" s="526" t="str">
        <f t="shared" si="80"/>
        <v/>
      </c>
      <c r="D536" s="1416" t="str">
        <f t="shared" si="81"/>
        <v/>
      </c>
      <c r="E536" s="1416"/>
      <c r="F536" s="1416"/>
      <c r="G536" s="730" t="str">
        <f t="shared" si="82"/>
        <v/>
      </c>
      <c r="H536" s="507"/>
      <c r="I536" s="1419"/>
      <c r="J536" s="1419"/>
      <c r="K536" s="1419"/>
      <c r="L536" s="1419"/>
      <c r="M536" s="1419"/>
      <c r="N536" s="1419"/>
      <c r="O536" s="1419"/>
      <c r="P536" s="1419"/>
    </row>
    <row r="537" spans="1:16" s="204" customFormat="1" ht="18" hidden="1" customHeight="1" x14ac:dyDescent="0.2">
      <c r="A537" s="513"/>
      <c r="B537" s="514"/>
      <c r="C537" s="526" t="str">
        <f t="shared" si="80"/>
        <v/>
      </c>
      <c r="D537" s="1416" t="str">
        <f t="shared" si="81"/>
        <v/>
      </c>
      <c r="E537" s="1416"/>
      <c r="F537" s="1416"/>
      <c r="G537" s="730" t="str">
        <f t="shared" si="82"/>
        <v/>
      </c>
      <c r="H537" s="507"/>
      <c r="I537" s="1419"/>
      <c r="J537" s="1419"/>
      <c r="K537" s="1419"/>
      <c r="L537" s="1419"/>
      <c r="M537" s="1419"/>
      <c r="N537" s="1419"/>
      <c r="O537" s="1419"/>
      <c r="P537" s="1419"/>
    </row>
    <row r="538" spans="1:16" s="204" customFormat="1" ht="18" hidden="1" customHeight="1" x14ac:dyDescent="0.2">
      <c r="A538" s="513"/>
      <c r="B538" s="514"/>
      <c r="C538" s="526" t="str">
        <f t="shared" si="80"/>
        <v/>
      </c>
      <c r="D538" s="1416" t="str">
        <f t="shared" si="81"/>
        <v/>
      </c>
      <c r="E538" s="1416"/>
      <c r="F538" s="1416"/>
      <c r="G538" s="730" t="str">
        <f t="shared" si="82"/>
        <v/>
      </c>
      <c r="H538" s="507"/>
      <c r="I538" s="1419"/>
      <c r="J538" s="1419"/>
      <c r="K538" s="1419"/>
      <c r="L538" s="1419"/>
      <c r="M538" s="1419"/>
      <c r="N538" s="1419"/>
      <c r="O538" s="1419"/>
      <c r="P538" s="1419"/>
    </row>
    <row r="539" spans="1:16" s="204" customFormat="1" ht="18" hidden="1" customHeight="1" x14ac:dyDescent="0.2">
      <c r="A539" s="513"/>
      <c r="B539" s="514"/>
      <c r="C539" s="526" t="str">
        <f t="shared" si="80"/>
        <v/>
      </c>
      <c r="D539" s="1416" t="str">
        <f t="shared" si="81"/>
        <v/>
      </c>
      <c r="E539" s="1416"/>
      <c r="F539" s="1416"/>
      <c r="G539" s="730" t="str">
        <f t="shared" si="82"/>
        <v/>
      </c>
      <c r="H539" s="507"/>
      <c r="I539" s="1419"/>
      <c r="J539" s="1419"/>
      <c r="K539" s="1419"/>
      <c r="L539" s="1419"/>
      <c r="M539" s="1419"/>
      <c r="N539" s="1419"/>
      <c r="O539" s="1419"/>
      <c r="P539" s="1419"/>
    </row>
    <row r="540" spans="1:16" s="204" customFormat="1" ht="18" hidden="1" customHeight="1" x14ac:dyDescent="0.2">
      <c r="A540" s="513"/>
      <c r="B540" s="514"/>
      <c r="C540" s="526" t="str">
        <f t="shared" si="80"/>
        <v/>
      </c>
      <c r="D540" s="1416" t="str">
        <f t="shared" si="81"/>
        <v/>
      </c>
      <c r="E540" s="1416"/>
      <c r="F540" s="1416"/>
      <c r="G540" s="730" t="str">
        <f t="shared" si="82"/>
        <v/>
      </c>
      <c r="H540" s="507"/>
      <c r="I540" s="1419"/>
      <c r="J540" s="1419"/>
      <c r="K540" s="1419"/>
      <c r="L540" s="1419"/>
      <c r="M540" s="1419"/>
      <c r="N540" s="1419"/>
      <c r="O540" s="1419"/>
      <c r="P540" s="1419"/>
    </row>
    <row r="541" spans="1:16" s="204" customFormat="1" ht="18" hidden="1" customHeight="1" x14ac:dyDescent="0.2">
      <c r="A541" s="513"/>
      <c r="B541" s="514"/>
      <c r="C541" s="526" t="str">
        <f t="shared" si="80"/>
        <v/>
      </c>
      <c r="D541" s="1416" t="str">
        <f t="shared" si="81"/>
        <v/>
      </c>
      <c r="E541" s="1416"/>
      <c r="F541" s="1416"/>
      <c r="G541" s="730" t="str">
        <f t="shared" si="82"/>
        <v/>
      </c>
      <c r="H541" s="507"/>
      <c r="I541" s="1419"/>
      <c r="J541" s="1419"/>
      <c r="K541" s="1419"/>
      <c r="L541" s="1419"/>
      <c r="M541" s="1419"/>
      <c r="N541" s="1419"/>
      <c r="O541" s="1419"/>
      <c r="P541" s="1419"/>
    </row>
    <row r="542" spans="1:16" s="204" customFormat="1" ht="18" hidden="1" customHeight="1" x14ac:dyDescent="0.2">
      <c r="A542" s="513"/>
      <c r="B542" s="514"/>
      <c r="C542" s="526" t="str">
        <f t="shared" si="80"/>
        <v/>
      </c>
      <c r="D542" s="1416" t="str">
        <f t="shared" si="81"/>
        <v/>
      </c>
      <c r="E542" s="1416"/>
      <c r="F542" s="1416"/>
      <c r="G542" s="730" t="str">
        <f t="shared" si="82"/>
        <v/>
      </c>
      <c r="H542" s="507"/>
      <c r="I542" s="1419"/>
      <c r="J542" s="1419"/>
      <c r="K542" s="1419"/>
      <c r="L542" s="1419"/>
      <c r="M542" s="1419"/>
      <c r="N542" s="1419"/>
      <c r="O542" s="1419"/>
      <c r="P542" s="1419"/>
    </row>
    <row r="543" spans="1:16" s="204" customFormat="1" ht="18" hidden="1" customHeight="1" x14ac:dyDescent="0.2">
      <c r="A543" s="513"/>
      <c r="B543" s="514"/>
      <c r="C543" s="526" t="str">
        <f t="shared" si="80"/>
        <v/>
      </c>
      <c r="D543" s="1416" t="str">
        <f t="shared" si="81"/>
        <v/>
      </c>
      <c r="E543" s="1416"/>
      <c r="F543" s="1416"/>
      <c r="G543" s="730" t="str">
        <f t="shared" si="82"/>
        <v/>
      </c>
      <c r="H543" s="507"/>
      <c r="I543" s="1419"/>
      <c r="J543" s="1419"/>
      <c r="K543" s="1419"/>
      <c r="L543" s="1419"/>
      <c r="M543" s="1419"/>
      <c r="N543" s="1419"/>
      <c r="O543" s="1419"/>
      <c r="P543" s="1419"/>
    </row>
    <row r="544" spans="1:16" s="204" customFormat="1" ht="18" hidden="1" customHeight="1" x14ac:dyDescent="0.2">
      <c r="A544" s="513"/>
      <c r="B544" s="514"/>
      <c r="C544" s="526" t="str">
        <f t="shared" si="80"/>
        <v/>
      </c>
      <c r="D544" s="1416" t="str">
        <f t="shared" si="81"/>
        <v/>
      </c>
      <c r="E544" s="1416"/>
      <c r="F544" s="1416"/>
      <c r="G544" s="730" t="str">
        <f t="shared" si="82"/>
        <v/>
      </c>
      <c r="H544" s="507"/>
      <c r="I544" s="1419"/>
      <c r="J544" s="1419"/>
      <c r="K544" s="1419"/>
      <c r="L544" s="1419"/>
      <c r="M544" s="1419"/>
      <c r="N544" s="1419"/>
      <c r="O544" s="1419"/>
      <c r="P544" s="1419"/>
    </row>
    <row r="545" spans="1:16" s="204" customFormat="1" ht="18" hidden="1" customHeight="1" x14ac:dyDescent="0.2">
      <c r="A545" s="513"/>
      <c r="B545" s="514"/>
      <c r="C545" s="526" t="str">
        <f t="shared" si="80"/>
        <v/>
      </c>
      <c r="D545" s="1416" t="str">
        <f t="shared" si="81"/>
        <v/>
      </c>
      <c r="E545" s="1416"/>
      <c r="F545" s="1416"/>
      <c r="G545" s="730" t="str">
        <f t="shared" si="82"/>
        <v/>
      </c>
      <c r="H545" s="507"/>
      <c r="I545" s="1419"/>
      <c r="J545" s="1419"/>
      <c r="K545" s="1419"/>
      <c r="L545" s="1419"/>
      <c r="M545" s="1419"/>
      <c r="N545" s="1419"/>
      <c r="O545" s="1419"/>
      <c r="P545" s="1419"/>
    </row>
    <row r="546" spans="1:16" s="204" customFormat="1" ht="18" hidden="1" customHeight="1" x14ac:dyDescent="0.2">
      <c r="A546" s="513"/>
      <c r="B546" s="514"/>
      <c r="C546" s="526" t="str">
        <f t="shared" si="80"/>
        <v/>
      </c>
      <c r="D546" s="1416" t="str">
        <f t="shared" si="81"/>
        <v/>
      </c>
      <c r="E546" s="1416"/>
      <c r="F546" s="1416"/>
      <c r="G546" s="730" t="str">
        <f t="shared" si="82"/>
        <v/>
      </c>
      <c r="H546" s="507"/>
      <c r="I546" s="1419"/>
      <c r="J546" s="1419"/>
      <c r="K546" s="1419"/>
      <c r="L546" s="1419"/>
      <c r="M546" s="1419"/>
      <c r="N546" s="1419"/>
      <c r="O546" s="1419"/>
      <c r="P546" s="1419"/>
    </row>
    <row r="547" spans="1:16" s="204" customFormat="1" ht="18" hidden="1" customHeight="1" x14ac:dyDescent="0.2">
      <c r="A547" s="513"/>
      <c r="B547" s="514"/>
      <c r="C547" s="526" t="str">
        <f t="shared" si="80"/>
        <v/>
      </c>
      <c r="D547" s="1416" t="str">
        <f t="shared" si="81"/>
        <v/>
      </c>
      <c r="E547" s="1416"/>
      <c r="F547" s="1416"/>
      <c r="G547" s="730" t="str">
        <f t="shared" si="82"/>
        <v/>
      </c>
      <c r="H547" s="507"/>
      <c r="I547" s="1419"/>
      <c r="J547" s="1419"/>
      <c r="K547" s="1419"/>
      <c r="L547" s="1419"/>
      <c r="M547" s="1419"/>
      <c r="N547" s="1419"/>
      <c r="O547" s="1419"/>
      <c r="P547" s="1419"/>
    </row>
    <row r="548" spans="1:16" s="204" customFormat="1" ht="18" hidden="1" customHeight="1" x14ac:dyDescent="0.2">
      <c r="A548" s="513"/>
      <c r="B548" s="514"/>
      <c r="C548" s="526" t="str">
        <f t="shared" si="80"/>
        <v/>
      </c>
      <c r="D548" s="1416" t="str">
        <f t="shared" si="81"/>
        <v/>
      </c>
      <c r="E548" s="1416"/>
      <c r="F548" s="1416"/>
      <c r="G548" s="730" t="str">
        <f t="shared" si="82"/>
        <v/>
      </c>
      <c r="H548" s="507"/>
      <c r="I548" s="1419"/>
      <c r="J548" s="1419"/>
      <c r="K548" s="1419"/>
      <c r="L548" s="1419"/>
      <c r="M548" s="1419"/>
      <c r="N548" s="1419"/>
      <c r="O548" s="1419"/>
      <c r="P548" s="1419"/>
    </row>
    <row r="549" spans="1:16" s="204" customFormat="1" ht="18" hidden="1" customHeight="1" x14ac:dyDescent="0.2">
      <c r="A549" s="513"/>
      <c r="B549" s="514"/>
      <c r="C549" s="526" t="str">
        <f t="shared" si="80"/>
        <v/>
      </c>
      <c r="D549" s="1416" t="str">
        <f t="shared" si="81"/>
        <v/>
      </c>
      <c r="E549" s="1416"/>
      <c r="F549" s="1416"/>
      <c r="G549" s="730" t="str">
        <f t="shared" si="82"/>
        <v/>
      </c>
      <c r="H549" s="507"/>
      <c r="I549" s="1419"/>
      <c r="J549" s="1419"/>
      <c r="K549" s="1419"/>
      <c r="L549" s="1419"/>
      <c r="M549" s="1419"/>
      <c r="N549" s="1419"/>
      <c r="O549" s="1419"/>
      <c r="P549" s="1419"/>
    </row>
    <row r="550" spans="1:16" s="204" customFormat="1" ht="18" hidden="1" customHeight="1" x14ac:dyDescent="0.2">
      <c r="A550" s="513"/>
      <c r="B550" s="514"/>
      <c r="C550" s="526" t="str">
        <f t="shared" si="80"/>
        <v/>
      </c>
      <c r="D550" s="1416" t="str">
        <f t="shared" si="81"/>
        <v/>
      </c>
      <c r="E550" s="1416"/>
      <c r="F550" s="1416"/>
      <c r="G550" s="730" t="str">
        <f t="shared" si="82"/>
        <v/>
      </c>
      <c r="H550" s="507"/>
      <c r="I550" s="1419"/>
      <c r="J550" s="1419"/>
      <c r="K550" s="1419"/>
      <c r="L550" s="1419"/>
      <c r="M550" s="1419"/>
      <c r="N550" s="1419"/>
      <c r="O550" s="1419"/>
      <c r="P550" s="1419"/>
    </row>
    <row r="551" spans="1:16" s="204" customFormat="1" ht="18" hidden="1" customHeight="1" x14ac:dyDescent="0.2">
      <c r="A551" s="513"/>
      <c r="B551" s="514"/>
      <c r="C551" s="526" t="str">
        <f t="shared" si="80"/>
        <v/>
      </c>
      <c r="D551" s="1416" t="str">
        <f t="shared" si="81"/>
        <v/>
      </c>
      <c r="E551" s="1416"/>
      <c r="F551" s="1416"/>
      <c r="G551" s="730" t="str">
        <f t="shared" si="82"/>
        <v/>
      </c>
      <c r="H551" s="507"/>
      <c r="I551" s="1419"/>
      <c r="J551" s="1419"/>
      <c r="K551" s="1419"/>
      <c r="L551" s="1419"/>
      <c r="M551" s="1419"/>
      <c r="N551" s="1419"/>
      <c r="O551" s="1419"/>
      <c r="P551" s="1419"/>
    </row>
    <row r="552" spans="1:16" s="204" customFormat="1" ht="18" hidden="1" customHeight="1" x14ac:dyDescent="0.2">
      <c r="A552" s="513"/>
      <c r="B552" s="514"/>
      <c r="C552" s="526" t="str">
        <f t="shared" si="80"/>
        <v/>
      </c>
      <c r="D552" s="1416" t="str">
        <f t="shared" si="81"/>
        <v/>
      </c>
      <c r="E552" s="1416"/>
      <c r="F552" s="1416"/>
      <c r="G552" s="730" t="str">
        <f t="shared" si="82"/>
        <v/>
      </c>
      <c r="H552" s="507"/>
      <c r="I552" s="1419"/>
      <c r="J552" s="1419"/>
      <c r="K552" s="1419"/>
      <c r="L552" s="1419"/>
      <c r="M552" s="1419"/>
      <c r="N552" s="1419"/>
      <c r="O552" s="1419"/>
      <c r="P552" s="1419"/>
    </row>
    <row r="553" spans="1:16" s="204" customFormat="1" ht="18" hidden="1" customHeight="1" x14ac:dyDescent="0.2">
      <c r="A553" s="513"/>
      <c r="B553" s="514"/>
      <c r="C553" s="526" t="str">
        <f t="shared" si="80"/>
        <v/>
      </c>
      <c r="D553" s="1416" t="str">
        <f t="shared" si="81"/>
        <v/>
      </c>
      <c r="E553" s="1416"/>
      <c r="F553" s="1416"/>
      <c r="G553" s="730" t="str">
        <f t="shared" si="82"/>
        <v/>
      </c>
      <c r="H553" s="507"/>
      <c r="I553" s="1419"/>
      <c r="J553" s="1419"/>
      <c r="K553" s="1419"/>
      <c r="L553" s="1419"/>
      <c r="M553" s="1419"/>
      <c r="N553" s="1419"/>
      <c r="O553" s="1419"/>
      <c r="P553" s="1419"/>
    </row>
    <row r="554" spans="1:16" ht="18" hidden="1" customHeight="1" x14ac:dyDescent="0.2">
      <c r="C554" s="526" t="str">
        <f t="shared" si="80"/>
        <v/>
      </c>
      <c r="D554" s="1416" t="str">
        <f t="shared" si="81"/>
        <v/>
      </c>
      <c r="E554" s="1416"/>
      <c r="F554" s="1416"/>
      <c r="G554" s="730" t="str">
        <f t="shared" si="82"/>
        <v/>
      </c>
      <c r="H554" s="507"/>
      <c r="I554" s="1419"/>
      <c r="J554" s="1419"/>
      <c r="K554" s="1419"/>
      <c r="L554" s="1419"/>
      <c r="M554" s="1419"/>
      <c r="N554" s="1419"/>
      <c r="O554" s="1419"/>
      <c r="P554" s="1419"/>
    </row>
    <row r="555" spans="1:16" ht="18" hidden="1" customHeight="1" x14ac:dyDescent="0.2">
      <c r="C555" s="526" t="str">
        <f t="shared" si="80"/>
        <v/>
      </c>
      <c r="D555" s="1416" t="str">
        <f t="shared" si="81"/>
        <v/>
      </c>
      <c r="E555" s="1416"/>
      <c r="F555" s="1416"/>
      <c r="G555" s="730" t="str">
        <f t="shared" si="82"/>
        <v/>
      </c>
      <c r="H555" s="507"/>
      <c r="I555" s="1419"/>
      <c r="J555" s="1419"/>
      <c r="K555" s="1419"/>
      <c r="L555" s="1419"/>
      <c r="M555" s="1419"/>
      <c r="N555" s="1419"/>
      <c r="O555" s="1419"/>
      <c r="P555" s="1419"/>
    </row>
    <row r="556" spans="1:16" ht="18" hidden="1" customHeight="1" x14ac:dyDescent="0.2">
      <c r="C556" s="526" t="str">
        <f t="shared" si="80"/>
        <v/>
      </c>
      <c r="D556" s="1416" t="str">
        <f t="shared" si="81"/>
        <v/>
      </c>
      <c r="E556" s="1416"/>
      <c r="F556" s="1416"/>
      <c r="G556" s="730" t="str">
        <f t="shared" si="82"/>
        <v/>
      </c>
      <c r="H556" s="507"/>
      <c r="I556" s="1419"/>
      <c r="J556" s="1419"/>
      <c r="K556" s="1419"/>
      <c r="L556" s="1419"/>
      <c r="M556" s="1419"/>
      <c r="N556" s="1419"/>
      <c r="O556" s="1419"/>
      <c r="P556" s="1419"/>
    </row>
    <row r="557" spans="1:16" ht="18" hidden="1" customHeight="1" x14ac:dyDescent="0.2">
      <c r="C557" s="526" t="str">
        <f t="shared" si="80"/>
        <v/>
      </c>
      <c r="D557" s="1416" t="str">
        <f t="shared" si="81"/>
        <v/>
      </c>
      <c r="E557" s="1416"/>
      <c r="F557" s="1416"/>
      <c r="G557" s="730" t="str">
        <f t="shared" si="82"/>
        <v/>
      </c>
      <c r="H557" s="507"/>
      <c r="I557" s="1419"/>
      <c r="J557" s="1419"/>
      <c r="K557" s="1419"/>
      <c r="L557" s="1419"/>
      <c r="M557" s="1419"/>
      <c r="N557" s="1419"/>
      <c r="O557" s="1419"/>
      <c r="P557" s="1419"/>
    </row>
    <row r="558" spans="1:16" ht="18" hidden="1" customHeight="1" x14ac:dyDescent="0.2">
      <c r="C558" s="526" t="str">
        <f t="shared" si="80"/>
        <v/>
      </c>
      <c r="D558" s="1416" t="str">
        <f t="shared" si="81"/>
        <v/>
      </c>
      <c r="E558" s="1416"/>
      <c r="F558" s="1416"/>
      <c r="G558" s="730" t="str">
        <f t="shared" si="82"/>
        <v/>
      </c>
      <c r="H558" s="507"/>
      <c r="I558" s="1419"/>
      <c r="J558" s="1419"/>
      <c r="K558" s="1419"/>
      <c r="L558" s="1419"/>
      <c r="M558" s="1419"/>
      <c r="N558" s="1419"/>
      <c r="O558" s="1419"/>
      <c r="P558" s="1419"/>
    </row>
    <row r="559" spans="1:16" ht="18" hidden="1" customHeight="1" x14ac:dyDescent="0.2">
      <c r="C559" s="526" t="str">
        <f t="shared" si="80"/>
        <v/>
      </c>
      <c r="D559" s="1416" t="str">
        <f t="shared" si="81"/>
        <v/>
      </c>
      <c r="E559" s="1416"/>
      <c r="F559" s="1416"/>
      <c r="G559" s="730" t="str">
        <f t="shared" si="82"/>
        <v/>
      </c>
      <c r="H559" s="507"/>
      <c r="I559" s="1419"/>
      <c r="J559" s="1419"/>
      <c r="K559" s="1419"/>
      <c r="L559" s="1419"/>
      <c r="M559" s="1419"/>
      <c r="N559" s="1419"/>
      <c r="O559" s="1419"/>
      <c r="P559" s="1419"/>
    </row>
    <row r="560" spans="1:16" ht="18" hidden="1" customHeight="1" x14ac:dyDescent="0.2">
      <c r="C560" s="526" t="str">
        <f t="shared" si="80"/>
        <v/>
      </c>
      <c r="D560" s="1416" t="str">
        <f t="shared" si="81"/>
        <v/>
      </c>
      <c r="E560" s="1416"/>
      <c r="F560" s="1416"/>
      <c r="G560" s="730" t="str">
        <f t="shared" si="82"/>
        <v/>
      </c>
      <c r="H560" s="507"/>
      <c r="I560" s="1419"/>
      <c r="J560" s="1419"/>
      <c r="K560" s="1419"/>
      <c r="L560" s="1419"/>
      <c r="M560" s="1419"/>
      <c r="N560" s="1419"/>
      <c r="O560" s="1419"/>
      <c r="P560" s="1419"/>
    </row>
    <row r="561" spans="3:16" ht="18" hidden="1" customHeight="1" x14ac:dyDescent="0.2">
      <c r="C561" s="526" t="str">
        <f t="shared" si="80"/>
        <v/>
      </c>
      <c r="D561" s="1416" t="str">
        <f t="shared" si="81"/>
        <v/>
      </c>
      <c r="E561" s="1416"/>
      <c r="F561" s="1416"/>
      <c r="G561" s="730" t="str">
        <f t="shared" si="82"/>
        <v/>
      </c>
      <c r="H561" s="507"/>
      <c r="I561" s="1419"/>
      <c r="J561" s="1419"/>
      <c r="K561" s="1419"/>
      <c r="L561" s="1419"/>
      <c r="M561" s="1419"/>
      <c r="N561" s="1419"/>
      <c r="O561" s="1419"/>
      <c r="P561" s="1419"/>
    </row>
    <row r="562" spans="3:16" ht="18" hidden="1" customHeight="1" x14ac:dyDescent="0.2">
      <c r="C562" s="526" t="str">
        <f t="shared" si="80"/>
        <v/>
      </c>
      <c r="D562" s="1416" t="str">
        <f t="shared" si="81"/>
        <v/>
      </c>
      <c r="E562" s="1416"/>
      <c r="F562" s="1416"/>
      <c r="G562" s="730" t="str">
        <f t="shared" si="82"/>
        <v/>
      </c>
      <c r="H562" s="507"/>
      <c r="I562" s="1419"/>
      <c r="J562" s="1419"/>
      <c r="K562" s="1419"/>
      <c r="L562" s="1419"/>
      <c r="M562" s="1419"/>
      <c r="N562" s="1419"/>
      <c r="O562" s="1419"/>
      <c r="P562" s="1419"/>
    </row>
    <row r="563" spans="3:16" ht="18" hidden="1" customHeight="1" x14ac:dyDescent="0.2">
      <c r="C563" s="526" t="str">
        <f t="shared" si="80"/>
        <v/>
      </c>
      <c r="D563" s="1416" t="str">
        <f t="shared" si="81"/>
        <v/>
      </c>
      <c r="E563" s="1416"/>
      <c r="F563" s="1416"/>
      <c r="G563" s="730" t="str">
        <f t="shared" si="82"/>
        <v/>
      </c>
      <c r="H563" s="507"/>
      <c r="I563" s="1419"/>
      <c r="J563" s="1419"/>
      <c r="K563" s="1419"/>
      <c r="L563" s="1419"/>
      <c r="M563" s="1419"/>
      <c r="N563" s="1419"/>
      <c r="O563" s="1419"/>
      <c r="P563" s="1419"/>
    </row>
    <row r="564" spans="3:16" ht="18" hidden="1" customHeight="1" x14ac:dyDescent="0.2">
      <c r="C564" s="526" t="str">
        <f t="shared" si="80"/>
        <v/>
      </c>
      <c r="D564" s="1416" t="str">
        <f t="shared" si="81"/>
        <v/>
      </c>
      <c r="E564" s="1416"/>
      <c r="F564" s="1416"/>
      <c r="G564" s="730" t="str">
        <f t="shared" si="82"/>
        <v/>
      </c>
      <c r="H564" s="507"/>
      <c r="I564" s="1419"/>
      <c r="J564" s="1419"/>
      <c r="K564" s="1419"/>
      <c r="L564" s="1419"/>
      <c r="M564" s="1419"/>
      <c r="N564" s="1419"/>
      <c r="O564" s="1419"/>
      <c r="P564" s="1419"/>
    </row>
    <row r="565" spans="3:16" ht="18" hidden="1" customHeight="1" x14ac:dyDescent="0.2">
      <c r="C565" s="526" t="str">
        <f t="shared" si="80"/>
        <v/>
      </c>
      <c r="D565" s="1416" t="str">
        <f t="shared" si="81"/>
        <v/>
      </c>
      <c r="E565" s="1416"/>
      <c r="F565" s="1416"/>
      <c r="G565" s="730" t="str">
        <f t="shared" si="82"/>
        <v/>
      </c>
      <c r="H565" s="507"/>
      <c r="I565" s="1419"/>
      <c r="J565" s="1419"/>
      <c r="K565" s="1419"/>
      <c r="L565" s="1419"/>
      <c r="M565" s="1419"/>
      <c r="N565" s="1419"/>
      <c r="O565" s="1419"/>
      <c r="P565" s="1419"/>
    </row>
    <row r="566" spans="3:16" ht="18" hidden="1" customHeight="1" x14ac:dyDescent="0.2">
      <c r="C566" s="526" t="str">
        <f t="shared" si="80"/>
        <v/>
      </c>
      <c r="D566" s="1416" t="str">
        <f t="shared" si="81"/>
        <v/>
      </c>
      <c r="E566" s="1416"/>
      <c r="F566" s="1416"/>
      <c r="G566" s="730" t="str">
        <f t="shared" si="82"/>
        <v/>
      </c>
      <c r="H566" s="507"/>
      <c r="I566" s="1419"/>
      <c r="J566" s="1419"/>
      <c r="K566" s="1419"/>
      <c r="L566" s="1419"/>
      <c r="M566" s="1419"/>
      <c r="N566" s="1419"/>
      <c r="O566" s="1419"/>
      <c r="P566" s="1419"/>
    </row>
    <row r="567" spans="3:16" ht="18" hidden="1" customHeight="1" x14ac:dyDescent="0.2">
      <c r="C567" s="526" t="str">
        <f t="shared" si="80"/>
        <v/>
      </c>
      <c r="D567" s="1416" t="str">
        <f t="shared" si="81"/>
        <v/>
      </c>
      <c r="E567" s="1416"/>
      <c r="F567" s="1416"/>
      <c r="G567" s="730" t="str">
        <f t="shared" si="82"/>
        <v/>
      </c>
      <c r="H567" s="507"/>
      <c r="I567" s="1419"/>
      <c r="J567" s="1419"/>
      <c r="K567" s="1419"/>
      <c r="L567" s="1419"/>
      <c r="M567" s="1419"/>
      <c r="N567" s="1419"/>
      <c r="O567" s="1419"/>
      <c r="P567" s="1419"/>
    </row>
    <row r="568" spans="3:16" ht="18" hidden="1" customHeight="1" x14ac:dyDescent="0.2">
      <c r="C568" s="526" t="str">
        <f t="shared" si="80"/>
        <v/>
      </c>
      <c r="D568" s="1416" t="str">
        <f t="shared" si="81"/>
        <v/>
      </c>
      <c r="E568" s="1416"/>
      <c r="F568" s="1416"/>
      <c r="G568" s="730" t="str">
        <f t="shared" si="82"/>
        <v/>
      </c>
      <c r="H568" s="507"/>
      <c r="I568" s="1419"/>
      <c r="J568" s="1419"/>
      <c r="K568" s="1419"/>
      <c r="L568" s="1419"/>
      <c r="M568" s="1419"/>
      <c r="N568" s="1419"/>
      <c r="O568" s="1419"/>
      <c r="P568" s="1419"/>
    </row>
    <row r="569" spans="3:16" ht="18" hidden="1" customHeight="1" x14ac:dyDescent="0.2">
      <c r="C569" s="526" t="str">
        <f t="shared" si="80"/>
        <v/>
      </c>
      <c r="D569" s="1416" t="str">
        <f t="shared" si="81"/>
        <v/>
      </c>
      <c r="E569" s="1416"/>
      <c r="F569" s="1416"/>
      <c r="G569" s="730" t="str">
        <f t="shared" si="82"/>
        <v/>
      </c>
      <c r="H569" s="507"/>
      <c r="I569" s="1419"/>
      <c r="J569" s="1419"/>
      <c r="K569" s="1419"/>
      <c r="L569" s="1419"/>
      <c r="M569" s="1419"/>
      <c r="N569" s="1419"/>
      <c r="O569" s="1419"/>
      <c r="P569" s="1419"/>
    </row>
    <row r="570" spans="3:16" ht="18" hidden="1" customHeight="1" x14ac:dyDescent="0.2">
      <c r="C570" s="526" t="str">
        <f t="shared" si="80"/>
        <v/>
      </c>
      <c r="D570" s="1416" t="str">
        <f t="shared" si="81"/>
        <v/>
      </c>
      <c r="E570" s="1416"/>
      <c r="F570" s="1416"/>
      <c r="G570" s="730" t="str">
        <f t="shared" si="82"/>
        <v/>
      </c>
      <c r="H570" s="507"/>
      <c r="I570" s="1419"/>
      <c r="J570" s="1419"/>
      <c r="K570" s="1419"/>
      <c r="L570" s="1419"/>
      <c r="M570" s="1419"/>
      <c r="N570" s="1419"/>
      <c r="O570" s="1419"/>
      <c r="P570" s="1419"/>
    </row>
    <row r="571" spans="3:16" ht="18" hidden="1" customHeight="1" x14ac:dyDescent="0.2">
      <c r="C571" s="526" t="str">
        <f t="shared" si="80"/>
        <v/>
      </c>
      <c r="D571" s="1416" t="str">
        <f t="shared" si="81"/>
        <v/>
      </c>
      <c r="E571" s="1416"/>
      <c r="F571" s="1416"/>
      <c r="G571" s="730" t="str">
        <f t="shared" si="82"/>
        <v/>
      </c>
      <c r="H571" s="507"/>
      <c r="I571" s="1419"/>
      <c r="J571" s="1419"/>
      <c r="K571" s="1419"/>
      <c r="L571" s="1419"/>
      <c r="M571" s="1419"/>
      <c r="N571" s="1419"/>
      <c r="O571" s="1419"/>
      <c r="P571" s="1419"/>
    </row>
    <row r="572" spans="3:16" ht="18" hidden="1" customHeight="1" x14ac:dyDescent="0.2">
      <c r="C572" s="526" t="str">
        <f t="shared" si="80"/>
        <v/>
      </c>
      <c r="D572" s="1416" t="str">
        <f t="shared" si="81"/>
        <v/>
      </c>
      <c r="E572" s="1416"/>
      <c r="F572" s="1416"/>
      <c r="G572" s="730" t="str">
        <f t="shared" si="82"/>
        <v/>
      </c>
      <c r="H572" s="507"/>
      <c r="I572" s="1419"/>
      <c r="J572" s="1419"/>
      <c r="K572" s="1419"/>
      <c r="L572" s="1419"/>
      <c r="M572" s="1419"/>
      <c r="N572" s="1419"/>
      <c r="O572" s="1419"/>
      <c r="P572" s="1419"/>
    </row>
    <row r="573" spans="3:16" ht="18" hidden="1" customHeight="1" x14ac:dyDescent="0.2">
      <c r="C573" s="526" t="str">
        <f t="shared" si="80"/>
        <v/>
      </c>
      <c r="D573" s="1416" t="str">
        <f t="shared" si="81"/>
        <v/>
      </c>
      <c r="E573" s="1416"/>
      <c r="F573" s="1416"/>
      <c r="G573" s="730" t="str">
        <f t="shared" si="82"/>
        <v/>
      </c>
      <c r="H573" s="507"/>
      <c r="I573" s="1419"/>
      <c r="J573" s="1419"/>
      <c r="K573" s="1419"/>
      <c r="L573" s="1419"/>
      <c r="M573" s="1419"/>
      <c r="N573" s="1419"/>
      <c r="O573" s="1419"/>
      <c r="P573" s="1419"/>
    </row>
    <row r="574" spans="3:16" ht="18" hidden="1" customHeight="1" x14ac:dyDescent="0.2">
      <c r="C574" s="526" t="str">
        <f t="shared" si="80"/>
        <v/>
      </c>
      <c r="D574" s="1416" t="str">
        <f t="shared" si="81"/>
        <v/>
      </c>
      <c r="E574" s="1416"/>
      <c r="F574" s="1416"/>
      <c r="G574" s="730" t="str">
        <f t="shared" si="82"/>
        <v/>
      </c>
      <c r="H574" s="507"/>
      <c r="I574" s="1419"/>
      <c r="J574" s="1419"/>
      <c r="K574" s="1419"/>
      <c r="L574" s="1419"/>
      <c r="M574" s="1419"/>
      <c r="N574" s="1419"/>
      <c r="O574" s="1419"/>
      <c r="P574" s="1419"/>
    </row>
    <row r="575" spans="3:16" ht="18" hidden="1" customHeight="1" x14ac:dyDescent="0.2">
      <c r="C575" s="526" t="str">
        <f t="shared" si="80"/>
        <v/>
      </c>
      <c r="D575" s="1416" t="str">
        <f t="shared" si="81"/>
        <v/>
      </c>
      <c r="E575" s="1416"/>
      <c r="F575" s="1416"/>
      <c r="G575" s="730" t="str">
        <f t="shared" si="82"/>
        <v/>
      </c>
      <c r="H575" s="507"/>
      <c r="I575" s="1419"/>
      <c r="J575" s="1419"/>
      <c r="K575" s="1419"/>
      <c r="L575" s="1419"/>
      <c r="M575" s="1419"/>
      <c r="N575" s="1419"/>
      <c r="O575" s="1419"/>
      <c r="P575" s="1419"/>
    </row>
    <row r="576" spans="3:16" ht="18" hidden="1" customHeight="1" x14ac:dyDescent="0.2">
      <c r="C576" s="526" t="str">
        <f t="shared" si="80"/>
        <v/>
      </c>
      <c r="D576" s="1416" t="str">
        <f t="shared" si="81"/>
        <v/>
      </c>
      <c r="E576" s="1416"/>
      <c r="F576" s="1416"/>
      <c r="G576" s="730" t="str">
        <f t="shared" si="82"/>
        <v/>
      </c>
      <c r="H576" s="507"/>
      <c r="I576" s="1419"/>
      <c r="J576" s="1419"/>
      <c r="K576" s="1419"/>
      <c r="L576" s="1419"/>
      <c r="M576" s="1419"/>
      <c r="N576" s="1419"/>
      <c r="O576" s="1419"/>
      <c r="P576" s="1419"/>
    </row>
    <row r="577" spans="3:16" ht="18" hidden="1" customHeight="1" x14ac:dyDescent="0.2">
      <c r="C577" s="526" t="str">
        <f t="shared" si="80"/>
        <v/>
      </c>
      <c r="D577" s="1416" t="str">
        <f t="shared" si="81"/>
        <v/>
      </c>
      <c r="E577" s="1416"/>
      <c r="F577" s="1416"/>
      <c r="G577" s="730" t="str">
        <f t="shared" si="82"/>
        <v/>
      </c>
      <c r="H577" s="507"/>
      <c r="I577" s="1419"/>
      <c r="J577" s="1419"/>
      <c r="K577" s="1419"/>
      <c r="L577" s="1419"/>
      <c r="M577" s="1419"/>
      <c r="N577" s="1419"/>
      <c r="O577" s="1419"/>
      <c r="P577" s="1419"/>
    </row>
    <row r="578" spans="3:16" ht="18" hidden="1" customHeight="1" x14ac:dyDescent="0.2">
      <c r="C578" s="526" t="str">
        <f t="shared" si="80"/>
        <v/>
      </c>
      <c r="D578" s="1416" t="str">
        <f t="shared" si="81"/>
        <v/>
      </c>
      <c r="E578" s="1416"/>
      <c r="F578" s="1416"/>
      <c r="G578" s="730" t="str">
        <f t="shared" si="82"/>
        <v/>
      </c>
      <c r="H578" s="507"/>
      <c r="I578" s="1419"/>
      <c r="J578" s="1419"/>
      <c r="K578" s="1419"/>
      <c r="L578" s="1419"/>
      <c r="M578" s="1419"/>
      <c r="N578" s="1419"/>
      <c r="O578" s="1419"/>
      <c r="P578" s="1419"/>
    </row>
    <row r="579" spans="3:16" ht="18" hidden="1" customHeight="1" x14ac:dyDescent="0.2">
      <c r="C579" s="526" t="str">
        <f t="shared" si="80"/>
        <v/>
      </c>
      <c r="D579" s="1416" t="str">
        <f t="shared" si="81"/>
        <v/>
      </c>
      <c r="E579" s="1416"/>
      <c r="F579" s="1416"/>
      <c r="G579" s="730" t="str">
        <f t="shared" si="82"/>
        <v/>
      </c>
      <c r="H579" s="507"/>
      <c r="I579" s="1419"/>
      <c r="J579" s="1419"/>
      <c r="K579" s="1419"/>
      <c r="L579" s="1419"/>
      <c r="M579" s="1419"/>
      <c r="N579" s="1419"/>
      <c r="O579" s="1419"/>
      <c r="P579" s="1419"/>
    </row>
    <row r="580" spans="3:16" ht="18" hidden="1" customHeight="1" x14ac:dyDescent="0.2">
      <c r="C580" s="526" t="str">
        <f t="shared" si="80"/>
        <v/>
      </c>
      <c r="D580" s="1416" t="str">
        <f t="shared" si="81"/>
        <v/>
      </c>
      <c r="E580" s="1416"/>
      <c r="F580" s="1416"/>
      <c r="G580" s="730" t="str">
        <f t="shared" si="82"/>
        <v/>
      </c>
      <c r="H580" s="507"/>
      <c r="I580" s="1419"/>
      <c r="J580" s="1419"/>
      <c r="K580" s="1419"/>
      <c r="L580" s="1419"/>
      <c r="M580" s="1419"/>
      <c r="N580" s="1419"/>
      <c r="O580" s="1419"/>
      <c r="P580" s="1419"/>
    </row>
    <row r="581" spans="3:16" ht="18" hidden="1" customHeight="1" x14ac:dyDescent="0.2">
      <c r="C581" s="526" t="str">
        <f t="shared" si="80"/>
        <v/>
      </c>
      <c r="D581" s="1416" t="str">
        <f t="shared" si="81"/>
        <v/>
      </c>
      <c r="E581" s="1416"/>
      <c r="F581" s="1416"/>
      <c r="G581" s="730" t="str">
        <f t="shared" si="82"/>
        <v/>
      </c>
      <c r="H581" s="507"/>
      <c r="I581" s="1419"/>
      <c r="J581" s="1419"/>
      <c r="K581" s="1419"/>
      <c r="L581" s="1419"/>
      <c r="M581" s="1419"/>
      <c r="N581" s="1419"/>
      <c r="O581" s="1419"/>
      <c r="P581" s="1419"/>
    </row>
    <row r="582" spans="3:16" ht="18" hidden="1" customHeight="1" x14ac:dyDescent="0.2">
      <c r="C582" s="526" t="str">
        <f t="shared" si="80"/>
        <v/>
      </c>
      <c r="D582" s="1416" t="str">
        <f t="shared" si="81"/>
        <v/>
      </c>
      <c r="E582" s="1416"/>
      <c r="F582" s="1416"/>
      <c r="G582" s="730" t="str">
        <f t="shared" si="82"/>
        <v/>
      </c>
      <c r="H582" s="507"/>
      <c r="I582" s="1419"/>
      <c r="J582" s="1419"/>
      <c r="K582" s="1419"/>
      <c r="L582" s="1419"/>
      <c r="M582" s="1419"/>
      <c r="N582" s="1419"/>
      <c r="O582" s="1419"/>
      <c r="P582" s="1419"/>
    </row>
    <row r="583" spans="3:16" ht="18" hidden="1" customHeight="1" x14ac:dyDescent="0.2">
      <c r="C583" s="526" t="str">
        <f t="shared" si="80"/>
        <v/>
      </c>
      <c r="D583" s="1416" t="str">
        <f t="shared" si="81"/>
        <v/>
      </c>
      <c r="E583" s="1416"/>
      <c r="F583" s="1416"/>
      <c r="G583" s="730" t="str">
        <f t="shared" si="82"/>
        <v/>
      </c>
      <c r="H583" s="507"/>
      <c r="I583" s="1419"/>
      <c r="J583" s="1419"/>
      <c r="K583" s="1419"/>
      <c r="L583" s="1419"/>
      <c r="M583" s="1419"/>
      <c r="N583" s="1419"/>
      <c r="O583" s="1419"/>
      <c r="P583" s="1419"/>
    </row>
    <row r="584" spans="3:16" ht="18" hidden="1" customHeight="1" x14ac:dyDescent="0.2">
      <c r="C584" s="526" t="str">
        <f t="shared" si="80"/>
        <v/>
      </c>
      <c r="D584" s="1416" t="str">
        <f t="shared" si="81"/>
        <v/>
      </c>
      <c r="E584" s="1416"/>
      <c r="F584" s="1416"/>
      <c r="G584" s="730" t="str">
        <f t="shared" si="82"/>
        <v/>
      </c>
      <c r="H584" s="507"/>
      <c r="I584" s="1419"/>
      <c r="J584" s="1419"/>
      <c r="K584" s="1419"/>
      <c r="L584" s="1419"/>
      <c r="M584" s="1419"/>
      <c r="N584" s="1419"/>
      <c r="O584" s="1419"/>
      <c r="P584" s="1419"/>
    </row>
    <row r="585" spans="3:16" ht="18" hidden="1" customHeight="1" x14ac:dyDescent="0.2">
      <c r="C585" s="526" t="str">
        <f t="shared" si="80"/>
        <v/>
      </c>
      <c r="D585" s="1416" t="str">
        <f t="shared" si="81"/>
        <v/>
      </c>
      <c r="E585" s="1416"/>
      <c r="F585" s="1416"/>
      <c r="G585" s="730" t="str">
        <f t="shared" si="82"/>
        <v/>
      </c>
      <c r="H585" s="507"/>
      <c r="I585" s="1419"/>
      <c r="J585" s="1419"/>
      <c r="K585" s="1419"/>
      <c r="L585" s="1419"/>
      <c r="M585" s="1419"/>
      <c r="N585" s="1419"/>
      <c r="O585" s="1419"/>
      <c r="P585" s="1419"/>
    </row>
    <row r="586" spans="3:16" ht="18" hidden="1" customHeight="1" x14ac:dyDescent="0.2">
      <c r="C586" s="526" t="str">
        <f t="shared" si="80"/>
        <v/>
      </c>
      <c r="D586" s="1416" t="str">
        <f t="shared" si="81"/>
        <v/>
      </c>
      <c r="E586" s="1416"/>
      <c r="F586" s="1416"/>
      <c r="G586" s="730" t="str">
        <f t="shared" si="82"/>
        <v/>
      </c>
      <c r="H586" s="507"/>
      <c r="I586" s="1419"/>
      <c r="J586" s="1419"/>
      <c r="K586" s="1419"/>
      <c r="L586" s="1419"/>
      <c r="M586" s="1419"/>
      <c r="N586" s="1419"/>
      <c r="O586" s="1419"/>
      <c r="P586" s="1419"/>
    </row>
    <row r="587" spans="3:16" ht="18" hidden="1" customHeight="1" x14ac:dyDescent="0.2">
      <c r="C587" s="526" t="str">
        <f t="shared" si="80"/>
        <v/>
      </c>
      <c r="D587" s="1416" t="str">
        <f t="shared" si="81"/>
        <v/>
      </c>
      <c r="E587" s="1416"/>
      <c r="F587" s="1416"/>
      <c r="G587" s="730" t="str">
        <f t="shared" si="82"/>
        <v/>
      </c>
      <c r="H587" s="507"/>
      <c r="I587" s="1419"/>
      <c r="J587" s="1419"/>
      <c r="K587" s="1419"/>
      <c r="L587" s="1419"/>
      <c r="M587" s="1419"/>
      <c r="N587" s="1419"/>
      <c r="O587" s="1419"/>
      <c r="P587" s="1419"/>
    </row>
    <row r="588" spans="3:16" ht="18" hidden="1" customHeight="1" x14ac:dyDescent="0.2">
      <c r="C588" s="526" t="str">
        <f t="shared" si="80"/>
        <v/>
      </c>
      <c r="D588" s="1416" t="str">
        <f t="shared" si="81"/>
        <v/>
      </c>
      <c r="E588" s="1416"/>
      <c r="F588" s="1416"/>
      <c r="G588" s="730" t="str">
        <f t="shared" si="82"/>
        <v/>
      </c>
      <c r="H588" s="507"/>
      <c r="I588" s="1419"/>
      <c r="J588" s="1419"/>
      <c r="K588" s="1419"/>
      <c r="L588" s="1419"/>
      <c r="M588" s="1419"/>
      <c r="N588" s="1419"/>
      <c r="O588" s="1419"/>
      <c r="P588" s="1419"/>
    </row>
    <row r="589" spans="3:16" ht="18" hidden="1" customHeight="1" x14ac:dyDescent="0.2">
      <c r="C589" s="526" t="str">
        <f t="shared" si="80"/>
        <v/>
      </c>
      <c r="D589" s="1416" t="str">
        <f t="shared" si="81"/>
        <v/>
      </c>
      <c r="E589" s="1416"/>
      <c r="F589" s="1416"/>
      <c r="G589" s="730" t="str">
        <f t="shared" si="82"/>
        <v/>
      </c>
      <c r="H589" s="507"/>
      <c r="I589" s="1419"/>
      <c r="J589" s="1419"/>
      <c r="K589" s="1419"/>
      <c r="L589" s="1419"/>
      <c r="M589" s="1419"/>
      <c r="N589" s="1419"/>
      <c r="O589" s="1419"/>
      <c r="P589" s="1419"/>
    </row>
    <row r="590" spans="3:16" ht="18" hidden="1" customHeight="1" x14ac:dyDescent="0.2">
      <c r="C590" s="526" t="str">
        <f t="shared" si="80"/>
        <v/>
      </c>
      <c r="D590" s="1416" t="str">
        <f t="shared" si="81"/>
        <v/>
      </c>
      <c r="E590" s="1416"/>
      <c r="F590" s="1416"/>
      <c r="G590" s="730" t="str">
        <f t="shared" si="82"/>
        <v/>
      </c>
      <c r="H590" s="507"/>
      <c r="I590" s="1419"/>
      <c r="J590" s="1419"/>
      <c r="K590" s="1419"/>
      <c r="L590" s="1419"/>
      <c r="M590" s="1419"/>
      <c r="N590" s="1419"/>
      <c r="O590" s="1419"/>
      <c r="P590" s="1419"/>
    </row>
    <row r="591" spans="3:16" ht="18" hidden="1" customHeight="1" x14ac:dyDescent="0.2">
      <c r="C591" s="526" t="str">
        <f t="shared" si="80"/>
        <v/>
      </c>
      <c r="D591" s="1416" t="str">
        <f t="shared" si="81"/>
        <v/>
      </c>
      <c r="E591" s="1416"/>
      <c r="F591" s="1416"/>
      <c r="G591" s="730" t="str">
        <f t="shared" si="82"/>
        <v/>
      </c>
      <c r="H591" s="507"/>
      <c r="I591" s="1419"/>
      <c r="J591" s="1419"/>
      <c r="K591" s="1419"/>
      <c r="L591" s="1419"/>
      <c r="M591" s="1419"/>
      <c r="N591" s="1419"/>
      <c r="O591" s="1419"/>
      <c r="P591" s="1419"/>
    </row>
    <row r="592" spans="3:16" ht="18" hidden="1" customHeight="1" x14ac:dyDescent="0.2">
      <c r="C592" s="526" t="str">
        <f t="shared" si="80"/>
        <v/>
      </c>
      <c r="D592" s="1416" t="str">
        <f t="shared" si="81"/>
        <v/>
      </c>
      <c r="E592" s="1416"/>
      <c r="F592" s="1416"/>
      <c r="G592" s="730" t="str">
        <f t="shared" si="82"/>
        <v/>
      </c>
      <c r="H592" s="507"/>
      <c r="I592" s="1419"/>
      <c r="J592" s="1419"/>
      <c r="K592" s="1419"/>
      <c r="L592" s="1419"/>
      <c r="M592" s="1419"/>
      <c r="N592" s="1419"/>
      <c r="O592" s="1419"/>
      <c r="P592" s="1419"/>
    </row>
    <row r="593" spans="3:16" ht="18" hidden="1" customHeight="1" x14ac:dyDescent="0.2">
      <c r="C593" s="526" t="str">
        <f t="shared" ref="C593:C656" si="83">IF(A336="Si",C336,"")</f>
        <v/>
      </c>
      <c r="D593" s="1416" t="str">
        <f t="shared" ref="D593:D656" si="84">IF(A336="Si",D336,"")</f>
        <v/>
      </c>
      <c r="E593" s="1416"/>
      <c r="F593" s="1416"/>
      <c r="G593" s="730" t="str">
        <f t="shared" ref="G593:G656" si="85">IF(A336="Si",M336,"")</f>
        <v/>
      </c>
      <c r="H593" s="507"/>
      <c r="I593" s="1419"/>
      <c r="J593" s="1419"/>
      <c r="K593" s="1419"/>
      <c r="L593" s="1419"/>
      <c r="M593" s="1419"/>
      <c r="N593" s="1419"/>
      <c r="O593" s="1419"/>
      <c r="P593" s="1419"/>
    </row>
    <row r="594" spans="3:16" ht="18" hidden="1" customHeight="1" x14ac:dyDescent="0.2">
      <c r="C594" s="526" t="str">
        <f t="shared" si="83"/>
        <v/>
      </c>
      <c r="D594" s="1416" t="str">
        <f t="shared" si="84"/>
        <v/>
      </c>
      <c r="E594" s="1416"/>
      <c r="F594" s="1416"/>
      <c r="G594" s="730" t="str">
        <f t="shared" si="85"/>
        <v/>
      </c>
      <c r="H594" s="507"/>
      <c r="I594" s="1419"/>
      <c r="J594" s="1419"/>
      <c r="K594" s="1419"/>
      <c r="L594" s="1419"/>
      <c r="M594" s="1419"/>
      <c r="N594" s="1419"/>
      <c r="O594" s="1419"/>
      <c r="P594" s="1419"/>
    </row>
    <row r="595" spans="3:16" ht="18" hidden="1" customHeight="1" x14ac:dyDescent="0.2">
      <c r="C595" s="526" t="str">
        <f t="shared" si="83"/>
        <v/>
      </c>
      <c r="D595" s="1416" t="str">
        <f t="shared" si="84"/>
        <v/>
      </c>
      <c r="E595" s="1416"/>
      <c r="F595" s="1416"/>
      <c r="G595" s="730" t="str">
        <f t="shared" si="85"/>
        <v/>
      </c>
      <c r="H595" s="507"/>
      <c r="I595" s="1419"/>
      <c r="J595" s="1419"/>
      <c r="K595" s="1419"/>
      <c r="L595" s="1419"/>
      <c r="M595" s="1419"/>
      <c r="N595" s="1419"/>
      <c r="O595" s="1419"/>
      <c r="P595" s="1419"/>
    </row>
    <row r="596" spans="3:16" ht="18" hidden="1" customHeight="1" x14ac:dyDescent="0.2">
      <c r="C596" s="526" t="str">
        <f t="shared" si="83"/>
        <v/>
      </c>
      <c r="D596" s="1416" t="str">
        <f t="shared" si="84"/>
        <v/>
      </c>
      <c r="E596" s="1416"/>
      <c r="F596" s="1416"/>
      <c r="G596" s="730" t="str">
        <f t="shared" si="85"/>
        <v/>
      </c>
      <c r="H596" s="507"/>
      <c r="I596" s="1419"/>
      <c r="J596" s="1419"/>
      <c r="K596" s="1419"/>
      <c r="L596" s="1419"/>
      <c r="M596" s="1419"/>
      <c r="N596" s="1419"/>
      <c r="O596" s="1419"/>
      <c r="P596" s="1419"/>
    </row>
    <row r="597" spans="3:16" ht="18" hidden="1" customHeight="1" x14ac:dyDescent="0.2">
      <c r="C597" s="526" t="str">
        <f t="shared" si="83"/>
        <v/>
      </c>
      <c r="D597" s="1416" t="str">
        <f t="shared" si="84"/>
        <v/>
      </c>
      <c r="E597" s="1416"/>
      <c r="F597" s="1416"/>
      <c r="G597" s="730" t="str">
        <f t="shared" si="85"/>
        <v/>
      </c>
      <c r="H597" s="507"/>
      <c r="I597" s="1419"/>
      <c r="J597" s="1419"/>
      <c r="K597" s="1419"/>
      <c r="L597" s="1419"/>
      <c r="M597" s="1419"/>
      <c r="N597" s="1419"/>
      <c r="O597" s="1419"/>
      <c r="P597" s="1419"/>
    </row>
    <row r="598" spans="3:16" ht="18" hidden="1" customHeight="1" x14ac:dyDescent="0.2">
      <c r="C598" s="526" t="str">
        <f t="shared" si="83"/>
        <v/>
      </c>
      <c r="D598" s="1416" t="str">
        <f t="shared" si="84"/>
        <v/>
      </c>
      <c r="E598" s="1416"/>
      <c r="F598" s="1416"/>
      <c r="G598" s="730" t="str">
        <f t="shared" si="85"/>
        <v/>
      </c>
      <c r="H598" s="507"/>
      <c r="I598" s="1419"/>
      <c r="J598" s="1419"/>
      <c r="K598" s="1419"/>
      <c r="L598" s="1419"/>
      <c r="M598" s="1419"/>
      <c r="N598" s="1419"/>
      <c r="O598" s="1419"/>
      <c r="P598" s="1419"/>
    </row>
    <row r="599" spans="3:16" ht="18" hidden="1" customHeight="1" x14ac:dyDescent="0.2">
      <c r="C599" s="526" t="str">
        <f t="shared" si="83"/>
        <v/>
      </c>
      <c r="D599" s="1416" t="str">
        <f t="shared" si="84"/>
        <v/>
      </c>
      <c r="E599" s="1416"/>
      <c r="F599" s="1416"/>
      <c r="G599" s="730" t="str">
        <f t="shared" si="85"/>
        <v/>
      </c>
      <c r="H599" s="507"/>
      <c r="I599" s="1419"/>
      <c r="J599" s="1419"/>
      <c r="K599" s="1419"/>
      <c r="L599" s="1419"/>
      <c r="M599" s="1419"/>
      <c r="N599" s="1419"/>
      <c r="O599" s="1419"/>
      <c r="P599" s="1419"/>
    </row>
    <row r="600" spans="3:16" ht="18" hidden="1" customHeight="1" x14ac:dyDescent="0.2">
      <c r="C600" s="526" t="str">
        <f t="shared" si="83"/>
        <v/>
      </c>
      <c r="D600" s="1416" t="str">
        <f t="shared" si="84"/>
        <v/>
      </c>
      <c r="E600" s="1416"/>
      <c r="F600" s="1416"/>
      <c r="G600" s="730" t="str">
        <f t="shared" si="85"/>
        <v/>
      </c>
      <c r="H600" s="507"/>
      <c r="I600" s="1419"/>
      <c r="J600" s="1419"/>
      <c r="K600" s="1419"/>
      <c r="L600" s="1419"/>
      <c r="M600" s="1419"/>
      <c r="N600" s="1419"/>
      <c r="O600" s="1419"/>
      <c r="P600" s="1419"/>
    </row>
    <row r="601" spans="3:16" ht="18" hidden="1" customHeight="1" x14ac:dyDescent="0.2">
      <c r="C601" s="526" t="str">
        <f t="shared" si="83"/>
        <v/>
      </c>
      <c r="D601" s="1416" t="str">
        <f t="shared" si="84"/>
        <v/>
      </c>
      <c r="E601" s="1416"/>
      <c r="F601" s="1416"/>
      <c r="G601" s="730" t="str">
        <f t="shared" si="85"/>
        <v/>
      </c>
      <c r="H601" s="507"/>
      <c r="I601" s="1419"/>
      <c r="J601" s="1419"/>
      <c r="K601" s="1419"/>
      <c r="L601" s="1419"/>
      <c r="M601" s="1419"/>
      <c r="N601" s="1419"/>
      <c r="O601" s="1419"/>
      <c r="P601" s="1419"/>
    </row>
    <row r="602" spans="3:16" ht="18" hidden="1" customHeight="1" x14ac:dyDescent="0.2">
      <c r="C602" s="526" t="str">
        <f t="shared" si="83"/>
        <v/>
      </c>
      <c r="D602" s="1416" t="str">
        <f t="shared" si="84"/>
        <v/>
      </c>
      <c r="E602" s="1416"/>
      <c r="F602" s="1416"/>
      <c r="G602" s="730" t="str">
        <f t="shared" si="85"/>
        <v/>
      </c>
      <c r="H602" s="507"/>
      <c r="I602" s="1419"/>
      <c r="J602" s="1419"/>
      <c r="K602" s="1419"/>
      <c r="L602" s="1419"/>
      <c r="M602" s="1419"/>
      <c r="N602" s="1419"/>
      <c r="O602" s="1419"/>
      <c r="P602" s="1419"/>
    </row>
    <row r="603" spans="3:16" ht="18" hidden="1" customHeight="1" x14ac:dyDescent="0.2">
      <c r="C603" s="526" t="str">
        <f t="shared" si="83"/>
        <v/>
      </c>
      <c r="D603" s="1416" t="str">
        <f t="shared" si="84"/>
        <v/>
      </c>
      <c r="E603" s="1416"/>
      <c r="F603" s="1416"/>
      <c r="G603" s="730" t="str">
        <f t="shared" si="85"/>
        <v/>
      </c>
      <c r="H603" s="507"/>
      <c r="I603" s="1419"/>
      <c r="J603" s="1419"/>
      <c r="K603" s="1419"/>
      <c r="L603" s="1419"/>
      <c r="M603" s="1419"/>
      <c r="N603" s="1419"/>
      <c r="O603" s="1419"/>
      <c r="P603" s="1419"/>
    </row>
    <row r="604" spans="3:16" ht="18" hidden="1" customHeight="1" x14ac:dyDescent="0.2">
      <c r="C604" s="526" t="str">
        <f t="shared" si="83"/>
        <v/>
      </c>
      <c r="D604" s="1416" t="str">
        <f t="shared" si="84"/>
        <v/>
      </c>
      <c r="E604" s="1416"/>
      <c r="F604" s="1416"/>
      <c r="G604" s="730" t="str">
        <f t="shared" si="85"/>
        <v/>
      </c>
      <c r="H604" s="507"/>
      <c r="I604" s="1419"/>
      <c r="J604" s="1419"/>
      <c r="K604" s="1419"/>
      <c r="L604" s="1419"/>
      <c r="M604" s="1419"/>
      <c r="N604" s="1419"/>
      <c r="O604" s="1419"/>
      <c r="P604" s="1419"/>
    </row>
    <row r="605" spans="3:16" ht="18" hidden="1" customHeight="1" x14ac:dyDescent="0.2">
      <c r="C605" s="526" t="str">
        <f t="shared" si="83"/>
        <v/>
      </c>
      <c r="D605" s="1416" t="str">
        <f t="shared" si="84"/>
        <v/>
      </c>
      <c r="E605" s="1416"/>
      <c r="F605" s="1416"/>
      <c r="G605" s="730" t="str">
        <f t="shared" si="85"/>
        <v/>
      </c>
      <c r="H605" s="507"/>
      <c r="I605" s="1419"/>
      <c r="J605" s="1419"/>
      <c r="K605" s="1419"/>
      <c r="L605" s="1419"/>
      <c r="M605" s="1419"/>
      <c r="N605" s="1419"/>
      <c r="O605" s="1419"/>
      <c r="P605" s="1419"/>
    </row>
    <row r="606" spans="3:16" ht="18" hidden="1" customHeight="1" x14ac:dyDescent="0.2">
      <c r="C606" s="526" t="str">
        <f t="shared" si="83"/>
        <v/>
      </c>
      <c r="D606" s="1416" t="str">
        <f t="shared" si="84"/>
        <v/>
      </c>
      <c r="E606" s="1416"/>
      <c r="F606" s="1416"/>
      <c r="G606" s="730" t="str">
        <f t="shared" si="85"/>
        <v/>
      </c>
      <c r="H606" s="507"/>
      <c r="I606" s="1419"/>
      <c r="J606" s="1419"/>
      <c r="K606" s="1419"/>
      <c r="L606" s="1419"/>
      <c r="M606" s="1419"/>
      <c r="N606" s="1419"/>
      <c r="O606" s="1419"/>
      <c r="P606" s="1419"/>
    </row>
    <row r="607" spans="3:16" ht="18" hidden="1" customHeight="1" x14ac:dyDescent="0.2">
      <c r="C607" s="526" t="str">
        <f t="shared" si="83"/>
        <v/>
      </c>
      <c r="D607" s="1416" t="str">
        <f t="shared" si="84"/>
        <v/>
      </c>
      <c r="E607" s="1416"/>
      <c r="F607" s="1416"/>
      <c r="G607" s="730" t="str">
        <f t="shared" si="85"/>
        <v/>
      </c>
      <c r="H607" s="507"/>
      <c r="I607" s="1419"/>
      <c r="J607" s="1419"/>
      <c r="K607" s="1419"/>
      <c r="L607" s="1419"/>
      <c r="M607" s="1419"/>
      <c r="N607" s="1419"/>
      <c r="O607" s="1419"/>
      <c r="P607" s="1419"/>
    </row>
    <row r="608" spans="3:16" ht="18" hidden="1" customHeight="1" x14ac:dyDescent="0.2">
      <c r="C608" s="526" t="str">
        <f t="shared" si="83"/>
        <v/>
      </c>
      <c r="D608" s="1416" t="str">
        <f t="shared" si="84"/>
        <v/>
      </c>
      <c r="E608" s="1416"/>
      <c r="F608" s="1416"/>
      <c r="G608" s="730" t="str">
        <f t="shared" si="85"/>
        <v/>
      </c>
      <c r="H608" s="507"/>
      <c r="I608" s="1419"/>
      <c r="J608" s="1419"/>
      <c r="K608" s="1419"/>
      <c r="L608" s="1419"/>
      <c r="M608" s="1419"/>
      <c r="N608" s="1419"/>
      <c r="O608" s="1419"/>
      <c r="P608" s="1419"/>
    </row>
    <row r="609" spans="3:16" ht="18" hidden="1" customHeight="1" x14ac:dyDescent="0.2">
      <c r="C609" s="526" t="str">
        <f t="shared" si="83"/>
        <v/>
      </c>
      <c r="D609" s="1416" t="str">
        <f t="shared" si="84"/>
        <v/>
      </c>
      <c r="E609" s="1416"/>
      <c r="F609" s="1416"/>
      <c r="G609" s="730" t="str">
        <f t="shared" si="85"/>
        <v/>
      </c>
      <c r="H609" s="507"/>
      <c r="I609" s="1419"/>
      <c r="J609" s="1419"/>
      <c r="K609" s="1419"/>
      <c r="L609" s="1419"/>
      <c r="M609" s="1419"/>
      <c r="N609" s="1419"/>
      <c r="O609" s="1419"/>
      <c r="P609" s="1419"/>
    </row>
    <row r="610" spans="3:16" ht="18" hidden="1" customHeight="1" x14ac:dyDescent="0.2">
      <c r="C610" s="526" t="str">
        <f t="shared" si="83"/>
        <v/>
      </c>
      <c r="D610" s="1416" t="str">
        <f t="shared" si="84"/>
        <v/>
      </c>
      <c r="E610" s="1416"/>
      <c r="F610" s="1416"/>
      <c r="G610" s="730" t="str">
        <f t="shared" si="85"/>
        <v/>
      </c>
      <c r="H610" s="507"/>
      <c r="I610" s="1419"/>
      <c r="J610" s="1419"/>
      <c r="K610" s="1419"/>
      <c r="L610" s="1419"/>
      <c r="M610" s="1419"/>
      <c r="N610" s="1419"/>
      <c r="O610" s="1419"/>
      <c r="P610" s="1419"/>
    </row>
    <row r="611" spans="3:16" ht="18" hidden="1" customHeight="1" x14ac:dyDescent="0.2">
      <c r="C611" s="526" t="str">
        <f t="shared" si="83"/>
        <v/>
      </c>
      <c r="D611" s="1416" t="str">
        <f t="shared" si="84"/>
        <v/>
      </c>
      <c r="E611" s="1416"/>
      <c r="F611" s="1416"/>
      <c r="G611" s="730" t="str">
        <f t="shared" si="85"/>
        <v/>
      </c>
      <c r="H611" s="507"/>
      <c r="I611" s="1419"/>
      <c r="J611" s="1419"/>
      <c r="K611" s="1419"/>
      <c r="L611" s="1419"/>
      <c r="M611" s="1419"/>
      <c r="N611" s="1419"/>
      <c r="O611" s="1419"/>
      <c r="P611" s="1419"/>
    </row>
    <row r="612" spans="3:16" ht="18" hidden="1" customHeight="1" x14ac:dyDescent="0.2">
      <c r="C612" s="526" t="str">
        <f t="shared" si="83"/>
        <v/>
      </c>
      <c r="D612" s="1416" t="str">
        <f t="shared" si="84"/>
        <v/>
      </c>
      <c r="E612" s="1416"/>
      <c r="F612" s="1416"/>
      <c r="G612" s="730" t="str">
        <f t="shared" si="85"/>
        <v/>
      </c>
      <c r="H612" s="507"/>
      <c r="I612" s="1419"/>
      <c r="J612" s="1419"/>
      <c r="K612" s="1419"/>
      <c r="L612" s="1419"/>
      <c r="M612" s="1419"/>
      <c r="N612" s="1419"/>
      <c r="O612" s="1419"/>
      <c r="P612" s="1419"/>
    </row>
    <row r="613" spans="3:16" ht="18" hidden="1" customHeight="1" x14ac:dyDescent="0.2">
      <c r="C613" s="526" t="str">
        <f t="shared" si="83"/>
        <v/>
      </c>
      <c r="D613" s="1416" t="str">
        <f t="shared" si="84"/>
        <v/>
      </c>
      <c r="E613" s="1416"/>
      <c r="F613" s="1416"/>
      <c r="G613" s="730" t="str">
        <f t="shared" si="85"/>
        <v/>
      </c>
      <c r="H613" s="507"/>
      <c r="I613" s="1419"/>
      <c r="J613" s="1419"/>
      <c r="K613" s="1419"/>
      <c r="L613" s="1419"/>
      <c r="M613" s="1419"/>
      <c r="N613" s="1419"/>
      <c r="O613" s="1419"/>
      <c r="P613" s="1419"/>
    </row>
    <row r="614" spans="3:16" ht="18" hidden="1" customHeight="1" x14ac:dyDescent="0.2">
      <c r="C614" s="526" t="str">
        <f t="shared" si="83"/>
        <v/>
      </c>
      <c r="D614" s="1416" t="str">
        <f t="shared" si="84"/>
        <v/>
      </c>
      <c r="E614" s="1416"/>
      <c r="F614" s="1416"/>
      <c r="G614" s="730" t="str">
        <f t="shared" si="85"/>
        <v/>
      </c>
      <c r="H614" s="507"/>
      <c r="I614" s="1419"/>
      <c r="J614" s="1419"/>
      <c r="K614" s="1419"/>
      <c r="L614" s="1419"/>
      <c r="M614" s="1419"/>
      <c r="N614" s="1419"/>
      <c r="O614" s="1419"/>
      <c r="P614" s="1419"/>
    </row>
    <row r="615" spans="3:16" ht="18" hidden="1" customHeight="1" x14ac:dyDescent="0.2">
      <c r="C615" s="526" t="str">
        <f t="shared" si="83"/>
        <v/>
      </c>
      <c r="D615" s="1416" t="str">
        <f t="shared" si="84"/>
        <v/>
      </c>
      <c r="E615" s="1416"/>
      <c r="F615" s="1416"/>
      <c r="G615" s="730" t="str">
        <f t="shared" si="85"/>
        <v/>
      </c>
      <c r="H615" s="507"/>
      <c r="I615" s="1419"/>
      <c r="J615" s="1419"/>
      <c r="K615" s="1419"/>
      <c r="L615" s="1419"/>
      <c r="M615" s="1419"/>
      <c r="N615" s="1419"/>
      <c r="O615" s="1419"/>
      <c r="P615" s="1419"/>
    </row>
    <row r="616" spans="3:16" ht="18" hidden="1" customHeight="1" x14ac:dyDescent="0.2">
      <c r="C616" s="526" t="str">
        <f t="shared" si="83"/>
        <v/>
      </c>
      <c r="D616" s="1416" t="str">
        <f t="shared" si="84"/>
        <v/>
      </c>
      <c r="E616" s="1416"/>
      <c r="F616" s="1416"/>
      <c r="G616" s="730" t="str">
        <f t="shared" si="85"/>
        <v/>
      </c>
      <c r="H616" s="507"/>
      <c r="I616" s="1419"/>
      <c r="J616" s="1419"/>
      <c r="K616" s="1419"/>
      <c r="L616" s="1419"/>
      <c r="M616" s="1419"/>
      <c r="N616" s="1419"/>
      <c r="O616" s="1419"/>
      <c r="P616" s="1419"/>
    </row>
    <row r="617" spans="3:16" ht="18" hidden="1" customHeight="1" x14ac:dyDescent="0.2">
      <c r="C617" s="526" t="str">
        <f t="shared" si="83"/>
        <v/>
      </c>
      <c r="D617" s="1416" t="str">
        <f t="shared" si="84"/>
        <v/>
      </c>
      <c r="E617" s="1416"/>
      <c r="F617" s="1416"/>
      <c r="G617" s="730" t="str">
        <f t="shared" si="85"/>
        <v/>
      </c>
      <c r="H617" s="507"/>
      <c r="I617" s="1419"/>
      <c r="J617" s="1419"/>
      <c r="K617" s="1419"/>
      <c r="L617" s="1419"/>
      <c r="M617" s="1419"/>
      <c r="N617" s="1419"/>
      <c r="O617" s="1419"/>
      <c r="P617" s="1419"/>
    </row>
    <row r="618" spans="3:16" ht="18" hidden="1" customHeight="1" x14ac:dyDescent="0.2">
      <c r="C618" s="526" t="str">
        <f t="shared" si="83"/>
        <v/>
      </c>
      <c r="D618" s="1416" t="str">
        <f t="shared" si="84"/>
        <v/>
      </c>
      <c r="E618" s="1416"/>
      <c r="F618" s="1416"/>
      <c r="G618" s="730" t="str">
        <f t="shared" si="85"/>
        <v/>
      </c>
      <c r="H618" s="507"/>
      <c r="I618" s="1419"/>
      <c r="J618" s="1419"/>
      <c r="K618" s="1419"/>
      <c r="L618" s="1419"/>
      <c r="M618" s="1419"/>
      <c r="N618" s="1419"/>
      <c r="O618" s="1419"/>
      <c r="P618" s="1419"/>
    </row>
    <row r="619" spans="3:16" ht="18" hidden="1" customHeight="1" x14ac:dyDescent="0.2">
      <c r="C619" s="526" t="str">
        <f t="shared" si="83"/>
        <v/>
      </c>
      <c r="D619" s="1416" t="str">
        <f t="shared" si="84"/>
        <v/>
      </c>
      <c r="E619" s="1416"/>
      <c r="F619" s="1416"/>
      <c r="G619" s="730" t="str">
        <f t="shared" si="85"/>
        <v/>
      </c>
      <c r="H619" s="507"/>
      <c r="I619" s="1419"/>
      <c r="J619" s="1419"/>
      <c r="K619" s="1419"/>
      <c r="L619" s="1419"/>
      <c r="M619" s="1419"/>
      <c r="N619" s="1419"/>
      <c r="O619" s="1419"/>
      <c r="P619" s="1419"/>
    </row>
    <row r="620" spans="3:16" ht="18" hidden="1" customHeight="1" x14ac:dyDescent="0.2">
      <c r="C620" s="526" t="str">
        <f t="shared" si="83"/>
        <v/>
      </c>
      <c r="D620" s="1416" t="str">
        <f t="shared" si="84"/>
        <v/>
      </c>
      <c r="E620" s="1416"/>
      <c r="F620" s="1416"/>
      <c r="G620" s="730" t="str">
        <f t="shared" si="85"/>
        <v/>
      </c>
      <c r="H620" s="507"/>
      <c r="I620" s="1419"/>
      <c r="J620" s="1419"/>
      <c r="K620" s="1419"/>
      <c r="L620" s="1419"/>
      <c r="M620" s="1419"/>
      <c r="N620" s="1419"/>
      <c r="O620" s="1419"/>
      <c r="P620" s="1419"/>
    </row>
    <row r="621" spans="3:16" ht="18" hidden="1" customHeight="1" x14ac:dyDescent="0.2">
      <c r="C621" s="526" t="str">
        <f t="shared" si="83"/>
        <v/>
      </c>
      <c r="D621" s="1416" t="str">
        <f t="shared" si="84"/>
        <v/>
      </c>
      <c r="E621" s="1416"/>
      <c r="F621" s="1416"/>
      <c r="G621" s="730" t="str">
        <f t="shared" si="85"/>
        <v/>
      </c>
      <c r="H621" s="507"/>
      <c r="I621" s="1419"/>
      <c r="J621" s="1419"/>
      <c r="K621" s="1419"/>
      <c r="L621" s="1419"/>
      <c r="M621" s="1419"/>
      <c r="N621" s="1419"/>
      <c r="O621" s="1419"/>
      <c r="P621" s="1419"/>
    </row>
    <row r="622" spans="3:16" ht="18" hidden="1" customHeight="1" x14ac:dyDescent="0.2">
      <c r="C622" s="526" t="str">
        <f t="shared" si="83"/>
        <v/>
      </c>
      <c r="D622" s="1416" t="str">
        <f t="shared" si="84"/>
        <v/>
      </c>
      <c r="E622" s="1416"/>
      <c r="F622" s="1416"/>
      <c r="G622" s="730" t="str">
        <f t="shared" si="85"/>
        <v/>
      </c>
      <c r="H622" s="507"/>
      <c r="I622" s="1419"/>
      <c r="J622" s="1419"/>
      <c r="K622" s="1419"/>
      <c r="L622" s="1419"/>
      <c r="M622" s="1419"/>
      <c r="N622" s="1419"/>
      <c r="O622" s="1419"/>
      <c r="P622" s="1419"/>
    </row>
    <row r="623" spans="3:16" ht="18" hidden="1" customHeight="1" x14ac:dyDescent="0.2">
      <c r="C623" s="526" t="str">
        <f t="shared" si="83"/>
        <v/>
      </c>
      <c r="D623" s="1416" t="str">
        <f t="shared" si="84"/>
        <v/>
      </c>
      <c r="E623" s="1416"/>
      <c r="F623" s="1416"/>
      <c r="G623" s="730" t="str">
        <f t="shared" si="85"/>
        <v/>
      </c>
      <c r="H623" s="507"/>
      <c r="I623" s="1419"/>
      <c r="J623" s="1419"/>
      <c r="K623" s="1419"/>
      <c r="L623" s="1419"/>
      <c r="M623" s="1419"/>
      <c r="N623" s="1419"/>
      <c r="O623" s="1419"/>
      <c r="P623" s="1419"/>
    </row>
    <row r="624" spans="3:16" ht="18" hidden="1" customHeight="1" x14ac:dyDescent="0.2">
      <c r="C624" s="526" t="str">
        <f t="shared" si="83"/>
        <v/>
      </c>
      <c r="D624" s="1416" t="str">
        <f t="shared" si="84"/>
        <v/>
      </c>
      <c r="E624" s="1416"/>
      <c r="F624" s="1416"/>
      <c r="G624" s="730" t="str">
        <f t="shared" si="85"/>
        <v/>
      </c>
      <c r="H624" s="507"/>
      <c r="I624" s="1419"/>
      <c r="J624" s="1419"/>
      <c r="K624" s="1419"/>
      <c r="L624" s="1419"/>
      <c r="M624" s="1419"/>
      <c r="N624" s="1419"/>
      <c r="O624" s="1419"/>
      <c r="P624" s="1419"/>
    </row>
    <row r="625" spans="3:16" ht="18" hidden="1" customHeight="1" x14ac:dyDescent="0.2">
      <c r="C625" s="526" t="str">
        <f t="shared" si="83"/>
        <v/>
      </c>
      <c r="D625" s="1416" t="str">
        <f t="shared" si="84"/>
        <v/>
      </c>
      <c r="E625" s="1416"/>
      <c r="F625" s="1416"/>
      <c r="G625" s="730" t="str">
        <f t="shared" si="85"/>
        <v/>
      </c>
      <c r="H625" s="507"/>
      <c r="I625" s="1419"/>
      <c r="J625" s="1419"/>
      <c r="K625" s="1419"/>
      <c r="L625" s="1419"/>
      <c r="M625" s="1419"/>
      <c r="N625" s="1419"/>
      <c r="O625" s="1419"/>
      <c r="P625" s="1419"/>
    </row>
    <row r="626" spans="3:16" ht="18" hidden="1" customHeight="1" x14ac:dyDescent="0.2">
      <c r="C626" s="526" t="str">
        <f t="shared" si="83"/>
        <v/>
      </c>
      <c r="D626" s="1416" t="str">
        <f t="shared" si="84"/>
        <v/>
      </c>
      <c r="E626" s="1416"/>
      <c r="F626" s="1416"/>
      <c r="G626" s="730" t="str">
        <f t="shared" si="85"/>
        <v/>
      </c>
      <c r="H626" s="507"/>
      <c r="I626" s="1419"/>
      <c r="J626" s="1419"/>
      <c r="K626" s="1419"/>
      <c r="L626" s="1419"/>
      <c r="M626" s="1419"/>
      <c r="N626" s="1419"/>
      <c r="O626" s="1419"/>
      <c r="P626" s="1419"/>
    </row>
    <row r="627" spans="3:16" ht="18" hidden="1" customHeight="1" x14ac:dyDescent="0.2">
      <c r="C627" s="526" t="str">
        <f t="shared" si="83"/>
        <v/>
      </c>
      <c r="D627" s="1416" t="str">
        <f t="shared" si="84"/>
        <v/>
      </c>
      <c r="E627" s="1416"/>
      <c r="F627" s="1416"/>
      <c r="G627" s="730" t="str">
        <f t="shared" si="85"/>
        <v/>
      </c>
      <c r="H627" s="507"/>
      <c r="I627" s="1419"/>
      <c r="J627" s="1419"/>
      <c r="K627" s="1419"/>
      <c r="L627" s="1419"/>
      <c r="M627" s="1419"/>
      <c r="N627" s="1419"/>
      <c r="O627" s="1419"/>
      <c r="P627" s="1419"/>
    </row>
    <row r="628" spans="3:16" ht="18" hidden="1" customHeight="1" x14ac:dyDescent="0.2">
      <c r="C628" s="526" t="str">
        <f t="shared" si="83"/>
        <v/>
      </c>
      <c r="D628" s="1416" t="str">
        <f t="shared" si="84"/>
        <v/>
      </c>
      <c r="E628" s="1416"/>
      <c r="F628" s="1416"/>
      <c r="G628" s="730" t="str">
        <f t="shared" si="85"/>
        <v/>
      </c>
      <c r="H628" s="507"/>
      <c r="I628" s="1419"/>
      <c r="J628" s="1419"/>
      <c r="K628" s="1419"/>
      <c r="L628" s="1419"/>
      <c r="M628" s="1419"/>
      <c r="N628" s="1419"/>
      <c r="O628" s="1419"/>
      <c r="P628" s="1419"/>
    </row>
    <row r="629" spans="3:16" ht="18" hidden="1" customHeight="1" x14ac:dyDescent="0.2">
      <c r="C629" s="526" t="str">
        <f t="shared" si="83"/>
        <v/>
      </c>
      <c r="D629" s="1416" t="str">
        <f t="shared" si="84"/>
        <v/>
      </c>
      <c r="E629" s="1416"/>
      <c r="F629" s="1416"/>
      <c r="G629" s="730" t="str">
        <f t="shared" si="85"/>
        <v/>
      </c>
      <c r="H629" s="507"/>
      <c r="I629" s="1419"/>
      <c r="J629" s="1419"/>
      <c r="K629" s="1419"/>
      <c r="L629" s="1419"/>
      <c r="M629" s="1419"/>
      <c r="N629" s="1419"/>
      <c r="O629" s="1419"/>
      <c r="P629" s="1419"/>
    </row>
    <row r="630" spans="3:16" ht="18" hidden="1" customHeight="1" x14ac:dyDescent="0.2">
      <c r="C630" s="526" t="str">
        <f t="shared" si="83"/>
        <v/>
      </c>
      <c r="D630" s="1416" t="str">
        <f t="shared" si="84"/>
        <v/>
      </c>
      <c r="E630" s="1416"/>
      <c r="F630" s="1416"/>
      <c r="G630" s="730" t="str">
        <f t="shared" si="85"/>
        <v/>
      </c>
      <c r="H630" s="507"/>
      <c r="I630" s="1419"/>
      <c r="J630" s="1419"/>
      <c r="K630" s="1419"/>
      <c r="L630" s="1419"/>
      <c r="M630" s="1419"/>
      <c r="N630" s="1419"/>
      <c r="O630" s="1419"/>
      <c r="P630" s="1419"/>
    </row>
    <row r="631" spans="3:16" ht="18" hidden="1" customHeight="1" x14ac:dyDescent="0.2">
      <c r="C631" s="526" t="str">
        <f t="shared" si="83"/>
        <v/>
      </c>
      <c r="D631" s="1416" t="str">
        <f t="shared" si="84"/>
        <v/>
      </c>
      <c r="E631" s="1416"/>
      <c r="F631" s="1416"/>
      <c r="G631" s="730" t="str">
        <f t="shared" si="85"/>
        <v/>
      </c>
      <c r="H631" s="507"/>
      <c r="I631" s="1419"/>
      <c r="J631" s="1419"/>
      <c r="K631" s="1419"/>
      <c r="L631" s="1419"/>
      <c r="M631" s="1419"/>
      <c r="N631" s="1419"/>
      <c r="O631" s="1419"/>
      <c r="P631" s="1419"/>
    </row>
    <row r="632" spans="3:16" ht="18" hidden="1" customHeight="1" x14ac:dyDescent="0.2">
      <c r="C632" s="526" t="str">
        <f t="shared" si="83"/>
        <v/>
      </c>
      <c r="D632" s="1416" t="str">
        <f t="shared" si="84"/>
        <v/>
      </c>
      <c r="E632" s="1416"/>
      <c r="F632" s="1416"/>
      <c r="G632" s="730" t="str">
        <f t="shared" si="85"/>
        <v/>
      </c>
      <c r="H632" s="507"/>
      <c r="I632" s="1419"/>
      <c r="J632" s="1419"/>
      <c r="K632" s="1419"/>
      <c r="L632" s="1419"/>
      <c r="M632" s="1419"/>
      <c r="N632" s="1419"/>
      <c r="O632" s="1419"/>
      <c r="P632" s="1419"/>
    </row>
    <row r="633" spans="3:16" ht="18" hidden="1" customHeight="1" x14ac:dyDescent="0.2">
      <c r="C633" s="526" t="str">
        <f t="shared" si="83"/>
        <v/>
      </c>
      <c r="D633" s="1416" t="str">
        <f t="shared" si="84"/>
        <v/>
      </c>
      <c r="E633" s="1416"/>
      <c r="F633" s="1416"/>
      <c r="G633" s="730" t="str">
        <f t="shared" si="85"/>
        <v/>
      </c>
      <c r="H633" s="507"/>
      <c r="I633" s="1419"/>
      <c r="J633" s="1419"/>
      <c r="K633" s="1419"/>
      <c r="L633" s="1419"/>
      <c r="M633" s="1419"/>
      <c r="N633" s="1419"/>
      <c r="O633" s="1419"/>
      <c r="P633" s="1419"/>
    </row>
    <row r="634" spans="3:16" ht="18" hidden="1" customHeight="1" x14ac:dyDescent="0.2">
      <c r="C634" s="526" t="str">
        <f t="shared" si="83"/>
        <v/>
      </c>
      <c r="D634" s="1416" t="str">
        <f t="shared" si="84"/>
        <v/>
      </c>
      <c r="E634" s="1416"/>
      <c r="F634" s="1416"/>
      <c r="G634" s="730" t="str">
        <f t="shared" si="85"/>
        <v/>
      </c>
      <c r="H634" s="507"/>
      <c r="I634" s="1419"/>
      <c r="J634" s="1419"/>
      <c r="K634" s="1419"/>
      <c r="L634" s="1419"/>
      <c r="M634" s="1419"/>
      <c r="N634" s="1419"/>
      <c r="O634" s="1419"/>
      <c r="P634" s="1419"/>
    </row>
    <row r="635" spans="3:16" ht="18" hidden="1" customHeight="1" x14ac:dyDescent="0.2">
      <c r="C635" s="526" t="str">
        <f t="shared" si="83"/>
        <v/>
      </c>
      <c r="D635" s="1416" t="str">
        <f t="shared" si="84"/>
        <v/>
      </c>
      <c r="E635" s="1416"/>
      <c r="F635" s="1416"/>
      <c r="G635" s="730" t="str">
        <f t="shared" si="85"/>
        <v/>
      </c>
      <c r="H635" s="507"/>
      <c r="I635" s="1419"/>
      <c r="J635" s="1419"/>
      <c r="K635" s="1419"/>
      <c r="L635" s="1419"/>
      <c r="M635" s="1419"/>
      <c r="N635" s="1419"/>
      <c r="O635" s="1419"/>
      <c r="P635" s="1419"/>
    </row>
    <row r="636" spans="3:16" ht="18" hidden="1" customHeight="1" x14ac:dyDescent="0.2">
      <c r="C636" s="526" t="str">
        <f t="shared" si="83"/>
        <v/>
      </c>
      <c r="D636" s="1416" t="str">
        <f t="shared" si="84"/>
        <v/>
      </c>
      <c r="E636" s="1416"/>
      <c r="F636" s="1416"/>
      <c r="G636" s="730" t="str">
        <f t="shared" si="85"/>
        <v/>
      </c>
      <c r="H636" s="507"/>
      <c r="I636" s="1419"/>
      <c r="J636" s="1419"/>
      <c r="K636" s="1419"/>
      <c r="L636" s="1419"/>
      <c r="M636" s="1419"/>
      <c r="N636" s="1419"/>
      <c r="O636" s="1419"/>
      <c r="P636" s="1419"/>
    </row>
    <row r="637" spans="3:16" ht="18" hidden="1" customHeight="1" x14ac:dyDescent="0.2">
      <c r="C637" s="526" t="str">
        <f t="shared" si="83"/>
        <v/>
      </c>
      <c r="D637" s="1416" t="str">
        <f t="shared" si="84"/>
        <v/>
      </c>
      <c r="E637" s="1416"/>
      <c r="F637" s="1416"/>
      <c r="G637" s="730" t="str">
        <f t="shared" si="85"/>
        <v/>
      </c>
      <c r="H637" s="507"/>
      <c r="I637" s="1419"/>
      <c r="J637" s="1419"/>
      <c r="K637" s="1419"/>
      <c r="L637" s="1419"/>
      <c r="M637" s="1419"/>
      <c r="N637" s="1419"/>
      <c r="O637" s="1419"/>
      <c r="P637" s="1419"/>
    </row>
    <row r="638" spans="3:16" ht="18" hidden="1" customHeight="1" x14ac:dyDescent="0.2">
      <c r="C638" s="526" t="str">
        <f t="shared" si="83"/>
        <v/>
      </c>
      <c r="D638" s="1416" t="str">
        <f t="shared" si="84"/>
        <v/>
      </c>
      <c r="E638" s="1416"/>
      <c r="F638" s="1416"/>
      <c r="G638" s="730" t="str">
        <f t="shared" si="85"/>
        <v/>
      </c>
      <c r="H638" s="507"/>
      <c r="I638" s="1419"/>
      <c r="J638" s="1419"/>
      <c r="K638" s="1419"/>
      <c r="L638" s="1419"/>
      <c r="M638" s="1419"/>
      <c r="N638" s="1419"/>
      <c r="O638" s="1419"/>
      <c r="P638" s="1419"/>
    </row>
    <row r="639" spans="3:16" ht="18" hidden="1" customHeight="1" x14ac:dyDescent="0.2">
      <c r="C639" s="526" t="str">
        <f t="shared" si="83"/>
        <v/>
      </c>
      <c r="D639" s="1416" t="str">
        <f t="shared" si="84"/>
        <v/>
      </c>
      <c r="E639" s="1416"/>
      <c r="F639" s="1416"/>
      <c r="G639" s="730" t="str">
        <f t="shared" si="85"/>
        <v/>
      </c>
      <c r="H639" s="507"/>
      <c r="I639" s="1419"/>
      <c r="J639" s="1419"/>
      <c r="K639" s="1419"/>
      <c r="L639" s="1419"/>
      <c r="M639" s="1419"/>
      <c r="N639" s="1419"/>
      <c r="O639" s="1419"/>
      <c r="P639" s="1419"/>
    </row>
    <row r="640" spans="3:16" ht="18" hidden="1" customHeight="1" x14ac:dyDescent="0.2">
      <c r="C640" s="526" t="str">
        <f t="shared" si="83"/>
        <v/>
      </c>
      <c r="D640" s="1416" t="str">
        <f t="shared" si="84"/>
        <v/>
      </c>
      <c r="E640" s="1416"/>
      <c r="F640" s="1416"/>
      <c r="G640" s="730" t="str">
        <f t="shared" si="85"/>
        <v/>
      </c>
      <c r="H640" s="507"/>
      <c r="I640" s="1419"/>
      <c r="J640" s="1419"/>
      <c r="K640" s="1419"/>
      <c r="L640" s="1419"/>
      <c r="M640" s="1419"/>
      <c r="N640" s="1419"/>
      <c r="O640" s="1419"/>
      <c r="P640" s="1419"/>
    </row>
    <row r="641" spans="3:16" ht="18" hidden="1" customHeight="1" x14ac:dyDescent="0.2">
      <c r="C641" s="526" t="str">
        <f t="shared" si="83"/>
        <v/>
      </c>
      <c r="D641" s="1416" t="str">
        <f t="shared" si="84"/>
        <v/>
      </c>
      <c r="E641" s="1416"/>
      <c r="F641" s="1416"/>
      <c r="G641" s="730" t="str">
        <f t="shared" si="85"/>
        <v/>
      </c>
      <c r="H641" s="507"/>
      <c r="I641" s="1419"/>
      <c r="J641" s="1419"/>
      <c r="K641" s="1419"/>
      <c r="L641" s="1419"/>
      <c r="M641" s="1419"/>
      <c r="N641" s="1419"/>
      <c r="O641" s="1419"/>
      <c r="P641" s="1419"/>
    </row>
    <row r="642" spans="3:16" ht="18" hidden="1" customHeight="1" x14ac:dyDescent="0.2">
      <c r="C642" s="526" t="str">
        <f t="shared" si="83"/>
        <v/>
      </c>
      <c r="D642" s="1416" t="str">
        <f t="shared" si="84"/>
        <v/>
      </c>
      <c r="E642" s="1416"/>
      <c r="F642" s="1416"/>
      <c r="G642" s="730" t="str">
        <f t="shared" si="85"/>
        <v/>
      </c>
      <c r="H642" s="507"/>
      <c r="I642" s="1419"/>
      <c r="J642" s="1419"/>
      <c r="K642" s="1419"/>
      <c r="L642" s="1419"/>
      <c r="M642" s="1419"/>
      <c r="N642" s="1419"/>
      <c r="O642" s="1419"/>
      <c r="P642" s="1419"/>
    </row>
    <row r="643" spans="3:16" ht="18" hidden="1" customHeight="1" x14ac:dyDescent="0.2">
      <c r="C643" s="526" t="str">
        <f t="shared" si="83"/>
        <v/>
      </c>
      <c r="D643" s="1416" t="str">
        <f t="shared" si="84"/>
        <v/>
      </c>
      <c r="E643" s="1416"/>
      <c r="F643" s="1416"/>
      <c r="G643" s="730" t="str">
        <f t="shared" si="85"/>
        <v/>
      </c>
      <c r="H643" s="507"/>
      <c r="I643" s="1419"/>
      <c r="J643" s="1419"/>
      <c r="K643" s="1419"/>
      <c r="L643" s="1419"/>
      <c r="M643" s="1419"/>
      <c r="N643" s="1419"/>
      <c r="O643" s="1419"/>
      <c r="P643" s="1419"/>
    </row>
    <row r="644" spans="3:16" ht="18" hidden="1" customHeight="1" x14ac:dyDescent="0.2">
      <c r="C644" s="526" t="str">
        <f t="shared" si="83"/>
        <v/>
      </c>
      <c r="D644" s="1416" t="str">
        <f t="shared" si="84"/>
        <v/>
      </c>
      <c r="E644" s="1416"/>
      <c r="F644" s="1416"/>
      <c r="G644" s="730" t="str">
        <f t="shared" si="85"/>
        <v/>
      </c>
      <c r="H644" s="507"/>
      <c r="I644" s="1419"/>
      <c r="J644" s="1419"/>
      <c r="K644" s="1419"/>
      <c r="L644" s="1419"/>
      <c r="M644" s="1419"/>
      <c r="N644" s="1419"/>
      <c r="O644" s="1419"/>
      <c r="P644" s="1419"/>
    </row>
    <row r="645" spans="3:16" ht="18" hidden="1" customHeight="1" x14ac:dyDescent="0.2">
      <c r="C645" s="526" t="str">
        <f t="shared" si="83"/>
        <v/>
      </c>
      <c r="D645" s="1416" t="str">
        <f t="shared" si="84"/>
        <v/>
      </c>
      <c r="E645" s="1416"/>
      <c r="F645" s="1416"/>
      <c r="G645" s="730" t="str">
        <f t="shared" si="85"/>
        <v/>
      </c>
      <c r="H645" s="507"/>
      <c r="I645" s="1419"/>
      <c r="J645" s="1419"/>
      <c r="K645" s="1419"/>
      <c r="L645" s="1419"/>
      <c r="M645" s="1419"/>
      <c r="N645" s="1419"/>
      <c r="O645" s="1419"/>
      <c r="P645" s="1419"/>
    </row>
    <row r="646" spans="3:16" ht="18" hidden="1" customHeight="1" x14ac:dyDescent="0.2">
      <c r="C646" s="526" t="str">
        <f t="shared" si="83"/>
        <v/>
      </c>
      <c r="D646" s="1416" t="str">
        <f t="shared" si="84"/>
        <v/>
      </c>
      <c r="E646" s="1416"/>
      <c r="F646" s="1416"/>
      <c r="G646" s="730" t="str">
        <f t="shared" si="85"/>
        <v/>
      </c>
      <c r="H646" s="507"/>
      <c r="I646" s="1419"/>
      <c r="J646" s="1419"/>
      <c r="K646" s="1419"/>
      <c r="L646" s="1419"/>
      <c r="M646" s="1419"/>
      <c r="N646" s="1419"/>
      <c r="O646" s="1419"/>
      <c r="P646" s="1419"/>
    </row>
    <row r="647" spans="3:16" ht="18" hidden="1" customHeight="1" x14ac:dyDescent="0.2">
      <c r="C647" s="526" t="str">
        <f t="shared" si="83"/>
        <v/>
      </c>
      <c r="D647" s="1416" t="str">
        <f t="shared" si="84"/>
        <v/>
      </c>
      <c r="E647" s="1416"/>
      <c r="F647" s="1416"/>
      <c r="G647" s="730" t="str">
        <f t="shared" si="85"/>
        <v/>
      </c>
      <c r="H647" s="507"/>
      <c r="I647" s="1419"/>
      <c r="J647" s="1419"/>
      <c r="K647" s="1419"/>
      <c r="L647" s="1419"/>
      <c r="M647" s="1419"/>
      <c r="N647" s="1419"/>
      <c r="O647" s="1419"/>
      <c r="P647" s="1419"/>
    </row>
    <row r="648" spans="3:16" ht="18" hidden="1" customHeight="1" x14ac:dyDescent="0.2">
      <c r="C648" s="526" t="str">
        <f t="shared" si="83"/>
        <v/>
      </c>
      <c r="D648" s="1416" t="str">
        <f t="shared" si="84"/>
        <v/>
      </c>
      <c r="E648" s="1416"/>
      <c r="F648" s="1416"/>
      <c r="G648" s="730" t="str">
        <f t="shared" si="85"/>
        <v/>
      </c>
      <c r="H648" s="507"/>
      <c r="I648" s="1419"/>
      <c r="J648" s="1419"/>
      <c r="K648" s="1419"/>
      <c r="L648" s="1419"/>
      <c r="M648" s="1419"/>
      <c r="N648" s="1419"/>
      <c r="O648" s="1419"/>
      <c r="P648" s="1419"/>
    </row>
    <row r="649" spans="3:16" ht="18" hidden="1" customHeight="1" x14ac:dyDescent="0.2">
      <c r="C649" s="526" t="str">
        <f t="shared" si="83"/>
        <v/>
      </c>
      <c r="D649" s="1416" t="str">
        <f t="shared" si="84"/>
        <v/>
      </c>
      <c r="E649" s="1416"/>
      <c r="F649" s="1416"/>
      <c r="G649" s="730" t="str">
        <f t="shared" si="85"/>
        <v/>
      </c>
      <c r="H649" s="507"/>
      <c r="I649" s="1419"/>
      <c r="J649" s="1419"/>
      <c r="K649" s="1419"/>
      <c r="L649" s="1419"/>
      <c r="M649" s="1419"/>
      <c r="N649" s="1419"/>
      <c r="O649" s="1419"/>
      <c r="P649" s="1419"/>
    </row>
    <row r="650" spans="3:16" ht="18" hidden="1" customHeight="1" x14ac:dyDescent="0.2">
      <c r="C650" s="526" t="str">
        <f t="shared" si="83"/>
        <v/>
      </c>
      <c r="D650" s="1416" t="str">
        <f t="shared" si="84"/>
        <v/>
      </c>
      <c r="E650" s="1416"/>
      <c r="F650" s="1416"/>
      <c r="G650" s="730" t="str">
        <f t="shared" si="85"/>
        <v/>
      </c>
      <c r="H650" s="507"/>
      <c r="I650" s="1419"/>
      <c r="J650" s="1419"/>
      <c r="K650" s="1419"/>
      <c r="L650" s="1419"/>
      <c r="M650" s="1419"/>
      <c r="N650" s="1419"/>
      <c r="O650" s="1419"/>
      <c r="P650" s="1419"/>
    </row>
    <row r="651" spans="3:16" ht="18" hidden="1" customHeight="1" x14ac:dyDescent="0.2">
      <c r="C651" s="526" t="str">
        <f t="shared" si="83"/>
        <v/>
      </c>
      <c r="D651" s="1416" t="str">
        <f t="shared" si="84"/>
        <v/>
      </c>
      <c r="E651" s="1416"/>
      <c r="F651" s="1416"/>
      <c r="G651" s="730" t="str">
        <f t="shared" si="85"/>
        <v/>
      </c>
      <c r="H651" s="507"/>
      <c r="I651" s="1419"/>
      <c r="J651" s="1419"/>
      <c r="K651" s="1419"/>
      <c r="L651" s="1419"/>
      <c r="M651" s="1419"/>
      <c r="N651" s="1419"/>
      <c r="O651" s="1419"/>
      <c r="P651" s="1419"/>
    </row>
    <row r="652" spans="3:16" ht="18" hidden="1" customHeight="1" x14ac:dyDescent="0.2">
      <c r="C652" s="526" t="str">
        <f t="shared" si="83"/>
        <v/>
      </c>
      <c r="D652" s="1416" t="str">
        <f t="shared" si="84"/>
        <v/>
      </c>
      <c r="E652" s="1416"/>
      <c r="F652" s="1416"/>
      <c r="G652" s="730" t="str">
        <f t="shared" si="85"/>
        <v/>
      </c>
      <c r="H652" s="507"/>
      <c r="I652" s="1419"/>
      <c r="J652" s="1419"/>
      <c r="K652" s="1419"/>
      <c r="L652" s="1419"/>
      <c r="M652" s="1419"/>
      <c r="N652" s="1419"/>
      <c r="O652" s="1419"/>
      <c r="P652" s="1419"/>
    </row>
    <row r="653" spans="3:16" ht="18" hidden="1" customHeight="1" x14ac:dyDescent="0.2">
      <c r="C653" s="526" t="str">
        <f t="shared" si="83"/>
        <v/>
      </c>
      <c r="D653" s="1416" t="str">
        <f t="shared" si="84"/>
        <v/>
      </c>
      <c r="E653" s="1416"/>
      <c r="F653" s="1416"/>
      <c r="G653" s="730" t="str">
        <f t="shared" si="85"/>
        <v/>
      </c>
      <c r="H653" s="507"/>
      <c r="I653" s="1419"/>
      <c r="J653" s="1419"/>
      <c r="K653" s="1419"/>
      <c r="L653" s="1419"/>
      <c r="M653" s="1419"/>
      <c r="N653" s="1419"/>
      <c r="O653" s="1419"/>
      <c r="P653" s="1419"/>
    </row>
    <row r="654" spans="3:16" ht="18" hidden="1" customHeight="1" x14ac:dyDescent="0.2">
      <c r="C654" s="526" t="str">
        <f t="shared" si="83"/>
        <v/>
      </c>
      <c r="D654" s="1416" t="str">
        <f t="shared" si="84"/>
        <v/>
      </c>
      <c r="E654" s="1416"/>
      <c r="F654" s="1416"/>
      <c r="G654" s="730" t="str">
        <f t="shared" si="85"/>
        <v/>
      </c>
      <c r="H654" s="507"/>
      <c r="I654" s="1419"/>
      <c r="J654" s="1419"/>
      <c r="K654" s="1419"/>
      <c r="L654" s="1419"/>
      <c r="M654" s="1419"/>
      <c r="N654" s="1419"/>
      <c r="O654" s="1419"/>
      <c r="P654" s="1419"/>
    </row>
    <row r="655" spans="3:16" ht="18" hidden="1" customHeight="1" x14ac:dyDescent="0.2">
      <c r="C655" s="526" t="str">
        <f t="shared" si="83"/>
        <v/>
      </c>
      <c r="D655" s="1416" t="str">
        <f t="shared" si="84"/>
        <v/>
      </c>
      <c r="E655" s="1416"/>
      <c r="F655" s="1416"/>
      <c r="G655" s="730" t="str">
        <f t="shared" si="85"/>
        <v/>
      </c>
      <c r="H655" s="507"/>
      <c r="I655" s="1419"/>
      <c r="J655" s="1419"/>
      <c r="K655" s="1419"/>
      <c r="L655" s="1419"/>
      <c r="M655" s="1419"/>
      <c r="N655" s="1419"/>
      <c r="O655" s="1419"/>
      <c r="P655" s="1419"/>
    </row>
    <row r="656" spans="3:16" ht="18" hidden="1" customHeight="1" x14ac:dyDescent="0.2">
      <c r="C656" s="526" t="str">
        <f t="shared" si="83"/>
        <v/>
      </c>
      <c r="D656" s="1416" t="str">
        <f t="shared" si="84"/>
        <v/>
      </c>
      <c r="E656" s="1416"/>
      <c r="F656" s="1416"/>
      <c r="G656" s="730" t="str">
        <f t="shared" si="85"/>
        <v/>
      </c>
      <c r="H656" s="507"/>
      <c r="I656" s="1419"/>
      <c r="J656" s="1419"/>
      <c r="K656" s="1419"/>
      <c r="L656" s="1419"/>
      <c r="M656" s="1419"/>
      <c r="N656" s="1419"/>
      <c r="O656" s="1419"/>
      <c r="P656" s="1419"/>
    </row>
    <row r="657" spans="3:16" ht="18" hidden="1" customHeight="1" x14ac:dyDescent="0.2">
      <c r="C657" s="526" t="str">
        <f t="shared" ref="C657:C720" si="86">IF(A400="Si",C400,"")</f>
        <v/>
      </c>
      <c r="D657" s="1416" t="str">
        <f t="shared" ref="D657:D720" si="87">IF(A400="Si",D400,"")</f>
        <v/>
      </c>
      <c r="E657" s="1416"/>
      <c r="F657" s="1416"/>
      <c r="G657" s="730" t="str">
        <f t="shared" ref="G657:G720" si="88">IF(A400="Si",M400,"")</f>
        <v/>
      </c>
      <c r="H657" s="507"/>
      <c r="I657" s="1419"/>
      <c r="J657" s="1419"/>
      <c r="K657" s="1419"/>
      <c r="L657" s="1419"/>
      <c r="M657" s="1419"/>
      <c r="N657" s="1419"/>
      <c r="O657" s="1419"/>
      <c r="P657" s="1419"/>
    </row>
    <row r="658" spans="3:16" ht="18" hidden="1" customHeight="1" x14ac:dyDescent="0.2">
      <c r="C658" s="526" t="str">
        <f t="shared" si="86"/>
        <v/>
      </c>
      <c r="D658" s="1416" t="str">
        <f t="shared" si="87"/>
        <v/>
      </c>
      <c r="E658" s="1416"/>
      <c r="F658" s="1416"/>
      <c r="G658" s="730" t="str">
        <f t="shared" si="88"/>
        <v/>
      </c>
      <c r="H658" s="507"/>
      <c r="I658" s="1419"/>
      <c r="J658" s="1419"/>
      <c r="K658" s="1419"/>
      <c r="L658" s="1419"/>
      <c r="M658" s="1419"/>
      <c r="N658" s="1419"/>
      <c r="O658" s="1419"/>
      <c r="P658" s="1419"/>
    </row>
    <row r="659" spans="3:16" ht="18" hidden="1" customHeight="1" x14ac:dyDescent="0.2">
      <c r="C659" s="526" t="str">
        <f t="shared" si="86"/>
        <v/>
      </c>
      <c r="D659" s="1416" t="str">
        <f t="shared" si="87"/>
        <v/>
      </c>
      <c r="E659" s="1416"/>
      <c r="F659" s="1416"/>
      <c r="G659" s="730" t="str">
        <f t="shared" si="88"/>
        <v/>
      </c>
      <c r="H659" s="507"/>
      <c r="I659" s="1419"/>
      <c r="J659" s="1419"/>
      <c r="K659" s="1419"/>
      <c r="L659" s="1419"/>
      <c r="M659" s="1419"/>
      <c r="N659" s="1419"/>
      <c r="O659" s="1419"/>
      <c r="P659" s="1419"/>
    </row>
    <row r="660" spans="3:16" ht="18" hidden="1" customHeight="1" x14ac:dyDescent="0.2">
      <c r="C660" s="526" t="str">
        <f t="shared" si="86"/>
        <v/>
      </c>
      <c r="D660" s="1416" t="str">
        <f t="shared" si="87"/>
        <v/>
      </c>
      <c r="E660" s="1416"/>
      <c r="F660" s="1416"/>
      <c r="G660" s="730" t="str">
        <f t="shared" si="88"/>
        <v/>
      </c>
      <c r="H660" s="507"/>
      <c r="I660" s="1419"/>
      <c r="J660" s="1419"/>
      <c r="K660" s="1419"/>
      <c r="L660" s="1419"/>
      <c r="M660" s="1419"/>
      <c r="N660" s="1419"/>
      <c r="O660" s="1419"/>
      <c r="P660" s="1419"/>
    </row>
    <row r="661" spans="3:16" ht="18" hidden="1" customHeight="1" x14ac:dyDescent="0.2">
      <c r="C661" s="526" t="str">
        <f t="shared" si="86"/>
        <v/>
      </c>
      <c r="D661" s="1416" t="str">
        <f t="shared" si="87"/>
        <v/>
      </c>
      <c r="E661" s="1416"/>
      <c r="F661" s="1416"/>
      <c r="G661" s="730" t="str">
        <f t="shared" si="88"/>
        <v/>
      </c>
      <c r="H661" s="507"/>
      <c r="I661" s="1419"/>
      <c r="J661" s="1419"/>
      <c r="K661" s="1419"/>
      <c r="L661" s="1419"/>
      <c r="M661" s="1419"/>
      <c r="N661" s="1419"/>
      <c r="O661" s="1419"/>
      <c r="P661" s="1419"/>
    </row>
    <row r="662" spans="3:16" ht="18" hidden="1" customHeight="1" x14ac:dyDescent="0.2">
      <c r="C662" s="526" t="str">
        <f t="shared" si="86"/>
        <v/>
      </c>
      <c r="D662" s="1416" t="str">
        <f t="shared" si="87"/>
        <v/>
      </c>
      <c r="E662" s="1416"/>
      <c r="F662" s="1416"/>
      <c r="G662" s="730" t="str">
        <f t="shared" si="88"/>
        <v/>
      </c>
      <c r="H662" s="507"/>
      <c r="I662" s="1419"/>
      <c r="J662" s="1419"/>
      <c r="K662" s="1419"/>
      <c r="L662" s="1419"/>
      <c r="M662" s="1419"/>
      <c r="N662" s="1419"/>
      <c r="O662" s="1419"/>
      <c r="P662" s="1419"/>
    </row>
    <row r="663" spans="3:16" ht="18" hidden="1" customHeight="1" x14ac:dyDescent="0.2">
      <c r="C663" s="526" t="str">
        <f t="shared" si="86"/>
        <v/>
      </c>
      <c r="D663" s="1416" t="str">
        <f t="shared" si="87"/>
        <v/>
      </c>
      <c r="E663" s="1416"/>
      <c r="F663" s="1416"/>
      <c r="G663" s="730" t="str">
        <f t="shared" si="88"/>
        <v/>
      </c>
      <c r="H663" s="507"/>
      <c r="I663" s="1419"/>
      <c r="J663" s="1419"/>
      <c r="K663" s="1419"/>
      <c r="L663" s="1419"/>
      <c r="M663" s="1419"/>
      <c r="N663" s="1419"/>
      <c r="O663" s="1419"/>
      <c r="P663" s="1419"/>
    </row>
    <row r="664" spans="3:16" ht="18" hidden="1" customHeight="1" x14ac:dyDescent="0.2">
      <c r="C664" s="526" t="str">
        <f t="shared" si="86"/>
        <v/>
      </c>
      <c r="D664" s="1416" t="str">
        <f t="shared" si="87"/>
        <v/>
      </c>
      <c r="E664" s="1416"/>
      <c r="F664" s="1416"/>
      <c r="G664" s="730" t="str">
        <f t="shared" si="88"/>
        <v/>
      </c>
      <c r="H664" s="507"/>
      <c r="I664" s="1419"/>
      <c r="J664" s="1419"/>
      <c r="K664" s="1419"/>
      <c r="L664" s="1419"/>
      <c r="M664" s="1419"/>
      <c r="N664" s="1419"/>
      <c r="O664" s="1419"/>
      <c r="P664" s="1419"/>
    </row>
    <row r="665" spans="3:16" ht="18" hidden="1" customHeight="1" x14ac:dyDescent="0.2">
      <c r="C665" s="526" t="str">
        <f t="shared" si="86"/>
        <v/>
      </c>
      <c r="D665" s="1416" t="str">
        <f t="shared" si="87"/>
        <v/>
      </c>
      <c r="E665" s="1416"/>
      <c r="F665" s="1416"/>
      <c r="G665" s="730" t="str">
        <f t="shared" si="88"/>
        <v/>
      </c>
      <c r="H665" s="507"/>
      <c r="I665" s="1419"/>
      <c r="J665" s="1419"/>
      <c r="K665" s="1419"/>
      <c r="L665" s="1419"/>
      <c r="M665" s="1419"/>
      <c r="N665" s="1419"/>
      <c r="O665" s="1419"/>
      <c r="P665" s="1419"/>
    </row>
    <row r="666" spans="3:16" ht="18" hidden="1" customHeight="1" x14ac:dyDescent="0.2">
      <c r="C666" s="526" t="str">
        <f t="shared" si="86"/>
        <v/>
      </c>
      <c r="D666" s="1416" t="str">
        <f t="shared" si="87"/>
        <v/>
      </c>
      <c r="E666" s="1416"/>
      <c r="F666" s="1416"/>
      <c r="G666" s="730" t="str">
        <f t="shared" si="88"/>
        <v/>
      </c>
      <c r="H666" s="507"/>
      <c r="I666" s="1419"/>
      <c r="J666" s="1419"/>
      <c r="K666" s="1419"/>
      <c r="L666" s="1419"/>
      <c r="M666" s="1419"/>
      <c r="N666" s="1419"/>
      <c r="O666" s="1419"/>
      <c r="P666" s="1419"/>
    </row>
    <row r="667" spans="3:16" ht="18" hidden="1" customHeight="1" x14ac:dyDescent="0.2">
      <c r="C667" s="526" t="str">
        <f t="shared" si="86"/>
        <v/>
      </c>
      <c r="D667" s="1416" t="str">
        <f t="shared" si="87"/>
        <v/>
      </c>
      <c r="E667" s="1416"/>
      <c r="F667" s="1416"/>
      <c r="G667" s="730" t="str">
        <f t="shared" si="88"/>
        <v/>
      </c>
      <c r="H667" s="507"/>
      <c r="I667" s="1419"/>
      <c r="J667" s="1419"/>
      <c r="K667" s="1419"/>
      <c r="L667" s="1419"/>
      <c r="M667" s="1419"/>
      <c r="N667" s="1419"/>
      <c r="O667" s="1419"/>
      <c r="P667" s="1419"/>
    </row>
    <row r="668" spans="3:16" ht="18" hidden="1" customHeight="1" x14ac:dyDescent="0.2">
      <c r="C668" s="526" t="str">
        <f t="shared" si="86"/>
        <v/>
      </c>
      <c r="D668" s="1416" t="str">
        <f t="shared" si="87"/>
        <v/>
      </c>
      <c r="E668" s="1416"/>
      <c r="F668" s="1416"/>
      <c r="G668" s="730" t="str">
        <f t="shared" si="88"/>
        <v/>
      </c>
      <c r="H668" s="507"/>
      <c r="I668" s="1419"/>
      <c r="J668" s="1419"/>
      <c r="K668" s="1419"/>
      <c r="L668" s="1419"/>
      <c r="M668" s="1419"/>
      <c r="N668" s="1419"/>
      <c r="O668" s="1419"/>
      <c r="P668" s="1419"/>
    </row>
    <row r="669" spans="3:16" ht="18" hidden="1" customHeight="1" x14ac:dyDescent="0.2">
      <c r="C669" s="526" t="str">
        <f t="shared" si="86"/>
        <v/>
      </c>
      <c r="D669" s="1416" t="str">
        <f t="shared" si="87"/>
        <v/>
      </c>
      <c r="E669" s="1416"/>
      <c r="F669" s="1416"/>
      <c r="G669" s="730" t="str">
        <f t="shared" si="88"/>
        <v/>
      </c>
      <c r="H669" s="507"/>
      <c r="I669" s="1419"/>
      <c r="J669" s="1419"/>
      <c r="K669" s="1419"/>
      <c r="L669" s="1419"/>
      <c r="M669" s="1419"/>
      <c r="N669" s="1419"/>
      <c r="O669" s="1419"/>
      <c r="P669" s="1419"/>
    </row>
    <row r="670" spans="3:16" ht="18" hidden="1" customHeight="1" x14ac:dyDescent="0.2">
      <c r="C670" s="526" t="str">
        <f t="shared" si="86"/>
        <v/>
      </c>
      <c r="D670" s="1416" t="str">
        <f t="shared" si="87"/>
        <v/>
      </c>
      <c r="E670" s="1416"/>
      <c r="F670" s="1416"/>
      <c r="G670" s="730" t="str">
        <f t="shared" si="88"/>
        <v/>
      </c>
      <c r="H670" s="507"/>
      <c r="I670" s="1419"/>
      <c r="J670" s="1419"/>
      <c r="K670" s="1419"/>
      <c r="L670" s="1419"/>
      <c r="M670" s="1419"/>
      <c r="N670" s="1419"/>
      <c r="O670" s="1419"/>
      <c r="P670" s="1419"/>
    </row>
    <row r="671" spans="3:16" ht="18" hidden="1" customHeight="1" x14ac:dyDescent="0.2">
      <c r="C671" s="526" t="str">
        <f t="shared" si="86"/>
        <v/>
      </c>
      <c r="D671" s="1416" t="str">
        <f t="shared" si="87"/>
        <v/>
      </c>
      <c r="E671" s="1416"/>
      <c r="F671" s="1416"/>
      <c r="G671" s="730" t="str">
        <f t="shared" si="88"/>
        <v/>
      </c>
      <c r="H671" s="507"/>
      <c r="I671" s="1419"/>
      <c r="J671" s="1419"/>
      <c r="K671" s="1419"/>
      <c r="L671" s="1419"/>
      <c r="M671" s="1419"/>
      <c r="N671" s="1419"/>
      <c r="O671" s="1419"/>
      <c r="P671" s="1419"/>
    </row>
    <row r="672" spans="3:16" ht="18" hidden="1" customHeight="1" x14ac:dyDescent="0.2">
      <c r="C672" s="526" t="str">
        <f t="shared" si="86"/>
        <v/>
      </c>
      <c r="D672" s="1416" t="str">
        <f t="shared" si="87"/>
        <v/>
      </c>
      <c r="E672" s="1416"/>
      <c r="F672" s="1416"/>
      <c r="G672" s="730" t="str">
        <f t="shared" si="88"/>
        <v/>
      </c>
      <c r="H672" s="507"/>
      <c r="I672" s="1419"/>
      <c r="J672" s="1419"/>
      <c r="K672" s="1419"/>
      <c r="L672" s="1419"/>
      <c r="M672" s="1419"/>
      <c r="N672" s="1419"/>
      <c r="O672" s="1419"/>
      <c r="P672" s="1419"/>
    </row>
    <row r="673" spans="3:16" ht="18" hidden="1" customHeight="1" x14ac:dyDescent="0.2">
      <c r="C673" s="526" t="str">
        <f t="shared" si="86"/>
        <v/>
      </c>
      <c r="D673" s="1416" t="str">
        <f t="shared" si="87"/>
        <v/>
      </c>
      <c r="E673" s="1416"/>
      <c r="F673" s="1416"/>
      <c r="G673" s="730" t="str">
        <f t="shared" si="88"/>
        <v/>
      </c>
      <c r="H673" s="507"/>
      <c r="I673" s="1419"/>
      <c r="J673" s="1419"/>
      <c r="K673" s="1419"/>
      <c r="L673" s="1419"/>
      <c r="M673" s="1419"/>
      <c r="N673" s="1419"/>
      <c r="O673" s="1419"/>
      <c r="P673" s="1419"/>
    </row>
    <row r="674" spans="3:16" ht="18" hidden="1" customHeight="1" x14ac:dyDescent="0.2">
      <c r="C674" s="526" t="str">
        <f t="shared" si="86"/>
        <v/>
      </c>
      <c r="D674" s="1416" t="str">
        <f t="shared" si="87"/>
        <v/>
      </c>
      <c r="E674" s="1416"/>
      <c r="F674" s="1416"/>
      <c r="G674" s="730" t="str">
        <f t="shared" si="88"/>
        <v/>
      </c>
      <c r="H674" s="507"/>
      <c r="I674" s="1419"/>
      <c r="J674" s="1419"/>
      <c r="K674" s="1419"/>
      <c r="L674" s="1419"/>
      <c r="M674" s="1419"/>
      <c r="N674" s="1419"/>
      <c r="O674" s="1419"/>
      <c r="P674" s="1419"/>
    </row>
    <row r="675" spans="3:16" ht="18" hidden="1" customHeight="1" x14ac:dyDescent="0.2">
      <c r="C675" s="526" t="str">
        <f t="shared" si="86"/>
        <v/>
      </c>
      <c r="D675" s="1416" t="str">
        <f t="shared" si="87"/>
        <v/>
      </c>
      <c r="E675" s="1416"/>
      <c r="F675" s="1416"/>
      <c r="G675" s="730" t="str">
        <f t="shared" si="88"/>
        <v/>
      </c>
      <c r="H675" s="507"/>
      <c r="I675" s="1419"/>
      <c r="J675" s="1419"/>
      <c r="K675" s="1419"/>
      <c r="L675" s="1419"/>
      <c r="M675" s="1419"/>
      <c r="N675" s="1419"/>
      <c r="O675" s="1419"/>
      <c r="P675" s="1419"/>
    </row>
    <row r="676" spans="3:16" ht="18" hidden="1" customHeight="1" x14ac:dyDescent="0.2">
      <c r="C676" s="526" t="str">
        <f t="shared" si="86"/>
        <v/>
      </c>
      <c r="D676" s="1416" t="str">
        <f t="shared" si="87"/>
        <v/>
      </c>
      <c r="E676" s="1416"/>
      <c r="F676" s="1416"/>
      <c r="G676" s="730" t="str">
        <f t="shared" si="88"/>
        <v/>
      </c>
      <c r="H676" s="507"/>
      <c r="I676" s="1419"/>
      <c r="J676" s="1419"/>
      <c r="K676" s="1419"/>
      <c r="L676" s="1419"/>
      <c r="M676" s="1419"/>
      <c r="N676" s="1419"/>
      <c r="O676" s="1419"/>
      <c r="P676" s="1419"/>
    </row>
    <row r="677" spans="3:16" ht="18" hidden="1" customHeight="1" x14ac:dyDescent="0.2">
      <c r="C677" s="526" t="str">
        <f t="shared" si="86"/>
        <v/>
      </c>
      <c r="D677" s="1416" t="str">
        <f t="shared" si="87"/>
        <v/>
      </c>
      <c r="E677" s="1416"/>
      <c r="F677" s="1416"/>
      <c r="G677" s="730" t="str">
        <f t="shared" si="88"/>
        <v/>
      </c>
      <c r="H677" s="507"/>
      <c r="I677" s="1419"/>
      <c r="J677" s="1419"/>
      <c r="K677" s="1419"/>
      <c r="L677" s="1419"/>
      <c r="M677" s="1419"/>
      <c r="N677" s="1419"/>
      <c r="O677" s="1419"/>
      <c r="P677" s="1419"/>
    </row>
    <row r="678" spans="3:16" ht="18" hidden="1" customHeight="1" x14ac:dyDescent="0.2">
      <c r="C678" s="526" t="str">
        <f t="shared" si="86"/>
        <v/>
      </c>
      <c r="D678" s="1416" t="str">
        <f t="shared" si="87"/>
        <v/>
      </c>
      <c r="E678" s="1416"/>
      <c r="F678" s="1416"/>
      <c r="G678" s="730" t="str">
        <f t="shared" si="88"/>
        <v/>
      </c>
      <c r="H678" s="507"/>
      <c r="I678" s="1419"/>
      <c r="J678" s="1419"/>
      <c r="K678" s="1419"/>
      <c r="L678" s="1419"/>
      <c r="M678" s="1419"/>
      <c r="N678" s="1419"/>
      <c r="O678" s="1419"/>
      <c r="P678" s="1419"/>
    </row>
    <row r="679" spans="3:16" ht="18" hidden="1" customHeight="1" x14ac:dyDescent="0.2">
      <c r="C679" s="526" t="str">
        <f t="shared" si="86"/>
        <v/>
      </c>
      <c r="D679" s="1416" t="str">
        <f t="shared" si="87"/>
        <v/>
      </c>
      <c r="E679" s="1416"/>
      <c r="F679" s="1416"/>
      <c r="G679" s="730" t="str">
        <f t="shared" si="88"/>
        <v/>
      </c>
      <c r="H679" s="507"/>
      <c r="I679" s="1419"/>
      <c r="J679" s="1419"/>
      <c r="K679" s="1419"/>
      <c r="L679" s="1419"/>
      <c r="M679" s="1419"/>
      <c r="N679" s="1419"/>
      <c r="O679" s="1419"/>
      <c r="P679" s="1419"/>
    </row>
    <row r="680" spans="3:16" ht="18" hidden="1" customHeight="1" x14ac:dyDescent="0.2">
      <c r="C680" s="526" t="str">
        <f t="shared" si="86"/>
        <v/>
      </c>
      <c r="D680" s="1416" t="str">
        <f t="shared" si="87"/>
        <v/>
      </c>
      <c r="E680" s="1416"/>
      <c r="F680" s="1416"/>
      <c r="G680" s="730" t="str">
        <f t="shared" si="88"/>
        <v/>
      </c>
      <c r="H680" s="507"/>
      <c r="I680" s="1419"/>
      <c r="J680" s="1419"/>
      <c r="K680" s="1419"/>
      <c r="L680" s="1419"/>
      <c r="M680" s="1419"/>
      <c r="N680" s="1419"/>
      <c r="O680" s="1419"/>
      <c r="P680" s="1419"/>
    </row>
    <row r="681" spans="3:16" ht="18" hidden="1" customHeight="1" x14ac:dyDescent="0.2">
      <c r="C681" s="526" t="str">
        <f t="shared" si="86"/>
        <v/>
      </c>
      <c r="D681" s="1416" t="str">
        <f t="shared" si="87"/>
        <v/>
      </c>
      <c r="E681" s="1416"/>
      <c r="F681" s="1416"/>
      <c r="G681" s="730" t="str">
        <f t="shared" si="88"/>
        <v/>
      </c>
      <c r="H681" s="507"/>
      <c r="I681" s="1419"/>
      <c r="J681" s="1419"/>
      <c r="K681" s="1419"/>
      <c r="L681" s="1419"/>
      <c r="M681" s="1419"/>
      <c r="N681" s="1419"/>
      <c r="O681" s="1419"/>
      <c r="P681" s="1419"/>
    </row>
    <row r="682" spans="3:16" ht="18" hidden="1" customHeight="1" x14ac:dyDescent="0.2">
      <c r="C682" s="526" t="str">
        <f t="shared" si="86"/>
        <v/>
      </c>
      <c r="D682" s="1416" t="str">
        <f t="shared" si="87"/>
        <v/>
      </c>
      <c r="E682" s="1416"/>
      <c r="F682" s="1416"/>
      <c r="G682" s="730" t="str">
        <f t="shared" si="88"/>
        <v/>
      </c>
      <c r="H682" s="507"/>
      <c r="I682" s="1419"/>
      <c r="J682" s="1419"/>
      <c r="K682" s="1419"/>
      <c r="L682" s="1419"/>
      <c r="M682" s="1419"/>
      <c r="N682" s="1419"/>
      <c r="O682" s="1419"/>
      <c r="P682" s="1419"/>
    </row>
    <row r="683" spans="3:16" ht="18" hidden="1" customHeight="1" x14ac:dyDescent="0.2">
      <c r="C683" s="526" t="str">
        <f t="shared" si="86"/>
        <v/>
      </c>
      <c r="D683" s="1416" t="str">
        <f t="shared" si="87"/>
        <v/>
      </c>
      <c r="E683" s="1416"/>
      <c r="F683" s="1416"/>
      <c r="G683" s="730" t="str">
        <f t="shared" si="88"/>
        <v/>
      </c>
      <c r="H683" s="507"/>
      <c r="I683" s="1419"/>
      <c r="J683" s="1419"/>
      <c r="K683" s="1419"/>
      <c r="L683" s="1419"/>
      <c r="M683" s="1419"/>
      <c r="N683" s="1419"/>
      <c r="O683" s="1419"/>
      <c r="P683" s="1419"/>
    </row>
    <row r="684" spans="3:16" ht="18" hidden="1" customHeight="1" x14ac:dyDescent="0.2">
      <c r="C684" s="526" t="str">
        <f t="shared" si="86"/>
        <v/>
      </c>
      <c r="D684" s="1416" t="str">
        <f t="shared" si="87"/>
        <v/>
      </c>
      <c r="E684" s="1416"/>
      <c r="F684" s="1416"/>
      <c r="G684" s="730" t="str">
        <f t="shared" si="88"/>
        <v/>
      </c>
      <c r="H684" s="507"/>
      <c r="I684" s="1419"/>
      <c r="J684" s="1419"/>
      <c r="K684" s="1419"/>
      <c r="L684" s="1419"/>
      <c r="M684" s="1419"/>
      <c r="N684" s="1419"/>
      <c r="O684" s="1419"/>
      <c r="P684" s="1419"/>
    </row>
    <row r="685" spans="3:16" ht="18" hidden="1" customHeight="1" x14ac:dyDescent="0.2">
      <c r="C685" s="526" t="str">
        <f t="shared" si="86"/>
        <v/>
      </c>
      <c r="D685" s="1416" t="str">
        <f t="shared" si="87"/>
        <v/>
      </c>
      <c r="E685" s="1416"/>
      <c r="F685" s="1416"/>
      <c r="G685" s="730" t="str">
        <f t="shared" si="88"/>
        <v/>
      </c>
      <c r="H685" s="507"/>
      <c r="I685" s="1419"/>
      <c r="J685" s="1419"/>
      <c r="K685" s="1419"/>
      <c r="L685" s="1419"/>
      <c r="M685" s="1419"/>
      <c r="N685" s="1419"/>
      <c r="O685" s="1419"/>
      <c r="P685" s="1419"/>
    </row>
    <row r="686" spans="3:16" ht="18" hidden="1" customHeight="1" x14ac:dyDescent="0.2">
      <c r="C686" s="526" t="str">
        <f t="shared" si="86"/>
        <v/>
      </c>
      <c r="D686" s="1416" t="str">
        <f t="shared" si="87"/>
        <v/>
      </c>
      <c r="E686" s="1416"/>
      <c r="F686" s="1416"/>
      <c r="G686" s="730" t="str">
        <f t="shared" si="88"/>
        <v/>
      </c>
      <c r="H686" s="507"/>
      <c r="I686" s="1419"/>
      <c r="J686" s="1419"/>
      <c r="K686" s="1419"/>
      <c r="L686" s="1419"/>
      <c r="M686" s="1419"/>
      <c r="N686" s="1419"/>
      <c r="O686" s="1419"/>
      <c r="P686" s="1419"/>
    </row>
    <row r="687" spans="3:16" ht="18" hidden="1" customHeight="1" x14ac:dyDescent="0.2">
      <c r="C687" s="526" t="str">
        <f t="shared" si="86"/>
        <v/>
      </c>
      <c r="D687" s="1416" t="str">
        <f t="shared" si="87"/>
        <v/>
      </c>
      <c r="E687" s="1416"/>
      <c r="F687" s="1416"/>
      <c r="G687" s="730" t="str">
        <f t="shared" si="88"/>
        <v/>
      </c>
      <c r="H687" s="507"/>
      <c r="I687" s="1419"/>
      <c r="J687" s="1419"/>
      <c r="K687" s="1419"/>
      <c r="L687" s="1419"/>
      <c r="M687" s="1419"/>
      <c r="N687" s="1419"/>
      <c r="O687" s="1419"/>
      <c r="P687" s="1419"/>
    </row>
    <row r="688" spans="3:16" ht="18" hidden="1" customHeight="1" x14ac:dyDescent="0.2">
      <c r="C688" s="526" t="str">
        <f t="shared" si="86"/>
        <v/>
      </c>
      <c r="D688" s="1416" t="str">
        <f t="shared" si="87"/>
        <v/>
      </c>
      <c r="E688" s="1416"/>
      <c r="F688" s="1416"/>
      <c r="G688" s="730" t="str">
        <f t="shared" si="88"/>
        <v/>
      </c>
      <c r="H688" s="507"/>
      <c r="I688" s="1419"/>
      <c r="J688" s="1419"/>
      <c r="K688" s="1419"/>
      <c r="L688" s="1419"/>
      <c r="M688" s="1419"/>
      <c r="N688" s="1419"/>
      <c r="O688" s="1419"/>
      <c r="P688" s="1419"/>
    </row>
    <row r="689" spans="3:16" ht="18" hidden="1" customHeight="1" x14ac:dyDescent="0.2">
      <c r="C689" s="526" t="str">
        <f t="shared" si="86"/>
        <v/>
      </c>
      <c r="D689" s="1416" t="str">
        <f t="shared" si="87"/>
        <v/>
      </c>
      <c r="E689" s="1416"/>
      <c r="F689" s="1416"/>
      <c r="G689" s="730" t="str">
        <f t="shared" si="88"/>
        <v/>
      </c>
      <c r="H689" s="507"/>
      <c r="I689" s="1419"/>
      <c r="J689" s="1419"/>
      <c r="K689" s="1419"/>
      <c r="L689" s="1419"/>
      <c r="M689" s="1419"/>
      <c r="N689" s="1419"/>
      <c r="O689" s="1419"/>
      <c r="P689" s="1419"/>
    </row>
    <row r="690" spans="3:16" ht="18" hidden="1" customHeight="1" x14ac:dyDescent="0.2">
      <c r="C690" s="526" t="str">
        <f t="shared" si="86"/>
        <v/>
      </c>
      <c r="D690" s="1416" t="str">
        <f t="shared" si="87"/>
        <v/>
      </c>
      <c r="E690" s="1416"/>
      <c r="F690" s="1416"/>
      <c r="G690" s="730" t="str">
        <f t="shared" si="88"/>
        <v/>
      </c>
      <c r="H690" s="507"/>
      <c r="I690" s="1419"/>
      <c r="J690" s="1419"/>
      <c r="K690" s="1419"/>
      <c r="L690" s="1419"/>
      <c r="M690" s="1419"/>
      <c r="N690" s="1419"/>
      <c r="O690" s="1419"/>
      <c r="P690" s="1419"/>
    </row>
    <row r="691" spans="3:16" ht="18" hidden="1" customHeight="1" x14ac:dyDescent="0.2">
      <c r="C691" s="526" t="str">
        <f t="shared" si="86"/>
        <v/>
      </c>
      <c r="D691" s="1416" t="str">
        <f t="shared" si="87"/>
        <v/>
      </c>
      <c r="E691" s="1416"/>
      <c r="F691" s="1416"/>
      <c r="G691" s="730" t="str">
        <f t="shared" si="88"/>
        <v/>
      </c>
      <c r="H691" s="507"/>
      <c r="I691" s="1419"/>
      <c r="J691" s="1419"/>
      <c r="K691" s="1419"/>
      <c r="L691" s="1419"/>
      <c r="M691" s="1419"/>
      <c r="N691" s="1419"/>
      <c r="O691" s="1419"/>
      <c r="P691" s="1419"/>
    </row>
    <row r="692" spans="3:16" ht="18" hidden="1" customHeight="1" x14ac:dyDescent="0.2">
      <c r="C692" s="526" t="str">
        <f t="shared" si="86"/>
        <v/>
      </c>
      <c r="D692" s="1416" t="str">
        <f t="shared" si="87"/>
        <v/>
      </c>
      <c r="E692" s="1416"/>
      <c r="F692" s="1416"/>
      <c r="G692" s="730" t="str">
        <f t="shared" si="88"/>
        <v/>
      </c>
      <c r="H692" s="507"/>
      <c r="I692" s="1419"/>
      <c r="J692" s="1419"/>
      <c r="K692" s="1419"/>
      <c r="L692" s="1419"/>
      <c r="M692" s="1419"/>
      <c r="N692" s="1419"/>
      <c r="O692" s="1419"/>
      <c r="P692" s="1419"/>
    </row>
    <row r="693" spans="3:16" ht="18" hidden="1" customHeight="1" x14ac:dyDescent="0.2">
      <c r="C693" s="526" t="str">
        <f t="shared" si="86"/>
        <v/>
      </c>
      <c r="D693" s="1416" t="str">
        <f t="shared" si="87"/>
        <v/>
      </c>
      <c r="E693" s="1416"/>
      <c r="F693" s="1416"/>
      <c r="G693" s="730" t="str">
        <f t="shared" si="88"/>
        <v/>
      </c>
      <c r="H693" s="507"/>
      <c r="I693" s="1419"/>
      <c r="J693" s="1419"/>
      <c r="K693" s="1419"/>
      <c r="L693" s="1419"/>
      <c r="M693" s="1419"/>
      <c r="N693" s="1419"/>
      <c r="O693" s="1419"/>
      <c r="P693" s="1419"/>
    </row>
    <row r="694" spans="3:16" ht="18" hidden="1" customHeight="1" x14ac:dyDescent="0.2">
      <c r="C694" s="526" t="str">
        <f t="shared" si="86"/>
        <v/>
      </c>
      <c r="D694" s="1416" t="str">
        <f t="shared" si="87"/>
        <v/>
      </c>
      <c r="E694" s="1416"/>
      <c r="F694" s="1416"/>
      <c r="G694" s="730" t="str">
        <f t="shared" si="88"/>
        <v/>
      </c>
      <c r="H694" s="507"/>
      <c r="I694" s="1419"/>
      <c r="J694" s="1419"/>
      <c r="K694" s="1419"/>
      <c r="L694" s="1419"/>
      <c r="M694" s="1419"/>
      <c r="N694" s="1419"/>
      <c r="O694" s="1419"/>
      <c r="P694" s="1419"/>
    </row>
    <row r="695" spans="3:16" ht="18" hidden="1" customHeight="1" x14ac:dyDescent="0.2">
      <c r="C695" s="526" t="str">
        <f t="shared" si="86"/>
        <v/>
      </c>
      <c r="D695" s="1416" t="str">
        <f t="shared" si="87"/>
        <v/>
      </c>
      <c r="E695" s="1416"/>
      <c r="F695" s="1416"/>
      <c r="G695" s="730" t="str">
        <f t="shared" si="88"/>
        <v/>
      </c>
      <c r="H695" s="507"/>
      <c r="I695" s="1419"/>
      <c r="J695" s="1419"/>
      <c r="K695" s="1419"/>
      <c r="L695" s="1419"/>
      <c r="M695" s="1419"/>
      <c r="N695" s="1419"/>
      <c r="O695" s="1419"/>
      <c r="P695" s="1419"/>
    </row>
    <row r="696" spans="3:16" ht="18" hidden="1" customHeight="1" x14ac:dyDescent="0.2">
      <c r="C696" s="526" t="str">
        <f t="shared" si="86"/>
        <v/>
      </c>
      <c r="D696" s="1416" t="str">
        <f t="shared" si="87"/>
        <v/>
      </c>
      <c r="E696" s="1416"/>
      <c r="F696" s="1416"/>
      <c r="G696" s="730" t="str">
        <f t="shared" si="88"/>
        <v/>
      </c>
      <c r="H696" s="507"/>
      <c r="I696" s="1419"/>
      <c r="J696" s="1419"/>
      <c r="K696" s="1419"/>
      <c r="L696" s="1419"/>
      <c r="M696" s="1419"/>
      <c r="N696" s="1419"/>
      <c r="O696" s="1419"/>
      <c r="P696" s="1419"/>
    </row>
    <row r="697" spans="3:16" ht="18" hidden="1" customHeight="1" x14ac:dyDescent="0.2">
      <c r="C697" s="526" t="str">
        <f t="shared" si="86"/>
        <v/>
      </c>
      <c r="D697" s="1416" t="str">
        <f t="shared" si="87"/>
        <v/>
      </c>
      <c r="E697" s="1416"/>
      <c r="F697" s="1416"/>
      <c r="G697" s="730" t="str">
        <f t="shared" si="88"/>
        <v/>
      </c>
      <c r="H697" s="507"/>
      <c r="I697" s="1419"/>
      <c r="J697" s="1419"/>
      <c r="K697" s="1419"/>
      <c r="L697" s="1419"/>
      <c r="M697" s="1419"/>
      <c r="N697" s="1419"/>
      <c r="O697" s="1419"/>
      <c r="P697" s="1419"/>
    </row>
    <row r="698" spans="3:16" ht="18" hidden="1" customHeight="1" x14ac:dyDescent="0.2">
      <c r="C698" s="526" t="str">
        <f t="shared" si="86"/>
        <v/>
      </c>
      <c r="D698" s="1416" t="str">
        <f t="shared" si="87"/>
        <v/>
      </c>
      <c r="E698" s="1416"/>
      <c r="F698" s="1416"/>
      <c r="G698" s="730" t="str">
        <f t="shared" si="88"/>
        <v/>
      </c>
      <c r="H698" s="507"/>
      <c r="I698" s="1419"/>
      <c r="J698" s="1419"/>
      <c r="K698" s="1419"/>
      <c r="L698" s="1419"/>
      <c r="M698" s="1419"/>
      <c r="N698" s="1419"/>
      <c r="O698" s="1419"/>
      <c r="P698" s="1419"/>
    </row>
    <row r="699" spans="3:16" ht="18" hidden="1" customHeight="1" x14ac:dyDescent="0.2">
      <c r="C699" s="526" t="str">
        <f t="shared" si="86"/>
        <v/>
      </c>
      <c r="D699" s="1416" t="str">
        <f t="shared" si="87"/>
        <v/>
      </c>
      <c r="E699" s="1416"/>
      <c r="F699" s="1416"/>
      <c r="G699" s="730" t="str">
        <f t="shared" si="88"/>
        <v/>
      </c>
      <c r="H699" s="507"/>
      <c r="I699" s="1419"/>
      <c r="J699" s="1419"/>
      <c r="K699" s="1419"/>
      <c r="L699" s="1419"/>
      <c r="M699" s="1419"/>
      <c r="N699" s="1419"/>
      <c r="O699" s="1419"/>
      <c r="P699" s="1419"/>
    </row>
    <row r="700" spans="3:16" ht="18" hidden="1" customHeight="1" x14ac:dyDescent="0.2">
      <c r="C700" s="526" t="str">
        <f t="shared" si="86"/>
        <v/>
      </c>
      <c r="D700" s="1416" t="str">
        <f t="shared" si="87"/>
        <v/>
      </c>
      <c r="E700" s="1416"/>
      <c r="F700" s="1416"/>
      <c r="G700" s="730" t="str">
        <f t="shared" si="88"/>
        <v/>
      </c>
      <c r="H700" s="507"/>
      <c r="I700" s="1419"/>
      <c r="J700" s="1419"/>
      <c r="K700" s="1419"/>
      <c r="L700" s="1419"/>
      <c r="M700" s="1419"/>
      <c r="N700" s="1419"/>
      <c r="O700" s="1419"/>
      <c r="P700" s="1419"/>
    </row>
    <row r="701" spans="3:16" ht="18" hidden="1" customHeight="1" x14ac:dyDescent="0.2">
      <c r="C701" s="526" t="str">
        <f t="shared" si="86"/>
        <v/>
      </c>
      <c r="D701" s="1416" t="str">
        <f t="shared" si="87"/>
        <v/>
      </c>
      <c r="E701" s="1416"/>
      <c r="F701" s="1416"/>
      <c r="G701" s="730" t="str">
        <f t="shared" si="88"/>
        <v/>
      </c>
      <c r="H701" s="507"/>
      <c r="I701" s="1419"/>
      <c r="J701" s="1419"/>
      <c r="K701" s="1419"/>
      <c r="L701" s="1419"/>
      <c r="M701" s="1419"/>
      <c r="N701" s="1419"/>
      <c r="O701" s="1419"/>
      <c r="P701" s="1419"/>
    </row>
    <row r="702" spans="3:16" ht="18" hidden="1" customHeight="1" x14ac:dyDescent="0.2">
      <c r="C702" s="526" t="str">
        <f t="shared" si="86"/>
        <v/>
      </c>
      <c r="D702" s="1416" t="str">
        <f t="shared" si="87"/>
        <v/>
      </c>
      <c r="E702" s="1416"/>
      <c r="F702" s="1416"/>
      <c r="G702" s="730" t="str">
        <f t="shared" si="88"/>
        <v/>
      </c>
      <c r="H702" s="507"/>
      <c r="I702" s="1419"/>
      <c r="J702" s="1419"/>
      <c r="K702" s="1419"/>
      <c r="L702" s="1419"/>
      <c r="M702" s="1419"/>
      <c r="N702" s="1419"/>
      <c r="O702" s="1419"/>
      <c r="P702" s="1419"/>
    </row>
    <row r="703" spans="3:16" ht="18" hidden="1" customHeight="1" x14ac:dyDescent="0.2">
      <c r="C703" s="526" t="str">
        <f t="shared" si="86"/>
        <v/>
      </c>
      <c r="D703" s="1416" t="str">
        <f t="shared" si="87"/>
        <v/>
      </c>
      <c r="E703" s="1416"/>
      <c r="F703" s="1416"/>
      <c r="G703" s="730" t="str">
        <f t="shared" si="88"/>
        <v/>
      </c>
      <c r="H703" s="507"/>
      <c r="I703" s="1419"/>
      <c r="J703" s="1419"/>
      <c r="K703" s="1419"/>
      <c r="L703" s="1419"/>
      <c r="M703" s="1419"/>
      <c r="N703" s="1419"/>
      <c r="O703" s="1419"/>
      <c r="P703" s="1419"/>
    </row>
    <row r="704" spans="3:16" ht="18" hidden="1" customHeight="1" x14ac:dyDescent="0.2">
      <c r="C704" s="526" t="str">
        <f t="shared" si="86"/>
        <v/>
      </c>
      <c r="D704" s="1416" t="str">
        <f t="shared" si="87"/>
        <v/>
      </c>
      <c r="E704" s="1416"/>
      <c r="F704" s="1416"/>
      <c r="G704" s="730" t="str">
        <f t="shared" si="88"/>
        <v/>
      </c>
      <c r="H704" s="507"/>
      <c r="I704" s="1419"/>
      <c r="J704" s="1419"/>
      <c r="K704" s="1419"/>
      <c r="L704" s="1419"/>
      <c r="M704" s="1419"/>
      <c r="N704" s="1419"/>
      <c r="O704" s="1419"/>
      <c r="P704" s="1419"/>
    </row>
    <row r="705" spans="3:16" ht="18" hidden="1" customHeight="1" x14ac:dyDescent="0.2">
      <c r="C705" s="526" t="str">
        <f t="shared" si="86"/>
        <v/>
      </c>
      <c r="D705" s="1416" t="str">
        <f t="shared" si="87"/>
        <v/>
      </c>
      <c r="E705" s="1416"/>
      <c r="F705" s="1416"/>
      <c r="G705" s="730" t="str">
        <f t="shared" si="88"/>
        <v/>
      </c>
      <c r="H705" s="507"/>
      <c r="I705" s="1419"/>
      <c r="J705" s="1419"/>
      <c r="K705" s="1419"/>
      <c r="L705" s="1419"/>
      <c r="M705" s="1419"/>
      <c r="N705" s="1419"/>
      <c r="O705" s="1419"/>
      <c r="P705" s="1419"/>
    </row>
    <row r="706" spans="3:16" ht="18" hidden="1" customHeight="1" x14ac:dyDescent="0.2">
      <c r="C706" s="526" t="str">
        <f t="shared" si="86"/>
        <v/>
      </c>
      <c r="D706" s="1416" t="str">
        <f t="shared" si="87"/>
        <v/>
      </c>
      <c r="E706" s="1416"/>
      <c r="F706" s="1416"/>
      <c r="G706" s="730" t="str">
        <f t="shared" si="88"/>
        <v/>
      </c>
      <c r="H706" s="507"/>
      <c r="I706" s="1419"/>
      <c r="J706" s="1419"/>
      <c r="K706" s="1419"/>
      <c r="L706" s="1419"/>
      <c r="M706" s="1419"/>
      <c r="N706" s="1419"/>
      <c r="O706" s="1419"/>
      <c r="P706" s="1419"/>
    </row>
    <row r="707" spans="3:16" ht="18" hidden="1" customHeight="1" x14ac:dyDescent="0.2">
      <c r="C707" s="526" t="str">
        <f t="shared" si="86"/>
        <v/>
      </c>
      <c r="D707" s="1416" t="str">
        <f t="shared" si="87"/>
        <v/>
      </c>
      <c r="E707" s="1416"/>
      <c r="F707" s="1416"/>
      <c r="G707" s="730" t="str">
        <f t="shared" si="88"/>
        <v/>
      </c>
      <c r="H707" s="507"/>
      <c r="I707" s="1419"/>
      <c r="J707" s="1419"/>
      <c r="K707" s="1419"/>
      <c r="L707" s="1419"/>
      <c r="M707" s="1419"/>
      <c r="N707" s="1419"/>
      <c r="O707" s="1419"/>
      <c r="P707" s="1419"/>
    </row>
    <row r="708" spans="3:16" ht="18" hidden="1" customHeight="1" x14ac:dyDescent="0.2">
      <c r="C708" s="526" t="str">
        <f t="shared" si="86"/>
        <v/>
      </c>
      <c r="D708" s="1416" t="str">
        <f t="shared" si="87"/>
        <v/>
      </c>
      <c r="E708" s="1416"/>
      <c r="F708" s="1416"/>
      <c r="G708" s="730" t="str">
        <f t="shared" si="88"/>
        <v/>
      </c>
      <c r="H708" s="507"/>
      <c r="I708" s="1419"/>
      <c r="J708" s="1419"/>
      <c r="K708" s="1419"/>
      <c r="L708" s="1419"/>
      <c r="M708" s="1419"/>
      <c r="N708" s="1419"/>
      <c r="O708" s="1419"/>
      <c r="P708" s="1419"/>
    </row>
    <row r="709" spans="3:16" ht="18" hidden="1" customHeight="1" x14ac:dyDescent="0.2">
      <c r="C709" s="526" t="str">
        <f t="shared" si="86"/>
        <v/>
      </c>
      <c r="D709" s="1416" t="str">
        <f t="shared" si="87"/>
        <v/>
      </c>
      <c r="E709" s="1416"/>
      <c r="F709" s="1416"/>
      <c r="G709" s="730" t="str">
        <f t="shared" si="88"/>
        <v/>
      </c>
      <c r="H709" s="507"/>
      <c r="I709" s="1419"/>
      <c r="J709" s="1419"/>
      <c r="K709" s="1419"/>
      <c r="L709" s="1419"/>
      <c r="M709" s="1419"/>
      <c r="N709" s="1419"/>
      <c r="O709" s="1419"/>
      <c r="P709" s="1419"/>
    </row>
    <row r="710" spans="3:16" ht="18" hidden="1" customHeight="1" x14ac:dyDescent="0.2">
      <c r="C710" s="526" t="str">
        <f t="shared" si="86"/>
        <v/>
      </c>
      <c r="D710" s="1416" t="str">
        <f t="shared" si="87"/>
        <v/>
      </c>
      <c r="E710" s="1416"/>
      <c r="F710" s="1416"/>
      <c r="G710" s="730" t="str">
        <f t="shared" si="88"/>
        <v/>
      </c>
      <c r="H710" s="507"/>
      <c r="I710" s="1419"/>
      <c r="J710" s="1419"/>
      <c r="K710" s="1419"/>
      <c r="L710" s="1419"/>
      <c r="M710" s="1419"/>
      <c r="N710" s="1419"/>
      <c r="O710" s="1419"/>
      <c r="P710" s="1419"/>
    </row>
    <row r="711" spans="3:16" ht="18" hidden="1" customHeight="1" x14ac:dyDescent="0.2">
      <c r="C711" s="526" t="str">
        <f t="shared" si="86"/>
        <v/>
      </c>
      <c r="D711" s="1416" t="str">
        <f t="shared" si="87"/>
        <v/>
      </c>
      <c r="E711" s="1416"/>
      <c r="F711" s="1416"/>
      <c r="G711" s="730" t="str">
        <f t="shared" si="88"/>
        <v/>
      </c>
      <c r="H711" s="507"/>
      <c r="I711" s="1419"/>
      <c r="J711" s="1419"/>
      <c r="K711" s="1419"/>
      <c r="L711" s="1419"/>
      <c r="M711" s="1419"/>
      <c r="N711" s="1419"/>
      <c r="O711" s="1419"/>
      <c r="P711" s="1419"/>
    </row>
    <row r="712" spans="3:16" ht="18" hidden="1" customHeight="1" x14ac:dyDescent="0.2">
      <c r="C712" s="526" t="str">
        <f t="shared" si="86"/>
        <v/>
      </c>
      <c r="D712" s="1416" t="str">
        <f t="shared" si="87"/>
        <v/>
      </c>
      <c r="E712" s="1416"/>
      <c r="F712" s="1416"/>
      <c r="G712" s="730" t="str">
        <f t="shared" si="88"/>
        <v/>
      </c>
      <c r="H712" s="507"/>
      <c r="I712" s="1419"/>
      <c r="J712" s="1419"/>
      <c r="K712" s="1419"/>
      <c r="L712" s="1419"/>
      <c r="M712" s="1419"/>
      <c r="N712" s="1419"/>
      <c r="O712" s="1419"/>
      <c r="P712" s="1419"/>
    </row>
    <row r="713" spans="3:16" ht="18" hidden="1" customHeight="1" x14ac:dyDescent="0.2">
      <c r="C713" s="526" t="str">
        <f t="shared" si="86"/>
        <v/>
      </c>
      <c r="D713" s="1416" t="str">
        <f t="shared" si="87"/>
        <v/>
      </c>
      <c r="E713" s="1416"/>
      <c r="F713" s="1416"/>
      <c r="G713" s="730" t="str">
        <f t="shared" si="88"/>
        <v/>
      </c>
      <c r="H713" s="507"/>
      <c r="I713" s="1419"/>
      <c r="J713" s="1419"/>
      <c r="K713" s="1419"/>
      <c r="L713" s="1419"/>
      <c r="M713" s="1419"/>
      <c r="N713" s="1419"/>
      <c r="O713" s="1419"/>
      <c r="P713" s="1419"/>
    </row>
    <row r="714" spans="3:16" ht="18" hidden="1" customHeight="1" x14ac:dyDescent="0.2">
      <c r="C714" s="526" t="str">
        <f t="shared" si="86"/>
        <v/>
      </c>
      <c r="D714" s="1416" t="str">
        <f t="shared" si="87"/>
        <v/>
      </c>
      <c r="E714" s="1416"/>
      <c r="F714" s="1416"/>
      <c r="G714" s="730" t="str">
        <f t="shared" si="88"/>
        <v/>
      </c>
      <c r="H714" s="507"/>
      <c r="I714" s="1419"/>
      <c r="J714" s="1419"/>
      <c r="K714" s="1419"/>
      <c r="L714" s="1419"/>
      <c r="M714" s="1419"/>
      <c r="N714" s="1419"/>
      <c r="O714" s="1419"/>
      <c r="P714" s="1419"/>
    </row>
    <row r="715" spans="3:16" ht="18" hidden="1" customHeight="1" x14ac:dyDescent="0.2">
      <c r="C715" s="526" t="str">
        <f t="shared" si="86"/>
        <v/>
      </c>
      <c r="D715" s="1416" t="str">
        <f t="shared" si="87"/>
        <v/>
      </c>
      <c r="E715" s="1416"/>
      <c r="F715" s="1416"/>
      <c r="G715" s="730" t="str">
        <f t="shared" si="88"/>
        <v/>
      </c>
      <c r="H715" s="507"/>
      <c r="I715" s="1419"/>
      <c r="J715" s="1419"/>
      <c r="K715" s="1419"/>
      <c r="L715" s="1419"/>
      <c r="M715" s="1419"/>
      <c r="N715" s="1419"/>
      <c r="O715" s="1419"/>
      <c r="P715" s="1419"/>
    </row>
    <row r="716" spans="3:16" ht="18" hidden="1" customHeight="1" x14ac:dyDescent="0.2">
      <c r="C716" s="526" t="str">
        <f t="shared" si="86"/>
        <v/>
      </c>
      <c r="D716" s="1416" t="str">
        <f t="shared" si="87"/>
        <v/>
      </c>
      <c r="E716" s="1416"/>
      <c r="F716" s="1416"/>
      <c r="G716" s="730" t="str">
        <f t="shared" si="88"/>
        <v/>
      </c>
      <c r="H716" s="507"/>
      <c r="I716" s="1419"/>
      <c r="J716" s="1419"/>
      <c r="K716" s="1419"/>
      <c r="L716" s="1419"/>
      <c r="M716" s="1419"/>
      <c r="N716" s="1419"/>
      <c r="O716" s="1419"/>
      <c r="P716" s="1419"/>
    </row>
    <row r="717" spans="3:16" ht="18" hidden="1" customHeight="1" x14ac:dyDescent="0.2">
      <c r="C717" s="526" t="str">
        <f t="shared" si="86"/>
        <v/>
      </c>
      <c r="D717" s="1416" t="str">
        <f t="shared" si="87"/>
        <v/>
      </c>
      <c r="E717" s="1416"/>
      <c r="F717" s="1416"/>
      <c r="G717" s="730" t="str">
        <f t="shared" si="88"/>
        <v/>
      </c>
      <c r="H717" s="507"/>
      <c r="I717" s="1419"/>
      <c r="J717" s="1419"/>
      <c r="K717" s="1419"/>
      <c r="L717" s="1419"/>
      <c r="M717" s="1419"/>
      <c r="N717" s="1419"/>
      <c r="O717" s="1419"/>
      <c r="P717" s="1419"/>
    </row>
    <row r="718" spans="3:16" ht="18" hidden="1" customHeight="1" x14ac:dyDescent="0.2">
      <c r="C718" s="526" t="str">
        <f t="shared" si="86"/>
        <v/>
      </c>
      <c r="D718" s="1416" t="str">
        <f t="shared" si="87"/>
        <v/>
      </c>
      <c r="E718" s="1416"/>
      <c r="F718" s="1416"/>
      <c r="G718" s="730" t="str">
        <f t="shared" si="88"/>
        <v/>
      </c>
      <c r="H718" s="507"/>
      <c r="I718" s="1419"/>
      <c r="J718" s="1419"/>
      <c r="K718" s="1419"/>
      <c r="L718" s="1419"/>
      <c r="M718" s="1419"/>
      <c r="N718" s="1419"/>
      <c r="O718" s="1419"/>
      <c r="P718" s="1419"/>
    </row>
    <row r="719" spans="3:16" ht="18" hidden="1" customHeight="1" x14ac:dyDescent="0.2">
      <c r="C719" s="526" t="str">
        <f t="shared" si="86"/>
        <v/>
      </c>
      <c r="D719" s="1416" t="str">
        <f t="shared" si="87"/>
        <v/>
      </c>
      <c r="E719" s="1416"/>
      <c r="F719" s="1416"/>
      <c r="G719" s="730" t="str">
        <f t="shared" si="88"/>
        <v/>
      </c>
      <c r="H719" s="507"/>
      <c r="I719" s="1419"/>
      <c r="J719" s="1419"/>
      <c r="K719" s="1419"/>
      <c r="L719" s="1419"/>
      <c r="M719" s="1419"/>
      <c r="N719" s="1419"/>
      <c r="O719" s="1419"/>
      <c r="P719" s="1419"/>
    </row>
    <row r="720" spans="3:16" ht="18" hidden="1" customHeight="1" x14ac:dyDescent="0.2">
      <c r="C720" s="526" t="str">
        <f t="shared" si="86"/>
        <v/>
      </c>
      <c r="D720" s="1416" t="str">
        <f t="shared" si="87"/>
        <v/>
      </c>
      <c r="E720" s="1416"/>
      <c r="F720" s="1416"/>
      <c r="G720" s="730" t="str">
        <f t="shared" si="88"/>
        <v/>
      </c>
      <c r="H720" s="507"/>
      <c r="I720" s="1419"/>
      <c r="J720" s="1419"/>
      <c r="K720" s="1419"/>
      <c r="L720" s="1419"/>
      <c r="M720" s="1419"/>
      <c r="N720" s="1419"/>
      <c r="O720" s="1419"/>
      <c r="P720" s="1419"/>
    </row>
    <row r="721" spans="3:16" ht="18" hidden="1" customHeight="1" x14ac:dyDescent="0.2">
      <c r="C721" s="526" t="str">
        <f t="shared" ref="C721:C752" si="89">IF(A464="Si",C464,"")</f>
        <v/>
      </c>
      <c r="D721" s="1416" t="str">
        <f t="shared" ref="D721:D777" si="90">IF(A464="Si",D464,"")</f>
        <v/>
      </c>
      <c r="E721" s="1416"/>
      <c r="F721" s="1416"/>
      <c r="G721" s="730" t="str">
        <f t="shared" ref="G721:G777" si="91">IF(A464="Si",M464,"")</f>
        <v/>
      </c>
      <c r="H721" s="507"/>
      <c r="I721" s="1419"/>
      <c r="J721" s="1419"/>
      <c r="K721" s="1419"/>
      <c r="L721" s="1419"/>
      <c r="M721" s="1419"/>
      <c r="N721" s="1419"/>
      <c r="O721" s="1419"/>
      <c r="P721" s="1419"/>
    </row>
    <row r="722" spans="3:16" ht="18" hidden="1" customHeight="1" x14ac:dyDescent="0.2">
      <c r="C722" s="526" t="str">
        <f t="shared" si="89"/>
        <v/>
      </c>
      <c r="D722" s="1416" t="str">
        <f t="shared" si="90"/>
        <v/>
      </c>
      <c r="E722" s="1416"/>
      <c r="F722" s="1416"/>
      <c r="G722" s="730" t="str">
        <f t="shared" si="91"/>
        <v/>
      </c>
      <c r="H722" s="507"/>
      <c r="I722" s="1419"/>
      <c r="J722" s="1419"/>
      <c r="K722" s="1419"/>
      <c r="L722" s="1419"/>
      <c r="M722" s="1419"/>
      <c r="N722" s="1419"/>
      <c r="O722" s="1419"/>
      <c r="P722" s="1419"/>
    </row>
    <row r="723" spans="3:16" ht="18" hidden="1" customHeight="1" x14ac:dyDescent="0.2">
      <c r="C723" s="526" t="str">
        <f t="shared" si="89"/>
        <v/>
      </c>
      <c r="D723" s="1416" t="str">
        <f t="shared" si="90"/>
        <v/>
      </c>
      <c r="E723" s="1416"/>
      <c r="F723" s="1416"/>
      <c r="G723" s="730" t="str">
        <f t="shared" si="91"/>
        <v/>
      </c>
      <c r="H723" s="507"/>
      <c r="I723" s="1419"/>
      <c r="J723" s="1419"/>
      <c r="K723" s="1419"/>
      <c r="L723" s="1419"/>
      <c r="M723" s="1419"/>
      <c r="N723" s="1419"/>
      <c r="O723" s="1419"/>
      <c r="P723" s="1419"/>
    </row>
    <row r="724" spans="3:16" ht="18" hidden="1" customHeight="1" x14ac:dyDescent="0.2">
      <c r="C724" s="526" t="str">
        <f t="shared" si="89"/>
        <v/>
      </c>
      <c r="D724" s="1416" t="str">
        <f t="shared" si="90"/>
        <v/>
      </c>
      <c r="E724" s="1416"/>
      <c r="F724" s="1416"/>
      <c r="G724" s="730" t="str">
        <f t="shared" si="91"/>
        <v/>
      </c>
      <c r="H724" s="507"/>
      <c r="I724" s="1419"/>
      <c r="J724" s="1419"/>
      <c r="K724" s="1419"/>
      <c r="L724" s="1419"/>
      <c r="M724" s="1419"/>
      <c r="N724" s="1419"/>
      <c r="O724" s="1419"/>
      <c r="P724" s="1419"/>
    </row>
    <row r="725" spans="3:16" ht="18" hidden="1" customHeight="1" x14ac:dyDescent="0.2">
      <c r="C725" s="526" t="str">
        <f t="shared" si="89"/>
        <v/>
      </c>
      <c r="D725" s="1416" t="str">
        <f t="shared" si="90"/>
        <v/>
      </c>
      <c r="E725" s="1416"/>
      <c r="F725" s="1416"/>
      <c r="G725" s="730" t="str">
        <f t="shared" si="91"/>
        <v/>
      </c>
      <c r="H725" s="507"/>
      <c r="I725" s="1419"/>
      <c r="J725" s="1419"/>
      <c r="K725" s="1419"/>
      <c r="L725" s="1419"/>
      <c r="M725" s="1419"/>
      <c r="N725" s="1419"/>
      <c r="O725" s="1419"/>
      <c r="P725" s="1419"/>
    </row>
    <row r="726" spans="3:16" ht="18" hidden="1" customHeight="1" x14ac:dyDescent="0.2">
      <c r="C726" s="526" t="str">
        <f t="shared" si="89"/>
        <v/>
      </c>
      <c r="D726" s="1416" t="str">
        <f t="shared" si="90"/>
        <v/>
      </c>
      <c r="E726" s="1416"/>
      <c r="F726" s="1416"/>
      <c r="G726" s="730" t="str">
        <f t="shared" si="91"/>
        <v/>
      </c>
      <c r="H726" s="507"/>
      <c r="I726" s="1419"/>
      <c r="J726" s="1419"/>
      <c r="K726" s="1419"/>
      <c r="L726" s="1419"/>
      <c r="M726" s="1419"/>
      <c r="N726" s="1419"/>
      <c r="O726" s="1419"/>
      <c r="P726" s="1419"/>
    </row>
    <row r="727" spans="3:16" ht="18" hidden="1" customHeight="1" x14ac:dyDescent="0.2">
      <c r="C727" s="526" t="str">
        <f t="shared" si="89"/>
        <v/>
      </c>
      <c r="D727" s="1416" t="str">
        <f t="shared" si="90"/>
        <v/>
      </c>
      <c r="E727" s="1416"/>
      <c r="F727" s="1416"/>
      <c r="G727" s="730" t="str">
        <f t="shared" si="91"/>
        <v/>
      </c>
      <c r="H727" s="507"/>
      <c r="I727" s="1419"/>
      <c r="J727" s="1419"/>
      <c r="K727" s="1419"/>
      <c r="L727" s="1419"/>
      <c r="M727" s="1419"/>
      <c r="N727" s="1419"/>
      <c r="O727" s="1419"/>
      <c r="P727" s="1419"/>
    </row>
    <row r="728" spans="3:16" ht="18" hidden="1" customHeight="1" x14ac:dyDescent="0.2">
      <c r="C728" s="526" t="str">
        <f t="shared" si="89"/>
        <v/>
      </c>
      <c r="D728" s="1416" t="str">
        <f t="shared" si="90"/>
        <v/>
      </c>
      <c r="E728" s="1416"/>
      <c r="F728" s="1416"/>
      <c r="G728" s="730" t="str">
        <f t="shared" si="91"/>
        <v/>
      </c>
      <c r="H728" s="507"/>
      <c r="I728" s="1419"/>
      <c r="J728" s="1419"/>
      <c r="K728" s="1419"/>
      <c r="L728" s="1419"/>
      <c r="M728" s="1419"/>
      <c r="N728" s="1419"/>
      <c r="O728" s="1419"/>
      <c r="P728" s="1419"/>
    </row>
    <row r="729" spans="3:16" ht="18" hidden="1" customHeight="1" x14ac:dyDescent="0.2">
      <c r="C729" s="526" t="str">
        <f t="shared" si="89"/>
        <v/>
      </c>
      <c r="D729" s="1416" t="str">
        <f t="shared" si="90"/>
        <v/>
      </c>
      <c r="E729" s="1416"/>
      <c r="F729" s="1416"/>
      <c r="G729" s="730" t="str">
        <f t="shared" si="91"/>
        <v/>
      </c>
      <c r="H729" s="507"/>
      <c r="I729" s="1419"/>
      <c r="J729" s="1419"/>
      <c r="K729" s="1419"/>
      <c r="L729" s="1419"/>
      <c r="M729" s="1419"/>
      <c r="N729" s="1419"/>
      <c r="O729" s="1419"/>
      <c r="P729" s="1419"/>
    </row>
    <row r="730" spans="3:16" ht="18" hidden="1" customHeight="1" x14ac:dyDescent="0.2">
      <c r="C730" s="526" t="str">
        <f t="shared" si="89"/>
        <v/>
      </c>
      <c r="D730" s="1416" t="str">
        <f t="shared" si="90"/>
        <v/>
      </c>
      <c r="E730" s="1416"/>
      <c r="F730" s="1416"/>
      <c r="G730" s="730" t="str">
        <f t="shared" si="91"/>
        <v/>
      </c>
      <c r="H730" s="507"/>
      <c r="I730" s="1419"/>
      <c r="J730" s="1419"/>
      <c r="K730" s="1419"/>
      <c r="L730" s="1419"/>
      <c r="M730" s="1419"/>
      <c r="N730" s="1419"/>
      <c r="O730" s="1419"/>
      <c r="P730" s="1419"/>
    </row>
    <row r="731" spans="3:16" ht="18" hidden="1" customHeight="1" x14ac:dyDescent="0.2">
      <c r="C731" s="526" t="str">
        <f t="shared" si="89"/>
        <v/>
      </c>
      <c r="D731" s="1416" t="str">
        <f t="shared" si="90"/>
        <v/>
      </c>
      <c r="E731" s="1416"/>
      <c r="F731" s="1416"/>
      <c r="G731" s="730" t="str">
        <f t="shared" si="91"/>
        <v/>
      </c>
      <c r="H731" s="507"/>
      <c r="I731" s="1419"/>
      <c r="J731" s="1419"/>
      <c r="K731" s="1419"/>
      <c r="L731" s="1419"/>
      <c r="M731" s="1419"/>
      <c r="N731" s="1419"/>
      <c r="O731" s="1419"/>
      <c r="P731" s="1419"/>
    </row>
    <row r="732" spans="3:16" ht="18" hidden="1" customHeight="1" x14ac:dyDescent="0.2">
      <c r="C732" s="526" t="str">
        <f t="shared" si="89"/>
        <v/>
      </c>
      <c r="D732" s="1416" t="str">
        <f t="shared" si="90"/>
        <v/>
      </c>
      <c r="E732" s="1416"/>
      <c r="F732" s="1416"/>
      <c r="G732" s="730" t="str">
        <f t="shared" si="91"/>
        <v/>
      </c>
      <c r="H732" s="507"/>
      <c r="I732" s="1419"/>
      <c r="J732" s="1419"/>
      <c r="K732" s="1419"/>
      <c r="L732" s="1419"/>
      <c r="M732" s="1419"/>
      <c r="N732" s="1419"/>
      <c r="O732" s="1419"/>
      <c r="P732" s="1419"/>
    </row>
    <row r="733" spans="3:16" ht="18" hidden="1" customHeight="1" x14ac:dyDescent="0.2">
      <c r="C733" s="526" t="str">
        <f t="shared" si="89"/>
        <v/>
      </c>
      <c r="D733" s="1416" t="str">
        <f t="shared" si="90"/>
        <v/>
      </c>
      <c r="E733" s="1416"/>
      <c r="F733" s="1416"/>
      <c r="G733" s="730" t="str">
        <f t="shared" si="91"/>
        <v/>
      </c>
      <c r="H733" s="507"/>
      <c r="I733" s="1419"/>
      <c r="J733" s="1419"/>
      <c r="K733" s="1419"/>
      <c r="L733" s="1419"/>
      <c r="M733" s="1419"/>
      <c r="N733" s="1419"/>
      <c r="O733" s="1419"/>
      <c r="P733" s="1419"/>
    </row>
    <row r="734" spans="3:16" ht="18" hidden="1" customHeight="1" x14ac:dyDescent="0.2">
      <c r="C734" s="526" t="str">
        <f t="shared" si="89"/>
        <v/>
      </c>
      <c r="D734" s="1416" t="str">
        <f t="shared" si="90"/>
        <v/>
      </c>
      <c r="E734" s="1416"/>
      <c r="F734" s="1416"/>
      <c r="G734" s="730" t="str">
        <f t="shared" si="91"/>
        <v/>
      </c>
      <c r="H734" s="507"/>
      <c r="I734" s="1419"/>
      <c r="J734" s="1419"/>
      <c r="K734" s="1419"/>
      <c r="L734" s="1419"/>
      <c r="M734" s="1419"/>
      <c r="N734" s="1419"/>
      <c r="O734" s="1419"/>
      <c r="P734" s="1419"/>
    </row>
    <row r="735" spans="3:16" ht="18" hidden="1" customHeight="1" x14ac:dyDescent="0.2">
      <c r="C735" s="526" t="str">
        <f t="shared" si="89"/>
        <v/>
      </c>
      <c r="D735" s="1416" t="str">
        <f t="shared" si="90"/>
        <v/>
      </c>
      <c r="E735" s="1416"/>
      <c r="F735" s="1416"/>
      <c r="G735" s="730" t="str">
        <f t="shared" si="91"/>
        <v/>
      </c>
      <c r="H735" s="507"/>
      <c r="I735" s="1419"/>
      <c r="J735" s="1419"/>
      <c r="K735" s="1419"/>
      <c r="L735" s="1419"/>
      <c r="M735" s="1419"/>
      <c r="N735" s="1419"/>
      <c r="O735" s="1419"/>
      <c r="P735" s="1419"/>
    </row>
    <row r="736" spans="3:16" ht="18" hidden="1" customHeight="1" x14ac:dyDescent="0.2">
      <c r="C736" s="526" t="str">
        <f t="shared" si="89"/>
        <v/>
      </c>
      <c r="D736" s="1416" t="str">
        <f t="shared" si="90"/>
        <v/>
      </c>
      <c r="E736" s="1416"/>
      <c r="F736" s="1416"/>
      <c r="G736" s="730" t="str">
        <f t="shared" si="91"/>
        <v/>
      </c>
      <c r="H736" s="507"/>
      <c r="I736" s="1419"/>
      <c r="J736" s="1419"/>
      <c r="K736" s="1419"/>
      <c r="L736" s="1419"/>
      <c r="M736" s="1419"/>
      <c r="N736" s="1419"/>
      <c r="O736" s="1419"/>
      <c r="P736" s="1419"/>
    </row>
    <row r="737" spans="3:16" ht="18" hidden="1" customHeight="1" x14ac:dyDescent="0.2">
      <c r="C737" s="526" t="str">
        <f t="shared" si="89"/>
        <v/>
      </c>
      <c r="D737" s="1416" t="str">
        <f t="shared" si="90"/>
        <v/>
      </c>
      <c r="E737" s="1416"/>
      <c r="F737" s="1416"/>
      <c r="G737" s="730" t="str">
        <f t="shared" si="91"/>
        <v/>
      </c>
      <c r="H737" s="507"/>
      <c r="I737" s="1419"/>
      <c r="J737" s="1419"/>
      <c r="K737" s="1419"/>
      <c r="L737" s="1419"/>
      <c r="M737" s="1419"/>
      <c r="N737" s="1419"/>
      <c r="O737" s="1419"/>
      <c r="P737" s="1419"/>
    </row>
    <row r="738" spans="3:16" ht="18" hidden="1" customHeight="1" x14ac:dyDescent="0.2">
      <c r="C738" s="526" t="str">
        <f t="shared" si="89"/>
        <v/>
      </c>
      <c r="D738" s="1416" t="str">
        <f t="shared" si="90"/>
        <v/>
      </c>
      <c r="E738" s="1416"/>
      <c r="F738" s="1416"/>
      <c r="G738" s="730" t="str">
        <f t="shared" si="91"/>
        <v/>
      </c>
      <c r="H738" s="507"/>
      <c r="I738" s="1419"/>
      <c r="J738" s="1419"/>
      <c r="K738" s="1419"/>
      <c r="L738" s="1419"/>
      <c r="M738" s="1419"/>
      <c r="N738" s="1419"/>
      <c r="O738" s="1419"/>
      <c r="P738" s="1419"/>
    </row>
    <row r="739" spans="3:16" ht="18" hidden="1" customHeight="1" x14ac:dyDescent="0.2">
      <c r="C739" s="526" t="str">
        <f t="shared" si="89"/>
        <v/>
      </c>
      <c r="D739" s="1416" t="str">
        <f t="shared" si="90"/>
        <v/>
      </c>
      <c r="E739" s="1416"/>
      <c r="F739" s="1416"/>
      <c r="G739" s="730" t="str">
        <f t="shared" si="91"/>
        <v/>
      </c>
      <c r="H739" s="507"/>
      <c r="I739" s="1419"/>
      <c r="J739" s="1419"/>
      <c r="K739" s="1419"/>
      <c r="L739" s="1419"/>
      <c r="M739" s="1419"/>
      <c r="N739" s="1419"/>
      <c r="O739" s="1419"/>
      <c r="P739" s="1419"/>
    </row>
    <row r="740" spans="3:16" ht="18" hidden="1" customHeight="1" x14ac:dyDescent="0.2">
      <c r="C740" s="526" t="str">
        <f t="shared" si="89"/>
        <v/>
      </c>
      <c r="D740" s="1416" t="str">
        <f t="shared" si="90"/>
        <v/>
      </c>
      <c r="E740" s="1416"/>
      <c r="F740" s="1416"/>
      <c r="G740" s="730" t="str">
        <f t="shared" si="91"/>
        <v/>
      </c>
      <c r="H740" s="507"/>
      <c r="I740" s="1419"/>
      <c r="J740" s="1419"/>
      <c r="K740" s="1419"/>
      <c r="L740" s="1419"/>
      <c r="M740" s="1419"/>
      <c r="N740" s="1419"/>
      <c r="O740" s="1419"/>
      <c r="P740" s="1419"/>
    </row>
    <row r="741" spans="3:16" ht="18" hidden="1" customHeight="1" x14ac:dyDescent="0.2">
      <c r="C741" s="526" t="str">
        <f t="shared" si="89"/>
        <v/>
      </c>
      <c r="D741" s="1416" t="str">
        <f t="shared" si="90"/>
        <v/>
      </c>
      <c r="E741" s="1416"/>
      <c r="F741" s="1416"/>
      <c r="G741" s="730" t="str">
        <f t="shared" si="91"/>
        <v/>
      </c>
      <c r="H741" s="507"/>
      <c r="I741" s="1419"/>
      <c r="J741" s="1419"/>
      <c r="K741" s="1419"/>
      <c r="L741" s="1419"/>
      <c r="M741" s="1419"/>
      <c r="N741" s="1419"/>
      <c r="O741" s="1419"/>
      <c r="P741" s="1419"/>
    </row>
    <row r="742" spans="3:16" ht="18" hidden="1" customHeight="1" x14ac:dyDescent="0.2">
      <c r="C742" s="526" t="str">
        <f t="shared" si="89"/>
        <v/>
      </c>
      <c r="D742" s="1416" t="str">
        <f t="shared" si="90"/>
        <v/>
      </c>
      <c r="E742" s="1416"/>
      <c r="F742" s="1416"/>
      <c r="G742" s="730" t="str">
        <f t="shared" si="91"/>
        <v/>
      </c>
      <c r="H742" s="507"/>
      <c r="I742" s="1419"/>
      <c r="J742" s="1419"/>
      <c r="K742" s="1419"/>
      <c r="L742" s="1419"/>
      <c r="M742" s="1419"/>
      <c r="N742" s="1419"/>
      <c r="O742" s="1419"/>
      <c r="P742" s="1419"/>
    </row>
    <row r="743" spans="3:16" ht="18" hidden="1" customHeight="1" x14ac:dyDescent="0.2">
      <c r="C743" s="526" t="str">
        <f t="shared" si="89"/>
        <v/>
      </c>
      <c r="D743" s="1416" t="str">
        <f t="shared" si="90"/>
        <v/>
      </c>
      <c r="E743" s="1416"/>
      <c r="F743" s="1416"/>
      <c r="G743" s="730" t="str">
        <f t="shared" si="91"/>
        <v/>
      </c>
      <c r="H743" s="507"/>
      <c r="I743" s="1419"/>
      <c r="J743" s="1419"/>
      <c r="K743" s="1419"/>
      <c r="L743" s="1419"/>
      <c r="M743" s="1419"/>
      <c r="N743" s="1419"/>
      <c r="O743" s="1419"/>
      <c r="P743" s="1419"/>
    </row>
    <row r="744" spans="3:16" ht="18" hidden="1" customHeight="1" x14ac:dyDescent="0.2">
      <c r="C744" s="526" t="str">
        <f t="shared" si="89"/>
        <v/>
      </c>
      <c r="D744" s="1416" t="str">
        <f t="shared" si="90"/>
        <v/>
      </c>
      <c r="E744" s="1416"/>
      <c r="F744" s="1416"/>
      <c r="G744" s="730" t="str">
        <f t="shared" si="91"/>
        <v/>
      </c>
      <c r="H744" s="507"/>
      <c r="I744" s="1419"/>
      <c r="J744" s="1419"/>
      <c r="K744" s="1419"/>
      <c r="L744" s="1419"/>
      <c r="M744" s="1419"/>
      <c r="N744" s="1419"/>
      <c r="O744" s="1419"/>
      <c r="P744" s="1419"/>
    </row>
    <row r="745" spans="3:16" ht="18" hidden="1" customHeight="1" x14ac:dyDescent="0.2">
      <c r="C745" s="526" t="str">
        <f t="shared" si="89"/>
        <v/>
      </c>
      <c r="D745" s="1416" t="str">
        <f t="shared" si="90"/>
        <v/>
      </c>
      <c r="E745" s="1416"/>
      <c r="F745" s="1416"/>
      <c r="G745" s="730" t="str">
        <f t="shared" si="91"/>
        <v/>
      </c>
      <c r="H745" s="507"/>
      <c r="I745" s="1419"/>
      <c r="J745" s="1419"/>
      <c r="K745" s="1419"/>
      <c r="L745" s="1419"/>
      <c r="M745" s="1419"/>
      <c r="N745" s="1419"/>
      <c r="O745" s="1419"/>
      <c r="P745" s="1419"/>
    </row>
    <row r="746" spans="3:16" ht="18" hidden="1" customHeight="1" x14ac:dyDescent="0.2">
      <c r="C746" s="526" t="str">
        <f t="shared" si="89"/>
        <v/>
      </c>
      <c r="D746" s="1416" t="str">
        <f t="shared" si="90"/>
        <v/>
      </c>
      <c r="E746" s="1416"/>
      <c r="F746" s="1416"/>
      <c r="G746" s="730" t="str">
        <f t="shared" si="91"/>
        <v/>
      </c>
      <c r="H746" s="507"/>
      <c r="I746" s="1419"/>
      <c r="J746" s="1419"/>
      <c r="K746" s="1419"/>
      <c r="L746" s="1419"/>
      <c r="M746" s="1419"/>
      <c r="N746" s="1419"/>
      <c r="O746" s="1419"/>
      <c r="P746" s="1419"/>
    </row>
    <row r="747" spans="3:16" ht="18" hidden="1" customHeight="1" x14ac:dyDescent="0.2">
      <c r="C747" s="526" t="str">
        <f t="shared" si="89"/>
        <v/>
      </c>
      <c r="D747" s="1416" t="str">
        <f t="shared" si="90"/>
        <v/>
      </c>
      <c r="E747" s="1416"/>
      <c r="F747" s="1416"/>
      <c r="G747" s="730" t="str">
        <f t="shared" si="91"/>
        <v/>
      </c>
      <c r="H747" s="507"/>
      <c r="I747" s="1419"/>
      <c r="J747" s="1419"/>
      <c r="K747" s="1419"/>
      <c r="L747" s="1419"/>
      <c r="M747" s="1419"/>
      <c r="N747" s="1419"/>
      <c r="O747" s="1419"/>
      <c r="P747" s="1419"/>
    </row>
    <row r="748" spans="3:16" ht="18" hidden="1" customHeight="1" x14ac:dyDescent="0.2">
      <c r="C748" s="526" t="str">
        <f t="shared" si="89"/>
        <v/>
      </c>
      <c r="D748" s="1416" t="str">
        <f t="shared" si="90"/>
        <v/>
      </c>
      <c r="E748" s="1416"/>
      <c r="F748" s="1416"/>
      <c r="G748" s="730" t="str">
        <f t="shared" si="91"/>
        <v/>
      </c>
      <c r="H748" s="507"/>
      <c r="I748" s="1419"/>
      <c r="J748" s="1419"/>
      <c r="K748" s="1419"/>
      <c r="L748" s="1419"/>
      <c r="M748" s="1419"/>
      <c r="N748" s="1419"/>
      <c r="O748" s="1419"/>
      <c r="P748" s="1419"/>
    </row>
    <row r="749" spans="3:16" ht="18" hidden="1" customHeight="1" x14ac:dyDescent="0.2">
      <c r="C749" s="526" t="str">
        <f t="shared" si="89"/>
        <v/>
      </c>
      <c r="D749" s="1416" t="str">
        <f t="shared" si="90"/>
        <v/>
      </c>
      <c r="E749" s="1416"/>
      <c r="F749" s="1416"/>
      <c r="G749" s="730" t="str">
        <f t="shared" si="91"/>
        <v/>
      </c>
      <c r="H749" s="507"/>
      <c r="I749" s="1419"/>
      <c r="J749" s="1419"/>
      <c r="K749" s="1419"/>
      <c r="L749" s="1419"/>
      <c r="M749" s="1419"/>
      <c r="N749" s="1419"/>
      <c r="O749" s="1419"/>
      <c r="P749" s="1419"/>
    </row>
    <row r="750" spans="3:16" ht="18" hidden="1" customHeight="1" x14ac:dyDescent="0.2">
      <c r="C750" s="526" t="str">
        <f t="shared" si="89"/>
        <v/>
      </c>
      <c r="D750" s="1416" t="str">
        <f t="shared" si="90"/>
        <v/>
      </c>
      <c r="E750" s="1416"/>
      <c r="F750" s="1416"/>
      <c r="G750" s="730" t="str">
        <f t="shared" si="91"/>
        <v/>
      </c>
      <c r="H750" s="507"/>
      <c r="I750" s="1419"/>
      <c r="J750" s="1419"/>
      <c r="K750" s="1419"/>
      <c r="L750" s="1419"/>
      <c r="M750" s="1419"/>
      <c r="N750" s="1419"/>
      <c r="O750" s="1419"/>
      <c r="P750" s="1419"/>
    </row>
    <row r="751" spans="3:16" ht="18" hidden="1" customHeight="1" x14ac:dyDescent="0.2">
      <c r="C751" s="526" t="str">
        <f t="shared" si="89"/>
        <v/>
      </c>
      <c r="D751" s="1416" t="str">
        <f t="shared" si="90"/>
        <v/>
      </c>
      <c r="E751" s="1416"/>
      <c r="F751" s="1416"/>
      <c r="G751" s="730" t="str">
        <f t="shared" si="91"/>
        <v/>
      </c>
      <c r="H751" s="507"/>
      <c r="I751" s="1419"/>
      <c r="J751" s="1419"/>
      <c r="K751" s="1419"/>
      <c r="L751" s="1419"/>
      <c r="M751" s="1419"/>
      <c r="N751" s="1419"/>
      <c r="O751" s="1419"/>
      <c r="P751" s="1419"/>
    </row>
    <row r="752" spans="3:16" ht="18" hidden="1" customHeight="1" x14ac:dyDescent="0.2">
      <c r="C752" s="526" t="str">
        <f t="shared" si="89"/>
        <v/>
      </c>
      <c r="D752" s="1416" t="str">
        <f t="shared" si="90"/>
        <v/>
      </c>
      <c r="E752" s="1416"/>
      <c r="F752" s="1416"/>
      <c r="G752" s="730" t="str">
        <f t="shared" si="91"/>
        <v/>
      </c>
      <c r="H752" s="507"/>
      <c r="I752" s="1419"/>
      <c r="J752" s="1419"/>
      <c r="K752" s="1419"/>
      <c r="L752" s="1419"/>
      <c r="M752" s="1419"/>
      <c r="N752" s="1419"/>
      <c r="O752" s="1419"/>
      <c r="P752" s="1419"/>
    </row>
    <row r="753" spans="3:16" ht="18" hidden="1" customHeight="1" x14ac:dyDescent="0.2">
      <c r="C753" s="526" t="str">
        <f t="shared" ref="C753:C777" si="92">IF(A496="Si",C496,"")</f>
        <v/>
      </c>
      <c r="D753" s="1416" t="str">
        <f t="shared" si="90"/>
        <v/>
      </c>
      <c r="E753" s="1416"/>
      <c r="F753" s="1416"/>
      <c r="G753" s="730" t="str">
        <f t="shared" si="91"/>
        <v/>
      </c>
      <c r="H753" s="507"/>
      <c r="I753" s="1419"/>
      <c r="J753" s="1419"/>
      <c r="K753" s="1419"/>
      <c r="L753" s="1419"/>
      <c r="M753" s="1419"/>
      <c r="N753" s="1419"/>
      <c r="O753" s="1419"/>
      <c r="P753" s="1419"/>
    </row>
    <row r="754" spans="3:16" ht="18" hidden="1" customHeight="1" x14ac:dyDescent="0.2">
      <c r="C754" s="526" t="str">
        <f t="shared" si="92"/>
        <v/>
      </c>
      <c r="D754" s="1416" t="str">
        <f t="shared" si="90"/>
        <v/>
      </c>
      <c r="E754" s="1416"/>
      <c r="F754" s="1416"/>
      <c r="G754" s="730" t="str">
        <f t="shared" si="91"/>
        <v/>
      </c>
      <c r="H754" s="507"/>
      <c r="I754" s="1419"/>
      <c r="J754" s="1419"/>
      <c r="K754" s="1419"/>
      <c r="L754" s="1419"/>
      <c r="M754" s="1419"/>
      <c r="N754" s="1419"/>
      <c r="O754" s="1419"/>
      <c r="P754" s="1419"/>
    </row>
    <row r="755" spans="3:16" ht="18" hidden="1" customHeight="1" x14ac:dyDescent="0.2">
      <c r="C755" s="526" t="str">
        <f t="shared" si="92"/>
        <v/>
      </c>
      <c r="D755" s="1416" t="str">
        <f t="shared" si="90"/>
        <v/>
      </c>
      <c r="E755" s="1416"/>
      <c r="F755" s="1416"/>
      <c r="G755" s="730" t="str">
        <f t="shared" si="91"/>
        <v/>
      </c>
      <c r="H755" s="507"/>
      <c r="I755" s="1419"/>
      <c r="J755" s="1419"/>
      <c r="K755" s="1419"/>
      <c r="L755" s="1419"/>
      <c r="M755" s="1419"/>
      <c r="N755" s="1419"/>
      <c r="O755" s="1419"/>
      <c r="P755" s="1419"/>
    </row>
    <row r="756" spans="3:16" ht="18" hidden="1" customHeight="1" x14ac:dyDescent="0.2">
      <c r="C756" s="526" t="str">
        <f t="shared" si="92"/>
        <v/>
      </c>
      <c r="D756" s="1416" t="str">
        <f t="shared" si="90"/>
        <v/>
      </c>
      <c r="E756" s="1416"/>
      <c r="F756" s="1416"/>
      <c r="G756" s="730" t="str">
        <f t="shared" si="91"/>
        <v/>
      </c>
      <c r="H756" s="507"/>
      <c r="I756" s="1419"/>
      <c r="J756" s="1419"/>
      <c r="K756" s="1419"/>
      <c r="L756" s="1419"/>
      <c r="M756" s="1419"/>
      <c r="N756" s="1419"/>
      <c r="O756" s="1419"/>
      <c r="P756" s="1419"/>
    </row>
    <row r="757" spans="3:16" ht="18" hidden="1" customHeight="1" x14ac:dyDescent="0.2">
      <c r="C757" s="526" t="str">
        <f t="shared" si="92"/>
        <v/>
      </c>
      <c r="D757" s="1416" t="str">
        <f t="shared" si="90"/>
        <v/>
      </c>
      <c r="E757" s="1416"/>
      <c r="F757" s="1416"/>
      <c r="G757" s="730" t="str">
        <f t="shared" si="91"/>
        <v/>
      </c>
      <c r="H757" s="507"/>
      <c r="I757" s="1419"/>
      <c r="J757" s="1419"/>
      <c r="K757" s="1419"/>
      <c r="L757" s="1419"/>
      <c r="M757" s="1419"/>
      <c r="N757" s="1419"/>
      <c r="O757" s="1419"/>
      <c r="P757" s="1419"/>
    </row>
    <row r="758" spans="3:16" ht="18" hidden="1" customHeight="1" x14ac:dyDescent="0.2">
      <c r="C758" s="526" t="str">
        <f t="shared" si="92"/>
        <v/>
      </c>
      <c r="D758" s="1416" t="str">
        <f t="shared" si="90"/>
        <v/>
      </c>
      <c r="E758" s="1416"/>
      <c r="F758" s="1416"/>
      <c r="G758" s="730" t="str">
        <f t="shared" si="91"/>
        <v/>
      </c>
      <c r="H758" s="507"/>
      <c r="I758" s="1419"/>
      <c r="J758" s="1419"/>
      <c r="K758" s="1419"/>
      <c r="L758" s="1419"/>
      <c r="M758" s="1419"/>
      <c r="N758" s="1419"/>
      <c r="O758" s="1419"/>
      <c r="P758" s="1419"/>
    </row>
    <row r="759" spans="3:16" ht="18" hidden="1" customHeight="1" x14ac:dyDescent="0.2">
      <c r="C759" s="526" t="str">
        <f t="shared" si="92"/>
        <v/>
      </c>
      <c r="D759" s="1416" t="str">
        <f t="shared" si="90"/>
        <v/>
      </c>
      <c r="E759" s="1416"/>
      <c r="F759" s="1416"/>
      <c r="G759" s="730" t="str">
        <f t="shared" si="91"/>
        <v/>
      </c>
      <c r="H759" s="507"/>
      <c r="I759" s="1419"/>
      <c r="J759" s="1419"/>
      <c r="K759" s="1419"/>
      <c r="L759" s="1419"/>
      <c r="M759" s="1419"/>
      <c r="N759" s="1419"/>
      <c r="O759" s="1419"/>
      <c r="P759" s="1419"/>
    </row>
    <row r="760" spans="3:16" ht="18" hidden="1" customHeight="1" x14ac:dyDescent="0.2">
      <c r="C760" s="526" t="str">
        <f t="shared" si="92"/>
        <v/>
      </c>
      <c r="D760" s="1416" t="str">
        <f t="shared" si="90"/>
        <v/>
      </c>
      <c r="E760" s="1416"/>
      <c r="F760" s="1416"/>
      <c r="G760" s="730" t="str">
        <f t="shared" si="91"/>
        <v/>
      </c>
      <c r="H760" s="507"/>
      <c r="I760" s="1419"/>
      <c r="J760" s="1419"/>
      <c r="K760" s="1419"/>
      <c r="L760" s="1419"/>
      <c r="M760" s="1419"/>
      <c r="N760" s="1419"/>
      <c r="O760" s="1419"/>
      <c r="P760" s="1419"/>
    </row>
    <row r="761" spans="3:16" ht="18" hidden="1" customHeight="1" x14ac:dyDescent="0.2">
      <c r="C761" s="526" t="str">
        <f t="shared" si="92"/>
        <v/>
      </c>
      <c r="D761" s="1416" t="str">
        <f t="shared" si="90"/>
        <v/>
      </c>
      <c r="E761" s="1416"/>
      <c r="F761" s="1416"/>
      <c r="G761" s="730" t="str">
        <f t="shared" si="91"/>
        <v/>
      </c>
      <c r="H761" s="507"/>
      <c r="I761" s="1419"/>
      <c r="J761" s="1419"/>
      <c r="K761" s="1419"/>
      <c r="L761" s="1419"/>
      <c r="M761" s="1419"/>
      <c r="N761" s="1419"/>
      <c r="O761" s="1419"/>
      <c r="P761" s="1419"/>
    </row>
    <row r="762" spans="3:16" ht="18" hidden="1" customHeight="1" x14ac:dyDescent="0.2">
      <c r="C762" s="526" t="str">
        <f t="shared" si="92"/>
        <v/>
      </c>
      <c r="D762" s="1416" t="str">
        <f t="shared" si="90"/>
        <v/>
      </c>
      <c r="E762" s="1416"/>
      <c r="F762" s="1416"/>
      <c r="G762" s="730" t="str">
        <f t="shared" si="91"/>
        <v/>
      </c>
      <c r="H762" s="507"/>
      <c r="I762" s="1419"/>
      <c r="J762" s="1419"/>
      <c r="K762" s="1419"/>
      <c r="L762" s="1419"/>
      <c r="M762" s="1419"/>
      <c r="N762" s="1419"/>
      <c r="O762" s="1419"/>
      <c r="P762" s="1419"/>
    </row>
    <row r="763" spans="3:16" ht="18" hidden="1" customHeight="1" x14ac:dyDescent="0.2">
      <c r="C763" s="526" t="str">
        <f t="shared" si="92"/>
        <v/>
      </c>
      <c r="D763" s="1416" t="str">
        <f t="shared" si="90"/>
        <v/>
      </c>
      <c r="E763" s="1416"/>
      <c r="F763" s="1416"/>
      <c r="G763" s="730" t="str">
        <f t="shared" si="91"/>
        <v/>
      </c>
      <c r="H763" s="507"/>
      <c r="I763" s="1419"/>
      <c r="J763" s="1419"/>
      <c r="K763" s="1419"/>
      <c r="L763" s="1419"/>
      <c r="M763" s="1419"/>
      <c r="N763" s="1419"/>
      <c r="O763" s="1419"/>
      <c r="P763" s="1419"/>
    </row>
    <row r="764" spans="3:16" ht="18" hidden="1" customHeight="1" x14ac:dyDescent="0.2">
      <c r="C764" s="526" t="str">
        <f t="shared" si="92"/>
        <v/>
      </c>
      <c r="D764" s="1416" t="str">
        <f t="shared" si="90"/>
        <v/>
      </c>
      <c r="E764" s="1416"/>
      <c r="F764" s="1416"/>
      <c r="G764" s="730" t="str">
        <f t="shared" si="91"/>
        <v/>
      </c>
      <c r="H764" s="507"/>
      <c r="I764" s="1419"/>
      <c r="J764" s="1419"/>
      <c r="K764" s="1419"/>
      <c r="L764" s="1419"/>
      <c r="M764" s="1419"/>
      <c r="N764" s="1419"/>
      <c r="O764" s="1419"/>
      <c r="P764" s="1419"/>
    </row>
    <row r="765" spans="3:16" ht="18" hidden="1" customHeight="1" x14ac:dyDescent="0.2">
      <c r="C765" s="526" t="str">
        <f t="shared" si="92"/>
        <v/>
      </c>
      <c r="D765" s="1416" t="str">
        <f t="shared" si="90"/>
        <v/>
      </c>
      <c r="E765" s="1416"/>
      <c r="F765" s="1416"/>
      <c r="G765" s="730" t="str">
        <f t="shared" si="91"/>
        <v/>
      </c>
      <c r="H765" s="507"/>
      <c r="I765" s="1419"/>
      <c r="J765" s="1419"/>
      <c r="K765" s="1419"/>
      <c r="L765" s="1419"/>
      <c r="M765" s="1419"/>
      <c r="N765" s="1419"/>
      <c r="O765" s="1419"/>
      <c r="P765" s="1419"/>
    </row>
    <row r="766" spans="3:16" ht="18" hidden="1" customHeight="1" x14ac:dyDescent="0.2">
      <c r="C766" s="526" t="str">
        <f t="shared" si="92"/>
        <v/>
      </c>
      <c r="D766" s="1416" t="str">
        <f t="shared" si="90"/>
        <v/>
      </c>
      <c r="E766" s="1416"/>
      <c r="F766" s="1416"/>
      <c r="G766" s="730" t="str">
        <f t="shared" si="91"/>
        <v/>
      </c>
      <c r="H766" s="507"/>
      <c r="I766" s="1419"/>
      <c r="J766" s="1419"/>
      <c r="K766" s="1419"/>
      <c r="L766" s="1419"/>
      <c r="M766" s="1419"/>
      <c r="N766" s="1419"/>
      <c r="O766" s="1419"/>
      <c r="P766" s="1419"/>
    </row>
    <row r="767" spans="3:16" ht="18" hidden="1" customHeight="1" x14ac:dyDescent="0.2">
      <c r="C767" s="526" t="str">
        <f t="shared" si="92"/>
        <v/>
      </c>
      <c r="D767" s="1416" t="str">
        <f t="shared" si="90"/>
        <v/>
      </c>
      <c r="E767" s="1416"/>
      <c r="F767" s="1416"/>
      <c r="G767" s="730" t="str">
        <f t="shared" si="91"/>
        <v/>
      </c>
      <c r="H767" s="507"/>
      <c r="I767" s="1419"/>
      <c r="J767" s="1419"/>
      <c r="K767" s="1419"/>
      <c r="L767" s="1419"/>
      <c r="M767" s="1419"/>
      <c r="N767" s="1419"/>
      <c r="O767" s="1419"/>
      <c r="P767" s="1419"/>
    </row>
    <row r="768" spans="3:16" ht="18" hidden="1" customHeight="1" x14ac:dyDescent="0.2">
      <c r="C768" s="526" t="str">
        <f t="shared" si="92"/>
        <v/>
      </c>
      <c r="D768" s="1416" t="str">
        <f t="shared" si="90"/>
        <v/>
      </c>
      <c r="E768" s="1416"/>
      <c r="F768" s="1416"/>
      <c r="G768" s="730" t="str">
        <f t="shared" si="91"/>
        <v/>
      </c>
      <c r="H768" s="507"/>
      <c r="I768" s="1419"/>
      <c r="J768" s="1419"/>
      <c r="K768" s="1419"/>
      <c r="L768" s="1419"/>
      <c r="M768" s="1419"/>
      <c r="N768" s="1419"/>
      <c r="O768" s="1419"/>
      <c r="P768" s="1419"/>
    </row>
    <row r="769" spans="3:16" ht="18" hidden="1" customHeight="1" x14ac:dyDescent="0.2">
      <c r="C769" s="526" t="str">
        <f t="shared" si="92"/>
        <v/>
      </c>
      <c r="D769" s="1416" t="str">
        <f t="shared" si="90"/>
        <v/>
      </c>
      <c r="E769" s="1416"/>
      <c r="F769" s="1416"/>
      <c r="G769" s="730" t="str">
        <f t="shared" si="91"/>
        <v/>
      </c>
      <c r="H769" s="507"/>
      <c r="I769" s="1419"/>
      <c r="J769" s="1419"/>
      <c r="K769" s="1419"/>
      <c r="L769" s="1419"/>
      <c r="M769" s="1419"/>
      <c r="N769" s="1419"/>
      <c r="O769" s="1419"/>
      <c r="P769" s="1419"/>
    </row>
    <row r="770" spans="3:16" ht="18" hidden="1" customHeight="1" x14ac:dyDescent="0.2">
      <c r="C770" s="526" t="str">
        <f t="shared" si="92"/>
        <v/>
      </c>
      <c r="D770" s="1416" t="str">
        <f t="shared" si="90"/>
        <v/>
      </c>
      <c r="E770" s="1416"/>
      <c r="F770" s="1416"/>
      <c r="G770" s="730" t="str">
        <f t="shared" si="91"/>
        <v/>
      </c>
      <c r="H770" s="507"/>
      <c r="I770" s="1419"/>
      <c r="J770" s="1419"/>
      <c r="K770" s="1419"/>
      <c r="L770" s="1419"/>
      <c r="M770" s="1419"/>
      <c r="N770" s="1419"/>
      <c r="O770" s="1419"/>
      <c r="P770" s="1419"/>
    </row>
    <row r="771" spans="3:16" ht="18" hidden="1" customHeight="1" x14ac:dyDescent="0.2">
      <c r="C771" s="526" t="str">
        <f t="shared" si="92"/>
        <v/>
      </c>
      <c r="D771" s="1416" t="str">
        <f t="shared" si="90"/>
        <v/>
      </c>
      <c r="E771" s="1416"/>
      <c r="F771" s="1416"/>
      <c r="G771" s="730" t="str">
        <f t="shared" si="91"/>
        <v/>
      </c>
      <c r="H771" s="507"/>
      <c r="I771" s="1419"/>
      <c r="J771" s="1419"/>
      <c r="K771" s="1419"/>
      <c r="L771" s="1419"/>
      <c r="M771" s="1419"/>
      <c r="N771" s="1419"/>
      <c r="O771" s="1419"/>
      <c r="P771" s="1419"/>
    </row>
    <row r="772" spans="3:16" ht="18" hidden="1" customHeight="1" x14ac:dyDescent="0.2">
      <c r="C772" s="526" t="str">
        <f t="shared" si="92"/>
        <v/>
      </c>
      <c r="D772" s="1416" t="str">
        <f t="shared" si="90"/>
        <v/>
      </c>
      <c r="E772" s="1416"/>
      <c r="F772" s="1416"/>
      <c r="G772" s="730" t="str">
        <f>IF(A515="Si",M515,"")</f>
        <v/>
      </c>
      <c r="H772" s="507"/>
      <c r="I772" s="1419"/>
      <c r="J772" s="1419"/>
      <c r="K772" s="1419"/>
      <c r="L772" s="1419"/>
      <c r="M772" s="1419"/>
      <c r="N772" s="1419"/>
      <c r="O772" s="1419"/>
      <c r="P772" s="1419"/>
    </row>
    <row r="773" spans="3:16" ht="18" hidden="1" customHeight="1" x14ac:dyDescent="0.2">
      <c r="C773" s="526" t="str">
        <f t="shared" si="92"/>
        <v/>
      </c>
      <c r="D773" s="1416" t="str">
        <f t="shared" si="90"/>
        <v/>
      </c>
      <c r="E773" s="1416"/>
      <c r="F773" s="1416"/>
      <c r="G773" s="730" t="str">
        <f t="shared" si="91"/>
        <v/>
      </c>
      <c r="H773" s="507"/>
      <c r="I773" s="1419"/>
      <c r="J773" s="1419"/>
      <c r="K773" s="1419"/>
      <c r="L773" s="1419"/>
      <c r="M773" s="1419"/>
      <c r="N773" s="1419"/>
      <c r="O773" s="1419"/>
      <c r="P773" s="1419"/>
    </row>
    <row r="774" spans="3:16" ht="18" hidden="1" customHeight="1" x14ac:dyDescent="0.2">
      <c r="C774" s="526" t="str">
        <f t="shared" si="92"/>
        <v/>
      </c>
      <c r="D774" s="1416" t="str">
        <f t="shared" si="90"/>
        <v/>
      </c>
      <c r="E774" s="1416"/>
      <c r="F774" s="1416"/>
      <c r="G774" s="730" t="str">
        <f t="shared" si="91"/>
        <v/>
      </c>
      <c r="H774" s="507"/>
      <c r="I774" s="1419"/>
      <c r="J774" s="1419"/>
      <c r="K774" s="1419"/>
      <c r="L774" s="1419"/>
      <c r="M774" s="1419"/>
      <c r="N774" s="1419"/>
      <c r="O774" s="1419"/>
      <c r="P774" s="1419"/>
    </row>
    <row r="775" spans="3:16" ht="18" hidden="1" customHeight="1" x14ac:dyDescent="0.2">
      <c r="C775" s="526" t="str">
        <f t="shared" si="92"/>
        <v/>
      </c>
      <c r="D775" s="1416" t="str">
        <f t="shared" si="90"/>
        <v/>
      </c>
      <c r="E775" s="1416"/>
      <c r="F775" s="1416"/>
      <c r="G775" s="730" t="str">
        <f t="shared" si="91"/>
        <v/>
      </c>
      <c r="H775" s="507"/>
      <c r="I775" s="1419"/>
      <c r="J775" s="1419"/>
      <c r="K775" s="1419"/>
      <c r="L775" s="1419"/>
      <c r="M775" s="1419"/>
      <c r="N775" s="1419"/>
      <c r="O775" s="1419"/>
      <c r="P775" s="1419"/>
    </row>
    <row r="776" spans="3:16" ht="18" hidden="1" customHeight="1" x14ac:dyDescent="0.2">
      <c r="C776" s="526" t="str">
        <f t="shared" si="92"/>
        <v/>
      </c>
      <c r="D776" s="1416" t="str">
        <f t="shared" si="90"/>
        <v/>
      </c>
      <c r="E776" s="1416"/>
      <c r="F776" s="1416"/>
      <c r="G776" s="730" t="str">
        <f t="shared" si="91"/>
        <v/>
      </c>
      <c r="H776" s="507"/>
      <c r="I776" s="1419"/>
      <c r="J776" s="1419"/>
      <c r="K776" s="1419"/>
      <c r="L776" s="1419"/>
      <c r="M776" s="1419"/>
      <c r="N776" s="1419"/>
      <c r="O776" s="1419"/>
      <c r="P776" s="1419"/>
    </row>
    <row r="777" spans="3:16" ht="18" hidden="1" customHeight="1" x14ac:dyDescent="0.2">
      <c r="C777" s="526" t="str">
        <f t="shared" si="92"/>
        <v/>
      </c>
      <c r="D777" s="1416" t="str">
        <f t="shared" si="90"/>
        <v/>
      </c>
      <c r="E777" s="1416"/>
      <c r="F777" s="1416"/>
      <c r="G777" s="730" t="str">
        <f t="shared" si="91"/>
        <v/>
      </c>
      <c r="H777" s="507"/>
      <c r="I777" s="1419"/>
      <c r="J777" s="1419"/>
      <c r="K777" s="1419"/>
      <c r="L777" s="1419"/>
      <c r="M777" s="1419"/>
      <c r="N777" s="1419"/>
      <c r="O777" s="1419"/>
      <c r="P777" s="1419"/>
    </row>
    <row r="778" spans="3:16" ht="18" hidden="1" customHeight="1" x14ac:dyDescent="0.2">
      <c r="I778" s="204"/>
    </row>
    <row r="779" spans="3:16" ht="18" hidden="1" customHeight="1" x14ac:dyDescent="0.2">
      <c r="I779" s="204"/>
    </row>
    <row r="780" spans="3:16" ht="18" hidden="1" customHeight="1" x14ac:dyDescent="0.2">
      <c r="I780" s="204"/>
    </row>
    <row r="781" spans="3:16" ht="18" hidden="1" customHeight="1" x14ac:dyDescent="0.2">
      <c r="I781" s="204"/>
    </row>
    <row r="782" spans="3:16" ht="18" hidden="1" customHeight="1" x14ac:dyDescent="0.2">
      <c r="I782" s="204"/>
    </row>
    <row r="783" spans="3:16" ht="18" hidden="1" customHeight="1" x14ac:dyDescent="0.2">
      <c r="I783" s="204"/>
    </row>
    <row r="784" spans="3:16" ht="18" hidden="1" customHeight="1" x14ac:dyDescent="0.2">
      <c r="I784" s="204"/>
    </row>
    <row r="785" spans="9:9" ht="18" hidden="1" customHeight="1" x14ac:dyDescent="0.2">
      <c r="I785" s="204"/>
    </row>
    <row r="786" spans="9:9" ht="18" hidden="1" customHeight="1" x14ac:dyDescent="0.2">
      <c r="I786" s="204"/>
    </row>
    <row r="787" spans="9:9" ht="18" hidden="1" customHeight="1" x14ac:dyDescent="0.2">
      <c r="I787" s="204"/>
    </row>
    <row r="788" spans="9:9" ht="18" hidden="1" customHeight="1" x14ac:dyDescent="0.2">
      <c r="I788" s="204"/>
    </row>
    <row r="789" spans="9:9" ht="18" hidden="1" customHeight="1" x14ac:dyDescent="0.2">
      <c r="I789" s="204"/>
    </row>
    <row r="790" spans="9:9" ht="18" hidden="1" customHeight="1" x14ac:dyDescent="0.2">
      <c r="I790" s="204"/>
    </row>
    <row r="791" spans="9:9" ht="18" hidden="1" customHeight="1" x14ac:dyDescent="0.2">
      <c r="I791" s="204"/>
    </row>
    <row r="792" spans="9:9" ht="18" hidden="1" customHeight="1" x14ac:dyDescent="0.2">
      <c r="I792" s="204"/>
    </row>
    <row r="793" spans="9:9" ht="18" hidden="1" customHeight="1" x14ac:dyDescent="0.2">
      <c r="I793" s="204"/>
    </row>
    <row r="794" spans="9:9" ht="18" hidden="1" customHeight="1" x14ac:dyDescent="0.2">
      <c r="I794" s="204"/>
    </row>
    <row r="795" spans="9:9" ht="18" hidden="1" customHeight="1" x14ac:dyDescent="0.2">
      <c r="I795" s="204"/>
    </row>
    <row r="796" spans="9:9" ht="18" hidden="1" customHeight="1" x14ac:dyDescent="0.2">
      <c r="I796" s="204"/>
    </row>
    <row r="797" spans="9:9" ht="18" hidden="1" customHeight="1" x14ac:dyDescent="0.2">
      <c r="I797" s="204"/>
    </row>
    <row r="798" spans="9:9" ht="18" hidden="1" customHeight="1" x14ac:dyDescent="0.2">
      <c r="I798" s="204"/>
    </row>
    <row r="799" spans="9:9" ht="18" hidden="1" customHeight="1" x14ac:dyDescent="0.2">
      <c r="I799" s="204"/>
    </row>
    <row r="800" spans="9:9" ht="18" hidden="1" customHeight="1" x14ac:dyDescent="0.2">
      <c r="I800" s="204"/>
    </row>
    <row r="801" spans="9:9" ht="18" hidden="1" customHeight="1" x14ac:dyDescent="0.2">
      <c r="I801" s="204"/>
    </row>
    <row r="802" spans="9:9" ht="18" hidden="1" customHeight="1" x14ac:dyDescent="0.2">
      <c r="I802" s="204"/>
    </row>
    <row r="803" spans="9:9" ht="18" hidden="1" customHeight="1" x14ac:dyDescent="0.2">
      <c r="I803" s="204"/>
    </row>
    <row r="804" spans="9:9" ht="18" hidden="1" customHeight="1" x14ac:dyDescent="0.2">
      <c r="I804" s="204"/>
    </row>
    <row r="805" spans="9:9" ht="18" hidden="1" customHeight="1" x14ac:dyDescent="0.2">
      <c r="I805" s="204"/>
    </row>
    <row r="806" spans="9:9" ht="18" hidden="1" customHeight="1" x14ac:dyDescent="0.2">
      <c r="I806" s="204"/>
    </row>
    <row r="807" spans="9:9" ht="18" hidden="1" customHeight="1" x14ac:dyDescent="0.2">
      <c r="I807" s="204"/>
    </row>
    <row r="808" spans="9:9" ht="18" hidden="1" customHeight="1" x14ac:dyDescent="0.2">
      <c r="I808" s="204"/>
    </row>
    <row r="809" spans="9:9" ht="18" hidden="1" customHeight="1" x14ac:dyDescent="0.2">
      <c r="I809" s="204"/>
    </row>
    <row r="810" spans="9:9" ht="18" hidden="1" customHeight="1" x14ac:dyDescent="0.2">
      <c r="I810" s="204"/>
    </row>
    <row r="811" spans="9:9" ht="18" hidden="1" customHeight="1" x14ac:dyDescent="0.2">
      <c r="I811" s="204"/>
    </row>
    <row r="812" spans="9:9" ht="18" hidden="1" customHeight="1" x14ac:dyDescent="0.2">
      <c r="I812" s="204"/>
    </row>
    <row r="813" spans="9:9" ht="18" hidden="1" customHeight="1" x14ac:dyDescent="0.2">
      <c r="I813" s="204"/>
    </row>
    <row r="814" spans="9:9" ht="18" hidden="1" customHeight="1" x14ac:dyDescent="0.2">
      <c r="I814" s="204"/>
    </row>
    <row r="815" spans="9:9" ht="18" hidden="1" customHeight="1" x14ac:dyDescent="0.2">
      <c r="I815" s="204"/>
    </row>
    <row r="816" spans="9:9" ht="18" hidden="1" customHeight="1" x14ac:dyDescent="0.2">
      <c r="I816" s="204"/>
    </row>
    <row r="817" spans="9:9" ht="18" hidden="1" customHeight="1" x14ac:dyDescent="0.2">
      <c r="I817" s="204"/>
    </row>
    <row r="818" spans="9:9" ht="18" hidden="1" customHeight="1" x14ac:dyDescent="0.2">
      <c r="I818" s="204"/>
    </row>
    <row r="819" spans="9:9" ht="18" hidden="1" customHeight="1" x14ac:dyDescent="0.2">
      <c r="I819" s="204"/>
    </row>
    <row r="820" spans="9:9" ht="18" hidden="1" customHeight="1" x14ac:dyDescent="0.2">
      <c r="I820" s="204"/>
    </row>
    <row r="821" spans="9:9" ht="18" hidden="1" customHeight="1" x14ac:dyDescent="0.2">
      <c r="I821" s="204"/>
    </row>
    <row r="822" spans="9:9" ht="18" hidden="1" customHeight="1" x14ac:dyDescent="0.2">
      <c r="I822" s="204"/>
    </row>
    <row r="823" spans="9:9" ht="18" hidden="1" customHeight="1" x14ac:dyDescent="0.2">
      <c r="I823" s="204"/>
    </row>
    <row r="824" spans="9:9" ht="18" hidden="1" customHeight="1" x14ac:dyDescent="0.2">
      <c r="I824" s="204"/>
    </row>
    <row r="825" spans="9:9" ht="18" hidden="1" customHeight="1" x14ac:dyDescent="0.2">
      <c r="I825" s="204"/>
    </row>
    <row r="826" spans="9:9" ht="18" hidden="1" customHeight="1" x14ac:dyDescent="0.2">
      <c r="I826" s="204"/>
    </row>
    <row r="827" spans="9:9" ht="18" hidden="1" customHeight="1" x14ac:dyDescent="0.2">
      <c r="I827" s="204"/>
    </row>
    <row r="828" spans="9:9" ht="18" hidden="1" customHeight="1" x14ac:dyDescent="0.2">
      <c r="I828" s="204"/>
    </row>
    <row r="829" spans="9:9" ht="18" hidden="1" customHeight="1" x14ac:dyDescent="0.2">
      <c r="I829" s="204"/>
    </row>
    <row r="830" spans="9:9" ht="18" hidden="1" customHeight="1" x14ac:dyDescent="0.2">
      <c r="I830" s="204"/>
    </row>
    <row r="831" spans="9:9" ht="18" hidden="1" customHeight="1" x14ac:dyDescent="0.2">
      <c r="I831" s="204"/>
    </row>
    <row r="832" spans="9:9" ht="18" hidden="1" customHeight="1" x14ac:dyDescent="0.2">
      <c r="I832" s="204"/>
    </row>
    <row r="833" spans="9:9" ht="18" hidden="1" customHeight="1" x14ac:dyDescent="0.2">
      <c r="I833" s="204"/>
    </row>
    <row r="834" spans="9:9" ht="18" hidden="1" customHeight="1" x14ac:dyDescent="0.2">
      <c r="I834" s="204"/>
    </row>
    <row r="835" spans="9:9" ht="18" hidden="1" customHeight="1" x14ac:dyDescent="0.2">
      <c r="I835" s="204"/>
    </row>
    <row r="836" spans="9:9" ht="18" hidden="1" customHeight="1" x14ac:dyDescent="0.2">
      <c r="I836" s="204"/>
    </row>
    <row r="837" spans="9:9" ht="18" hidden="1" customHeight="1" x14ac:dyDescent="0.2">
      <c r="I837" s="204"/>
    </row>
    <row r="838" spans="9:9" ht="18" hidden="1" customHeight="1" x14ac:dyDescent="0.2">
      <c r="I838" s="204"/>
    </row>
    <row r="839" spans="9:9" ht="18" hidden="1" customHeight="1" x14ac:dyDescent="0.2">
      <c r="I839" s="204"/>
    </row>
    <row r="840" spans="9:9" ht="18" hidden="1" customHeight="1" x14ac:dyDescent="0.2">
      <c r="I840" s="204"/>
    </row>
    <row r="841" spans="9:9" ht="18" hidden="1" customHeight="1" x14ac:dyDescent="0.2">
      <c r="I841" s="204"/>
    </row>
    <row r="842" spans="9:9" ht="18" hidden="1" customHeight="1" x14ac:dyDescent="0.2">
      <c r="I842" s="204"/>
    </row>
    <row r="843" spans="9:9" ht="18" hidden="1" customHeight="1" x14ac:dyDescent="0.2">
      <c r="I843" s="204"/>
    </row>
    <row r="844" spans="9:9" ht="18" hidden="1" customHeight="1" x14ac:dyDescent="0.2">
      <c r="I844" s="204"/>
    </row>
    <row r="845" spans="9:9" ht="18" hidden="1" customHeight="1" x14ac:dyDescent="0.2">
      <c r="I845" s="204"/>
    </row>
    <row r="846" spans="9:9" ht="18" hidden="1" customHeight="1" x14ac:dyDescent="0.2">
      <c r="I846" s="204"/>
    </row>
    <row r="847" spans="9:9" ht="18" hidden="1" customHeight="1" x14ac:dyDescent="0.2">
      <c r="I847" s="204"/>
    </row>
    <row r="848" spans="9:9" ht="18" hidden="1" customHeight="1" x14ac:dyDescent="0.2">
      <c r="I848" s="204"/>
    </row>
    <row r="849" spans="9:9" ht="18" hidden="1" customHeight="1" x14ac:dyDescent="0.2">
      <c r="I849" s="204"/>
    </row>
    <row r="850" spans="9:9" ht="18" hidden="1" customHeight="1" x14ac:dyDescent="0.2">
      <c r="I850" s="204"/>
    </row>
    <row r="851" spans="9:9" ht="18" hidden="1" customHeight="1" x14ac:dyDescent="0.2">
      <c r="I851" s="204"/>
    </row>
    <row r="852" spans="9:9" ht="18" hidden="1" customHeight="1" x14ac:dyDescent="0.2">
      <c r="I852" s="204"/>
    </row>
    <row r="853" spans="9:9" ht="18" hidden="1" customHeight="1" x14ac:dyDescent="0.2">
      <c r="I853" s="204"/>
    </row>
    <row r="854" spans="9:9" ht="18" hidden="1" customHeight="1" x14ac:dyDescent="0.2">
      <c r="I854" s="204"/>
    </row>
    <row r="855" spans="9:9" ht="18" hidden="1" customHeight="1" x14ac:dyDescent="0.2">
      <c r="I855" s="204"/>
    </row>
    <row r="856" spans="9:9" ht="18" hidden="1" customHeight="1" x14ac:dyDescent="0.2">
      <c r="I856" s="204"/>
    </row>
    <row r="857" spans="9:9" ht="18" hidden="1" customHeight="1" x14ac:dyDescent="0.2">
      <c r="I857" s="204"/>
    </row>
    <row r="858" spans="9:9" ht="18" hidden="1" customHeight="1" x14ac:dyDescent="0.2">
      <c r="I858" s="204"/>
    </row>
    <row r="859" spans="9:9" ht="18" hidden="1" customHeight="1" x14ac:dyDescent="0.2">
      <c r="I859" s="204"/>
    </row>
    <row r="860" spans="9:9" ht="18" hidden="1" customHeight="1" x14ac:dyDescent="0.2">
      <c r="I860" s="204"/>
    </row>
    <row r="861" spans="9:9" ht="18" hidden="1" customHeight="1" x14ac:dyDescent="0.2">
      <c r="I861" s="204"/>
    </row>
    <row r="862" spans="9:9" ht="18" hidden="1" customHeight="1" x14ac:dyDescent="0.2">
      <c r="I862" s="204"/>
    </row>
    <row r="863" spans="9:9" ht="18" hidden="1" customHeight="1" x14ac:dyDescent="0.2">
      <c r="I863" s="204"/>
    </row>
    <row r="864" spans="9:9" ht="18" hidden="1" customHeight="1" x14ac:dyDescent="0.2">
      <c r="I864" s="204"/>
    </row>
    <row r="865" spans="9:9" ht="18" hidden="1" customHeight="1" x14ac:dyDescent="0.2">
      <c r="I865" s="204"/>
    </row>
    <row r="866" spans="9:9" ht="18" hidden="1" customHeight="1" x14ac:dyDescent="0.2">
      <c r="I866" s="204"/>
    </row>
    <row r="867" spans="9:9" ht="18" hidden="1" customHeight="1" x14ac:dyDescent="0.2">
      <c r="I867" s="204"/>
    </row>
    <row r="868" spans="9:9" ht="18" hidden="1" customHeight="1" x14ac:dyDescent="0.2">
      <c r="I868" s="204"/>
    </row>
    <row r="869" spans="9:9" ht="18" hidden="1" customHeight="1" x14ac:dyDescent="0.2">
      <c r="I869" s="204"/>
    </row>
    <row r="870" spans="9:9" ht="18" hidden="1" customHeight="1" x14ac:dyDescent="0.2">
      <c r="I870" s="204"/>
    </row>
    <row r="871" spans="9:9" ht="18" hidden="1" customHeight="1" x14ac:dyDescent="0.2">
      <c r="I871" s="204"/>
    </row>
    <row r="872" spans="9:9" ht="18" hidden="1" customHeight="1" x14ac:dyDescent="0.2">
      <c r="I872" s="204"/>
    </row>
    <row r="873" spans="9:9" ht="18" hidden="1" customHeight="1" x14ac:dyDescent="0.2">
      <c r="I873" s="204"/>
    </row>
    <row r="874" spans="9:9" ht="18" hidden="1" customHeight="1" x14ac:dyDescent="0.2">
      <c r="I874" s="204"/>
    </row>
    <row r="875" spans="9:9" ht="18" hidden="1" customHeight="1" x14ac:dyDescent="0.2">
      <c r="I875" s="204"/>
    </row>
    <row r="876" spans="9:9" ht="18" hidden="1" customHeight="1" x14ac:dyDescent="0.2">
      <c r="I876" s="204"/>
    </row>
    <row r="877" spans="9:9" ht="18" hidden="1" customHeight="1" x14ac:dyDescent="0.2">
      <c r="I877" s="204"/>
    </row>
    <row r="878" spans="9:9" ht="18" hidden="1" customHeight="1" x14ac:dyDescent="0.2">
      <c r="I878" s="204"/>
    </row>
    <row r="879" spans="9:9" ht="18" hidden="1" customHeight="1" x14ac:dyDescent="0.2">
      <c r="I879" s="204"/>
    </row>
    <row r="880" spans="9:9" ht="18" hidden="1" customHeight="1" x14ac:dyDescent="0.2">
      <c r="I880" s="204"/>
    </row>
    <row r="881" spans="9:9" ht="18" hidden="1" customHeight="1" x14ac:dyDescent="0.2">
      <c r="I881" s="204"/>
    </row>
    <row r="882" spans="9:9" ht="18" hidden="1" customHeight="1" x14ac:dyDescent="0.2">
      <c r="I882" s="204"/>
    </row>
    <row r="883" spans="9:9" ht="18" hidden="1" customHeight="1" x14ac:dyDescent="0.2">
      <c r="I883" s="204"/>
    </row>
    <row r="884" spans="9:9" ht="18" hidden="1" customHeight="1" x14ac:dyDescent="0.2">
      <c r="I884" s="204"/>
    </row>
    <row r="885" spans="9:9" ht="18" hidden="1" customHeight="1" x14ac:dyDescent="0.2">
      <c r="I885" s="204"/>
    </row>
    <row r="886" spans="9:9" ht="18" hidden="1" customHeight="1" x14ac:dyDescent="0.2">
      <c r="I886" s="204"/>
    </row>
    <row r="887" spans="9:9" ht="18" hidden="1" customHeight="1" x14ac:dyDescent="0.2">
      <c r="I887" s="204"/>
    </row>
    <row r="888" spans="9:9" ht="18" hidden="1" customHeight="1" x14ac:dyDescent="0.2">
      <c r="I888" s="204"/>
    </row>
    <row r="889" spans="9:9" ht="18" hidden="1" customHeight="1" x14ac:dyDescent="0.2">
      <c r="I889" s="204"/>
    </row>
    <row r="890" spans="9:9" ht="18" hidden="1" customHeight="1" x14ac:dyDescent="0.2">
      <c r="I890" s="204"/>
    </row>
    <row r="891" spans="9:9" ht="18" hidden="1" customHeight="1" x14ac:dyDescent="0.2">
      <c r="I891" s="204"/>
    </row>
    <row r="892" spans="9:9" ht="18" hidden="1" customHeight="1" x14ac:dyDescent="0.2">
      <c r="I892" s="204"/>
    </row>
    <row r="893" spans="9:9" ht="18" hidden="1" customHeight="1" x14ac:dyDescent="0.2">
      <c r="I893" s="204"/>
    </row>
    <row r="894" spans="9:9" ht="18" hidden="1" customHeight="1" x14ac:dyDescent="0.2">
      <c r="I894" s="204"/>
    </row>
    <row r="895" spans="9:9" ht="18" hidden="1" customHeight="1" x14ac:dyDescent="0.2">
      <c r="I895" s="204"/>
    </row>
    <row r="896" spans="9:9" ht="18" hidden="1" customHeight="1" x14ac:dyDescent="0.2">
      <c r="I896" s="204"/>
    </row>
    <row r="897" spans="9:9" ht="18" hidden="1" customHeight="1" x14ac:dyDescent="0.2">
      <c r="I897" s="204"/>
    </row>
    <row r="898" spans="9:9" ht="18" hidden="1" customHeight="1" x14ac:dyDescent="0.2">
      <c r="I898" s="204"/>
    </row>
    <row r="899" spans="9:9" ht="18" hidden="1" customHeight="1" x14ac:dyDescent="0.2">
      <c r="I899" s="204"/>
    </row>
    <row r="900" spans="9:9" ht="18" hidden="1" customHeight="1" x14ac:dyDescent="0.2">
      <c r="I900" s="204"/>
    </row>
    <row r="901" spans="9:9" ht="18" hidden="1" customHeight="1" x14ac:dyDescent="0.2">
      <c r="I901" s="204"/>
    </row>
    <row r="902" spans="9:9" ht="18" hidden="1" customHeight="1" x14ac:dyDescent="0.2">
      <c r="I902" s="204"/>
    </row>
    <row r="903" spans="9:9" ht="18" hidden="1" customHeight="1" x14ac:dyDescent="0.2">
      <c r="I903" s="204"/>
    </row>
    <row r="904" spans="9:9" ht="18" hidden="1" customHeight="1" x14ac:dyDescent="0.2">
      <c r="I904" s="204"/>
    </row>
    <row r="905" spans="9:9" ht="18" hidden="1" customHeight="1" x14ac:dyDescent="0.2">
      <c r="I905" s="204"/>
    </row>
    <row r="906" spans="9:9" ht="18" hidden="1" customHeight="1" x14ac:dyDescent="0.2">
      <c r="I906" s="204"/>
    </row>
    <row r="907" spans="9:9" ht="18" hidden="1" customHeight="1" x14ac:dyDescent="0.2">
      <c r="I907" s="204"/>
    </row>
    <row r="908" spans="9:9" ht="18" hidden="1" customHeight="1" x14ac:dyDescent="0.2">
      <c r="I908" s="204"/>
    </row>
    <row r="909" spans="9:9" ht="18" hidden="1" customHeight="1" x14ac:dyDescent="0.2">
      <c r="I909" s="204"/>
    </row>
    <row r="910" spans="9:9" ht="18" hidden="1" customHeight="1" x14ac:dyDescent="0.2">
      <c r="I910" s="204"/>
    </row>
    <row r="911" spans="9:9" ht="18" hidden="1" customHeight="1" x14ac:dyDescent="0.2">
      <c r="I911" s="204"/>
    </row>
    <row r="912" spans="9:9" ht="18" hidden="1" customHeight="1" x14ac:dyDescent="0.2">
      <c r="I912" s="204"/>
    </row>
    <row r="913" spans="9:9" ht="18" hidden="1" customHeight="1" x14ac:dyDescent="0.2">
      <c r="I913" s="204"/>
    </row>
    <row r="914" spans="9:9" ht="18" hidden="1" customHeight="1" x14ac:dyDescent="0.2">
      <c r="I914" s="204"/>
    </row>
    <row r="915" spans="9:9" ht="18" hidden="1" customHeight="1" x14ac:dyDescent="0.2">
      <c r="I915" s="204"/>
    </row>
    <row r="916" spans="9:9" ht="18" hidden="1" customHeight="1" x14ac:dyDescent="0.2">
      <c r="I916" s="204"/>
    </row>
    <row r="917" spans="9:9" ht="18" hidden="1" customHeight="1" x14ac:dyDescent="0.2">
      <c r="I917" s="204"/>
    </row>
    <row r="918" spans="9:9" ht="18" hidden="1" customHeight="1" x14ac:dyDescent="0.2">
      <c r="I918" s="204"/>
    </row>
    <row r="919" spans="9:9" ht="18" hidden="1" customHeight="1" x14ac:dyDescent="0.2">
      <c r="I919" s="204"/>
    </row>
    <row r="920" spans="9:9" ht="18" hidden="1" customHeight="1" x14ac:dyDescent="0.2">
      <c r="I920" s="204"/>
    </row>
    <row r="921" spans="9:9" ht="18" hidden="1" customHeight="1" x14ac:dyDescent="0.2">
      <c r="I921" s="204"/>
    </row>
    <row r="922" spans="9:9" ht="18" hidden="1" customHeight="1" x14ac:dyDescent="0.2">
      <c r="I922" s="204"/>
    </row>
    <row r="923" spans="9:9" ht="18" hidden="1" customHeight="1" x14ac:dyDescent="0.2">
      <c r="I923" s="204"/>
    </row>
    <row r="924" spans="9:9" ht="18" hidden="1" customHeight="1" x14ac:dyDescent="0.2">
      <c r="I924" s="204"/>
    </row>
    <row r="925" spans="9:9" ht="18" hidden="1" customHeight="1" x14ac:dyDescent="0.2">
      <c r="I925" s="204"/>
    </row>
    <row r="926" spans="9:9" ht="18" hidden="1" customHeight="1" x14ac:dyDescent="0.2">
      <c r="I926" s="204"/>
    </row>
    <row r="927" spans="9:9" ht="18" hidden="1" customHeight="1" x14ac:dyDescent="0.2">
      <c r="I927" s="204"/>
    </row>
    <row r="928" spans="9:9" ht="18" hidden="1" customHeight="1" x14ac:dyDescent="0.2">
      <c r="I928" s="204"/>
    </row>
    <row r="929" spans="9:9" ht="18" hidden="1" customHeight="1" x14ac:dyDescent="0.2">
      <c r="I929" s="204"/>
    </row>
    <row r="930" spans="9:9" ht="18" hidden="1" customHeight="1" x14ac:dyDescent="0.2">
      <c r="I930" s="204"/>
    </row>
    <row r="931" spans="9:9" ht="18" hidden="1" customHeight="1" x14ac:dyDescent="0.2">
      <c r="I931" s="204"/>
    </row>
    <row r="932" spans="9:9" ht="18" hidden="1" customHeight="1" x14ac:dyDescent="0.2">
      <c r="I932" s="204"/>
    </row>
    <row r="933" spans="9:9" ht="18" hidden="1" customHeight="1" x14ac:dyDescent="0.2">
      <c r="I933" s="204"/>
    </row>
    <row r="934" spans="9:9" ht="18" hidden="1" customHeight="1" x14ac:dyDescent="0.2">
      <c r="I934" s="204"/>
    </row>
    <row r="935" spans="9:9" ht="18" hidden="1" customHeight="1" x14ac:dyDescent="0.2">
      <c r="I935" s="204"/>
    </row>
    <row r="936" spans="9:9" ht="18" hidden="1" customHeight="1" x14ac:dyDescent="0.2">
      <c r="I936" s="204"/>
    </row>
    <row r="937" spans="9:9" ht="18" hidden="1" customHeight="1" x14ac:dyDescent="0.2">
      <c r="I937" s="204"/>
    </row>
    <row r="938" spans="9:9" ht="18" hidden="1" customHeight="1" x14ac:dyDescent="0.2">
      <c r="I938" s="204"/>
    </row>
    <row r="939" spans="9:9" ht="18" hidden="1" customHeight="1" x14ac:dyDescent="0.2">
      <c r="I939" s="204"/>
    </row>
    <row r="940" spans="9:9" ht="18" hidden="1" customHeight="1" x14ac:dyDescent="0.2">
      <c r="I940" s="204"/>
    </row>
    <row r="941" spans="9:9" ht="18" hidden="1" customHeight="1" x14ac:dyDescent="0.2">
      <c r="I941" s="204"/>
    </row>
    <row r="942" spans="9:9" ht="18" hidden="1" customHeight="1" x14ac:dyDescent="0.2">
      <c r="I942" s="204"/>
    </row>
    <row r="943" spans="9:9" ht="18" customHeight="1" x14ac:dyDescent="0.2">
      <c r="I943" s="204"/>
    </row>
    <row r="944" spans="9:9" ht="18" customHeight="1" x14ac:dyDescent="0.2">
      <c r="I944" s="204"/>
    </row>
    <row r="945" spans="9:9" ht="18" customHeight="1" x14ac:dyDescent="0.2">
      <c r="I945" s="204"/>
    </row>
    <row r="946" spans="9:9" ht="18" customHeight="1" x14ac:dyDescent="0.2">
      <c r="I946" s="204"/>
    </row>
    <row r="947" spans="9:9" ht="18" customHeight="1" x14ac:dyDescent="0.2">
      <c r="I947" s="204"/>
    </row>
    <row r="948" spans="9:9" ht="18" customHeight="1" x14ac:dyDescent="0.2">
      <c r="I948" s="204"/>
    </row>
    <row r="949" spans="9:9" ht="18" customHeight="1" x14ac:dyDescent="0.2">
      <c r="I949" s="204"/>
    </row>
    <row r="950" spans="9:9" ht="18" customHeight="1" x14ac:dyDescent="0.2">
      <c r="I950" s="204"/>
    </row>
    <row r="951" spans="9:9" ht="18" customHeight="1" x14ac:dyDescent="0.2">
      <c r="I951" s="204"/>
    </row>
    <row r="952" spans="9:9" ht="18" customHeight="1" x14ac:dyDescent="0.2">
      <c r="I952" s="204"/>
    </row>
    <row r="953" spans="9:9" ht="18" customHeight="1" x14ac:dyDescent="0.2">
      <c r="I953" s="204"/>
    </row>
    <row r="954" spans="9:9" ht="18" customHeight="1" x14ac:dyDescent="0.2">
      <c r="I954" s="204"/>
    </row>
  </sheetData>
  <sheetProtection formatCells="0" formatColumns="0" formatRows="0" insertColumns="0" insertRows="0" insertHyperlinks="0" deleteColumns="0" deleteRows="0" sort="0" autoFilter="0" pivotTables="0"/>
  <mergeCells count="1529">
    <mergeCell ref="I776:P776"/>
    <mergeCell ref="I777:P777"/>
    <mergeCell ref="C525:P525"/>
    <mergeCell ref="E526:P526"/>
    <mergeCell ref="C526:D526"/>
    <mergeCell ref="I767:P767"/>
    <mergeCell ref="I768:P768"/>
    <mergeCell ref="I769:P769"/>
    <mergeCell ref="I770:P770"/>
    <mergeCell ref="I771:P771"/>
    <mergeCell ref="I772:P772"/>
    <mergeCell ref="I773:P773"/>
    <mergeCell ref="I774:P774"/>
    <mergeCell ref="I775:P775"/>
    <mergeCell ref="I758:P758"/>
    <mergeCell ref="I759:P759"/>
    <mergeCell ref="I760:P760"/>
    <mergeCell ref="I761:P761"/>
    <mergeCell ref="I762:P762"/>
    <mergeCell ref="I763:P763"/>
    <mergeCell ref="I764:P764"/>
    <mergeCell ref="I765:P765"/>
    <mergeCell ref="I766:P766"/>
    <mergeCell ref="I749:P749"/>
    <mergeCell ref="I750:P750"/>
    <mergeCell ref="I751:P751"/>
    <mergeCell ref="I752:P752"/>
    <mergeCell ref="I753:P753"/>
    <mergeCell ref="I754:P754"/>
    <mergeCell ref="I755:P755"/>
    <mergeCell ref="I756:P756"/>
    <mergeCell ref="I757:P757"/>
    <mergeCell ref="I740:P740"/>
    <mergeCell ref="I741:P741"/>
    <mergeCell ref="I742:P742"/>
    <mergeCell ref="I743:P743"/>
    <mergeCell ref="I744:P744"/>
    <mergeCell ref="I745:P745"/>
    <mergeCell ref="I746:P746"/>
    <mergeCell ref="I747:P747"/>
    <mergeCell ref="I748:P748"/>
    <mergeCell ref="I731:P731"/>
    <mergeCell ref="I732:P732"/>
    <mergeCell ref="I733:P733"/>
    <mergeCell ref="I734:P734"/>
    <mergeCell ref="I735:P735"/>
    <mergeCell ref="I736:P736"/>
    <mergeCell ref="I737:P737"/>
    <mergeCell ref="I738:P738"/>
    <mergeCell ref="I739:P739"/>
    <mergeCell ref="I722:P722"/>
    <mergeCell ref="I723:P723"/>
    <mergeCell ref="I724:P724"/>
    <mergeCell ref="I725:P725"/>
    <mergeCell ref="I726:P726"/>
    <mergeCell ref="I727:P727"/>
    <mergeCell ref="I728:P728"/>
    <mergeCell ref="I729:P729"/>
    <mergeCell ref="I730:P730"/>
    <mergeCell ref="I713:P713"/>
    <mergeCell ref="I714:P714"/>
    <mergeCell ref="I715:P715"/>
    <mergeCell ref="I716:P716"/>
    <mergeCell ref="I717:P717"/>
    <mergeCell ref="I718:P718"/>
    <mergeCell ref="I719:P719"/>
    <mergeCell ref="I720:P720"/>
    <mergeCell ref="I721:P721"/>
    <mergeCell ref="I704:P704"/>
    <mergeCell ref="I705:P705"/>
    <mergeCell ref="I706:P706"/>
    <mergeCell ref="I707:P707"/>
    <mergeCell ref="I708:P708"/>
    <mergeCell ref="I709:P709"/>
    <mergeCell ref="I710:P710"/>
    <mergeCell ref="I711:P711"/>
    <mergeCell ref="I712:P712"/>
    <mergeCell ref="I695:P695"/>
    <mergeCell ref="I696:P696"/>
    <mergeCell ref="I697:P697"/>
    <mergeCell ref="I698:P698"/>
    <mergeCell ref="I699:P699"/>
    <mergeCell ref="I700:P700"/>
    <mergeCell ref="I701:P701"/>
    <mergeCell ref="I702:P702"/>
    <mergeCell ref="I703:P703"/>
    <mergeCell ref="I686:P686"/>
    <mergeCell ref="I687:P687"/>
    <mergeCell ref="I688:P688"/>
    <mergeCell ref="I689:P689"/>
    <mergeCell ref="I690:P690"/>
    <mergeCell ref="I691:P691"/>
    <mergeCell ref="I692:P692"/>
    <mergeCell ref="I693:P693"/>
    <mergeCell ref="I694:P694"/>
    <mergeCell ref="I677:P677"/>
    <mergeCell ref="I678:P678"/>
    <mergeCell ref="I679:P679"/>
    <mergeCell ref="I680:P680"/>
    <mergeCell ref="I681:P681"/>
    <mergeCell ref="I682:P682"/>
    <mergeCell ref="I683:P683"/>
    <mergeCell ref="I684:P684"/>
    <mergeCell ref="I685:P685"/>
    <mergeCell ref="I668:P668"/>
    <mergeCell ref="I669:P669"/>
    <mergeCell ref="I670:P670"/>
    <mergeCell ref="I671:P671"/>
    <mergeCell ref="I672:P672"/>
    <mergeCell ref="I673:P673"/>
    <mergeCell ref="I674:P674"/>
    <mergeCell ref="I675:P675"/>
    <mergeCell ref="I676:P676"/>
    <mergeCell ref="I659:P659"/>
    <mergeCell ref="I660:P660"/>
    <mergeCell ref="I661:P661"/>
    <mergeCell ref="I662:P662"/>
    <mergeCell ref="I663:P663"/>
    <mergeCell ref="I664:P664"/>
    <mergeCell ref="I665:P665"/>
    <mergeCell ref="I666:P666"/>
    <mergeCell ref="I667:P667"/>
    <mergeCell ref="I651:P651"/>
    <mergeCell ref="I652:P652"/>
    <mergeCell ref="I653:P653"/>
    <mergeCell ref="I654:P654"/>
    <mergeCell ref="I655:P655"/>
    <mergeCell ref="I656:P656"/>
    <mergeCell ref="I657:P657"/>
    <mergeCell ref="I658:P658"/>
    <mergeCell ref="I641:P641"/>
    <mergeCell ref="I642:P642"/>
    <mergeCell ref="I643:P643"/>
    <mergeCell ref="I644:P644"/>
    <mergeCell ref="I645:P645"/>
    <mergeCell ref="I646:P646"/>
    <mergeCell ref="I647:P647"/>
    <mergeCell ref="I648:P648"/>
    <mergeCell ref="I649:P649"/>
    <mergeCell ref="I634:P634"/>
    <mergeCell ref="I635:P635"/>
    <mergeCell ref="I636:P636"/>
    <mergeCell ref="I637:P637"/>
    <mergeCell ref="I638:P638"/>
    <mergeCell ref="I639:P639"/>
    <mergeCell ref="I640:P640"/>
    <mergeCell ref="I623:P623"/>
    <mergeCell ref="I624:P624"/>
    <mergeCell ref="I625:P625"/>
    <mergeCell ref="I626:P626"/>
    <mergeCell ref="I627:P627"/>
    <mergeCell ref="I628:P628"/>
    <mergeCell ref="I629:P629"/>
    <mergeCell ref="I630:P630"/>
    <mergeCell ref="I631:P631"/>
    <mergeCell ref="I650:P650"/>
    <mergeCell ref="I617:P617"/>
    <mergeCell ref="I618:P618"/>
    <mergeCell ref="I619:P619"/>
    <mergeCell ref="I620:P620"/>
    <mergeCell ref="I621:P621"/>
    <mergeCell ref="I622:P622"/>
    <mergeCell ref="I605:P605"/>
    <mergeCell ref="I606:P606"/>
    <mergeCell ref="I607:P607"/>
    <mergeCell ref="I608:P608"/>
    <mergeCell ref="I609:P609"/>
    <mergeCell ref="I610:P610"/>
    <mergeCell ref="I611:P611"/>
    <mergeCell ref="I612:P612"/>
    <mergeCell ref="I613:P613"/>
    <mergeCell ref="I632:P632"/>
    <mergeCell ref="I633:P633"/>
    <mergeCell ref="I600:P600"/>
    <mergeCell ref="I601:P601"/>
    <mergeCell ref="I602:P602"/>
    <mergeCell ref="I603:P603"/>
    <mergeCell ref="I604:P604"/>
    <mergeCell ref="I587:P587"/>
    <mergeCell ref="I588:P588"/>
    <mergeCell ref="I589:P589"/>
    <mergeCell ref="I590:P590"/>
    <mergeCell ref="I591:P591"/>
    <mergeCell ref="I592:P592"/>
    <mergeCell ref="I593:P593"/>
    <mergeCell ref="I594:P594"/>
    <mergeCell ref="I595:P595"/>
    <mergeCell ref="I614:P614"/>
    <mergeCell ref="I615:P615"/>
    <mergeCell ref="I616:P616"/>
    <mergeCell ref="I583:P583"/>
    <mergeCell ref="I584:P584"/>
    <mergeCell ref="I585:P585"/>
    <mergeCell ref="I586:P586"/>
    <mergeCell ref="I569:P569"/>
    <mergeCell ref="I570:P570"/>
    <mergeCell ref="I571:P571"/>
    <mergeCell ref="I572:P572"/>
    <mergeCell ref="I573:P573"/>
    <mergeCell ref="I574:P574"/>
    <mergeCell ref="I575:P575"/>
    <mergeCell ref="I576:P576"/>
    <mergeCell ref="I577:P577"/>
    <mergeCell ref="I596:P596"/>
    <mergeCell ref="I597:P597"/>
    <mergeCell ref="I598:P598"/>
    <mergeCell ref="I599:P599"/>
    <mergeCell ref="I566:P566"/>
    <mergeCell ref="I567:P567"/>
    <mergeCell ref="I568:P568"/>
    <mergeCell ref="I551:P551"/>
    <mergeCell ref="I552:P552"/>
    <mergeCell ref="I553:P553"/>
    <mergeCell ref="I554:P554"/>
    <mergeCell ref="I555:P555"/>
    <mergeCell ref="I556:P556"/>
    <mergeCell ref="I557:P557"/>
    <mergeCell ref="I558:P558"/>
    <mergeCell ref="I559:P559"/>
    <mergeCell ref="I578:P578"/>
    <mergeCell ref="I579:P579"/>
    <mergeCell ref="I580:P580"/>
    <mergeCell ref="I581:P581"/>
    <mergeCell ref="I582:P582"/>
    <mergeCell ref="I548:P548"/>
    <mergeCell ref="I549:P549"/>
    <mergeCell ref="I550:P550"/>
    <mergeCell ref="D770:F770"/>
    <mergeCell ref="D771:F771"/>
    <mergeCell ref="D772:F772"/>
    <mergeCell ref="D773:F773"/>
    <mergeCell ref="D774:F774"/>
    <mergeCell ref="D775:F775"/>
    <mergeCell ref="D776:F776"/>
    <mergeCell ref="D777:F777"/>
    <mergeCell ref="D761:F761"/>
    <mergeCell ref="D762:F762"/>
    <mergeCell ref="D763:F763"/>
    <mergeCell ref="D764:F764"/>
    <mergeCell ref="D765:F765"/>
    <mergeCell ref="D766:F766"/>
    <mergeCell ref="D767:F767"/>
    <mergeCell ref="D768:F768"/>
    <mergeCell ref="D769:F769"/>
    <mergeCell ref="D752:F752"/>
    <mergeCell ref="D753:F753"/>
    <mergeCell ref="D754:F754"/>
    <mergeCell ref="D755:F755"/>
    <mergeCell ref="D756:F756"/>
    <mergeCell ref="D757:F757"/>
    <mergeCell ref="I560:P560"/>
    <mergeCell ref="I561:P561"/>
    <mergeCell ref="I562:P562"/>
    <mergeCell ref="I563:P563"/>
    <mergeCell ref="I564:P564"/>
    <mergeCell ref="I565:P565"/>
    <mergeCell ref="D758:F758"/>
    <mergeCell ref="D759:F759"/>
    <mergeCell ref="D760:F760"/>
    <mergeCell ref="D743:F743"/>
    <mergeCell ref="D744:F744"/>
    <mergeCell ref="D745:F745"/>
    <mergeCell ref="D746:F746"/>
    <mergeCell ref="D747:F747"/>
    <mergeCell ref="D748:F748"/>
    <mergeCell ref="D749:F749"/>
    <mergeCell ref="D750:F750"/>
    <mergeCell ref="D751:F751"/>
    <mergeCell ref="D734:F734"/>
    <mergeCell ref="D735:F735"/>
    <mergeCell ref="D736:F736"/>
    <mergeCell ref="D737:F737"/>
    <mergeCell ref="D738:F738"/>
    <mergeCell ref="D739:F739"/>
    <mergeCell ref="D740:F740"/>
    <mergeCell ref="D741:F741"/>
    <mergeCell ref="D742:F742"/>
    <mergeCell ref="D725:F725"/>
    <mergeCell ref="D726:F726"/>
    <mergeCell ref="D727:F727"/>
    <mergeCell ref="D728:F728"/>
    <mergeCell ref="D729:F729"/>
    <mergeCell ref="D730:F730"/>
    <mergeCell ref="D731:F731"/>
    <mergeCell ref="D732:F732"/>
    <mergeCell ref="D733:F733"/>
    <mergeCell ref="D716:F716"/>
    <mergeCell ref="D717:F717"/>
    <mergeCell ref="D718:F718"/>
    <mergeCell ref="D719:F719"/>
    <mergeCell ref="D720:F720"/>
    <mergeCell ref="D721:F721"/>
    <mergeCell ref="D722:F722"/>
    <mergeCell ref="D723:F723"/>
    <mergeCell ref="D724:F724"/>
    <mergeCell ref="D707:F707"/>
    <mergeCell ref="D708:F708"/>
    <mergeCell ref="D709:F709"/>
    <mergeCell ref="D710:F710"/>
    <mergeCell ref="D711:F711"/>
    <mergeCell ref="D712:F712"/>
    <mergeCell ref="D713:F713"/>
    <mergeCell ref="D714:F714"/>
    <mergeCell ref="D715:F715"/>
    <mergeCell ref="D698:F698"/>
    <mergeCell ref="D699:F699"/>
    <mergeCell ref="D700:F700"/>
    <mergeCell ref="D701:F701"/>
    <mergeCell ref="D702:F702"/>
    <mergeCell ref="D703:F703"/>
    <mergeCell ref="D704:F704"/>
    <mergeCell ref="D705:F705"/>
    <mergeCell ref="D706:F706"/>
    <mergeCell ref="D689:F689"/>
    <mergeCell ref="D690:F690"/>
    <mergeCell ref="D691:F691"/>
    <mergeCell ref="D692:F692"/>
    <mergeCell ref="D693:F693"/>
    <mergeCell ref="D694:F694"/>
    <mergeCell ref="D695:F695"/>
    <mergeCell ref="D696:F696"/>
    <mergeCell ref="D697:F697"/>
    <mergeCell ref="D680:F680"/>
    <mergeCell ref="D681:F681"/>
    <mergeCell ref="D682:F682"/>
    <mergeCell ref="D683:F683"/>
    <mergeCell ref="D684:F684"/>
    <mergeCell ref="D685:F685"/>
    <mergeCell ref="D686:F686"/>
    <mergeCell ref="D687:F687"/>
    <mergeCell ref="D688:F688"/>
    <mergeCell ref="D671:F671"/>
    <mergeCell ref="D672:F672"/>
    <mergeCell ref="D673:F673"/>
    <mergeCell ref="D674:F674"/>
    <mergeCell ref="D675:F675"/>
    <mergeCell ref="D676:F676"/>
    <mergeCell ref="D677:F677"/>
    <mergeCell ref="D678:F678"/>
    <mergeCell ref="D679:F679"/>
    <mergeCell ref="D662:F662"/>
    <mergeCell ref="D663:F663"/>
    <mergeCell ref="D664:F664"/>
    <mergeCell ref="D665:F665"/>
    <mergeCell ref="D666:F666"/>
    <mergeCell ref="D667:F667"/>
    <mergeCell ref="D668:F668"/>
    <mergeCell ref="D669:F669"/>
    <mergeCell ref="D670:F670"/>
    <mergeCell ref="D653:F653"/>
    <mergeCell ref="D654:F654"/>
    <mergeCell ref="D655:F655"/>
    <mergeCell ref="D656:F656"/>
    <mergeCell ref="D657:F657"/>
    <mergeCell ref="D658:F658"/>
    <mergeCell ref="D659:F659"/>
    <mergeCell ref="D660:F660"/>
    <mergeCell ref="D661:F661"/>
    <mergeCell ref="D644:F644"/>
    <mergeCell ref="D645:F645"/>
    <mergeCell ref="D646:F646"/>
    <mergeCell ref="D647:F647"/>
    <mergeCell ref="D648:F648"/>
    <mergeCell ref="D649:F649"/>
    <mergeCell ref="D650:F650"/>
    <mergeCell ref="D651:F651"/>
    <mergeCell ref="D652:F652"/>
    <mergeCell ref="D635:F635"/>
    <mergeCell ref="D636:F636"/>
    <mergeCell ref="D637:F637"/>
    <mergeCell ref="D638:F638"/>
    <mergeCell ref="D639:F639"/>
    <mergeCell ref="D640:F640"/>
    <mergeCell ref="D641:F641"/>
    <mergeCell ref="D642:F642"/>
    <mergeCell ref="D643:F643"/>
    <mergeCell ref="D626:F626"/>
    <mergeCell ref="D627:F627"/>
    <mergeCell ref="D628:F628"/>
    <mergeCell ref="D629:F629"/>
    <mergeCell ref="D630:F630"/>
    <mergeCell ref="D631:F631"/>
    <mergeCell ref="D632:F632"/>
    <mergeCell ref="D633:F633"/>
    <mergeCell ref="D634:F634"/>
    <mergeCell ref="D617:F617"/>
    <mergeCell ref="D618:F618"/>
    <mergeCell ref="D619:F619"/>
    <mergeCell ref="D620:F620"/>
    <mergeCell ref="D621:F621"/>
    <mergeCell ref="D622:F622"/>
    <mergeCell ref="D623:F623"/>
    <mergeCell ref="D624:F624"/>
    <mergeCell ref="D625:F625"/>
    <mergeCell ref="D608:F608"/>
    <mergeCell ref="D609:F609"/>
    <mergeCell ref="D610:F610"/>
    <mergeCell ref="D611:F611"/>
    <mergeCell ref="D612:F612"/>
    <mergeCell ref="D613:F613"/>
    <mergeCell ref="D614:F614"/>
    <mergeCell ref="D615:F615"/>
    <mergeCell ref="D616:F616"/>
    <mergeCell ref="D599:F599"/>
    <mergeCell ref="D600:F600"/>
    <mergeCell ref="D601:F601"/>
    <mergeCell ref="D602:F602"/>
    <mergeCell ref="D603:F603"/>
    <mergeCell ref="D604:F604"/>
    <mergeCell ref="D605:F605"/>
    <mergeCell ref="D606:F606"/>
    <mergeCell ref="D607:F607"/>
    <mergeCell ref="D590:F590"/>
    <mergeCell ref="D591:F591"/>
    <mergeCell ref="D592:F592"/>
    <mergeCell ref="D593:F593"/>
    <mergeCell ref="D594:F594"/>
    <mergeCell ref="D595:F595"/>
    <mergeCell ref="D596:F596"/>
    <mergeCell ref="D597:F597"/>
    <mergeCell ref="D598:F598"/>
    <mergeCell ref="D587:F587"/>
    <mergeCell ref="D588:F588"/>
    <mergeCell ref="D589:F589"/>
    <mergeCell ref="D469:F469"/>
    <mergeCell ref="I469:J469"/>
    <mergeCell ref="D470:F470"/>
    <mergeCell ref="I470:J470"/>
    <mergeCell ref="D471:F471"/>
    <mergeCell ref="I471:J471"/>
    <mergeCell ref="D578:F578"/>
    <mergeCell ref="D579:F579"/>
    <mergeCell ref="D580:F580"/>
    <mergeCell ref="I527:P527"/>
    <mergeCell ref="I528:P528"/>
    <mergeCell ref="I529:P529"/>
    <mergeCell ref="I530:P530"/>
    <mergeCell ref="I531:P531"/>
    <mergeCell ref="I532:P532"/>
    <mergeCell ref="I533:P533"/>
    <mergeCell ref="I534:P534"/>
    <mergeCell ref="I535:P535"/>
    <mergeCell ref="I536:P536"/>
    <mergeCell ref="I537:P537"/>
    <mergeCell ref="I538:P538"/>
    <mergeCell ref="I539:P539"/>
    <mergeCell ref="I540:P540"/>
    <mergeCell ref="I542:P542"/>
    <mergeCell ref="I543:P543"/>
    <mergeCell ref="I544:P544"/>
    <mergeCell ref="I545:P545"/>
    <mergeCell ref="I546:P546"/>
    <mergeCell ref="I547:P547"/>
    <mergeCell ref="D472:F472"/>
    <mergeCell ref="D473:F473"/>
    <mergeCell ref="D474:F474"/>
    <mergeCell ref="D475:F475"/>
    <mergeCell ref="D476:F476"/>
    <mergeCell ref="D482:F482"/>
    <mergeCell ref="D483:F483"/>
    <mergeCell ref="D484:F484"/>
    <mergeCell ref="D485:F485"/>
    <mergeCell ref="D486:F486"/>
    <mergeCell ref="D477:F477"/>
    <mergeCell ref="D581:F581"/>
    <mergeCell ref="D582:F582"/>
    <mergeCell ref="D583:F583"/>
    <mergeCell ref="D584:F584"/>
    <mergeCell ref="D585:F585"/>
    <mergeCell ref="D586:F586"/>
    <mergeCell ref="D478:F478"/>
    <mergeCell ref="D479:F479"/>
    <mergeCell ref="D480:F480"/>
    <mergeCell ref="D481:F481"/>
    <mergeCell ref="D492:F492"/>
    <mergeCell ref="D493:F493"/>
    <mergeCell ref="D494:F494"/>
    <mergeCell ref="D495:F495"/>
    <mergeCell ref="D496:F496"/>
    <mergeCell ref="D487:F487"/>
    <mergeCell ref="D488:F488"/>
    <mergeCell ref="D489:F489"/>
    <mergeCell ref="D490:F490"/>
    <mergeCell ref="D491:F491"/>
    <mergeCell ref="D511:F511"/>
    <mergeCell ref="D464:F464"/>
    <mergeCell ref="I464:J464"/>
    <mergeCell ref="D465:F465"/>
    <mergeCell ref="I465:J465"/>
    <mergeCell ref="D466:F466"/>
    <mergeCell ref="I466:J466"/>
    <mergeCell ref="D467:F467"/>
    <mergeCell ref="I467:J467"/>
    <mergeCell ref="D468:F468"/>
    <mergeCell ref="I468:J468"/>
    <mergeCell ref="D459:F459"/>
    <mergeCell ref="I459:J459"/>
    <mergeCell ref="D460:F460"/>
    <mergeCell ref="I460:J460"/>
    <mergeCell ref="D461:F461"/>
    <mergeCell ref="I461:J461"/>
    <mergeCell ref="D462:F462"/>
    <mergeCell ref="I462:J462"/>
    <mergeCell ref="D463:F463"/>
    <mergeCell ref="I463:J463"/>
    <mergeCell ref="D454:F454"/>
    <mergeCell ref="I454:J454"/>
    <mergeCell ref="D455:F455"/>
    <mergeCell ref="I455:J455"/>
    <mergeCell ref="D456:F456"/>
    <mergeCell ref="I456:J456"/>
    <mergeCell ref="D457:F457"/>
    <mergeCell ref="I457:J457"/>
    <mergeCell ref="D458:F458"/>
    <mergeCell ref="I458:J458"/>
    <mergeCell ref="D449:F449"/>
    <mergeCell ref="I449:J449"/>
    <mergeCell ref="D450:F450"/>
    <mergeCell ref="I450:J450"/>
    <mergeCell ref="D451:F451"/>
    <mergeCell ref="I451:J451"/>
    <mergeCell ref="D452:F452"/>
    <mergeCell ref="I452:J452"/>
    <mergeCell ref="D453:F453"/>
    <mergeCell ref="I453:J453"/>
    <mergeCell ref="D444:F444"/>
    <mergeCell ref="I444:J444"/>
    <mergeCell ref="D445:F445"/>
    <mergeCell ref="I445:J445"/>
    <mergeCell ref="D446:F446"/>
    <mergeCell ref="I446:J446"/>
    <mergeCell ref="D447:F447"/>
    <mergeCell ref="I447:J447"/>
    <mergeCell ref="D448:F448"/>
    <mergeCell ref="I448:J448"/>
    <mergeCell ref="D439:F439"/>
    <mergeCell ref="I439:J439"/>
    <mergeCell ref="D440:F440"/>
    <mergeCell ref="I440:J440"/>
    <mergeCell ref="D441:F441"/>
    <mergeCell ref="I441:J441"/>
    <mergeCell ref="D442:F442"/>
    <mergeCell ref="I442:J442"/>
    <mergeCell ref="D443:F443"/>
    <mergeCell ref="I443:J443"/>
    <mergeCell ref="D434:F434"/>
    <mergeCell ref="I434:J434"/>
    <mergeCell ref="D435:F435"/>
    <mergeCell ref="I435:J435"/>
    <mergeCell ref="D436:F436"/>
    <mergeCell ref="I436:J436"/>
    <mergeCell ref="D437:F437"/>
    <mergeCell ref="I437:J437"/>
    <mergeCell ref="D438:F438"/>
    <mergeCell ref="I438:J438"/>
    <mergeCell ref="D429:F429"/>
    <mergeCell ref="I429:J429"/>
    <mergeCell ref="D430:F430"/>
    <mergeCell ref="I430:J430"/>
    <mergeCell ref="D431:F431"/>
    <mergeCell ref="I431:J431"/>
    <mergeCell ref="D432:F432"/>
    <mergeCell ref="I432:J432"/>
    <mergeCell ref="D433:F433"/>
    <mergeCell ref="I433:J433"/>
    <mergeCell ref="D424:F424"/>
    <mergeCell ref="I424:J424"/>
    <mergeCell ref="D425:F425"/>
    <mergeCell ref="I425:J425"/>
    <mergeCell ref="D426:F426"/>
    <mergeCell ref="I426:J426"/>
    <mergeCell ref="D427:F427"/>
    <mergeCell ref="I427:J427"/>
    <mergeCell ref="D428:F428"/>
    <mergeCell ref="I428:J428"/>
    <mergeCell ref="D419:F419"/>
    <mergeCell ref="I419:J419"/>
    <mergeCell ref="D420:F420"/>
    <mergeCell ref="I420:J420"/>
    <mergeCell ref="D421:F421"/>
    <mergeCell ref="I421:J421"/>
    <mergeCell ref="D422:F422"/>
    <mergeCell ref="I422:J422"/>
    <mergeCell ref="D423:F423"/>
    <mergeCell ref="I423:J423"/>
    <mergeCell ref="D414:F414"/>
    <mergeCell ref="I414:J414"/>
    <mergeCell ref="D415:F415"/>
    <mergeCell ref="I415:J415"/>
    <mergeCell ref="D416:F416"/>
    <mergeCell ref="I416:J416"/>
    <mergeCell ref="D417:F417"/>
    <mergeCell ref="I417:J417"/>
    <mergeCell ref="D418:F418"/>
    <mergeCell ref="I418:J418"/>
    <mergeCell ref="D409:F409"/>
    <mergeCell ref="I409:J409"/>
    <mergeCell ref="D410:F410"/>
    <mergeCell ref="I410:J410"/>
    <mergeCell ref="D411:F411"/>
    <mergeCell ref="I411:J411"/>
    <mergeCell ref="D412:F412"/>
    <mergeCell ref="I412:J412"/>
    <mergeCell ref="D413:F413"/>
    <mergeCell ref="I413:J413"/>
    <mergeCell ref="D404:F404"/>
    <mergeCell ref="I404:J404"/>
    <mergeCell ref="D405:F405"/>
    <mergeCell ref="I405:J405"/>
    <mergeCell ref="D406:F406"/>
    <mergeCell ref="I406:J406"/>
    <mergeCell ref="D407:F407"/>
    <mergeCell ref="I407:J407"/>
    <mergeCell ref="D408:F408"/>
    <mergeCell ref="I408:J408"/>
    <mergeCell ref="D399:F399"/>
    <mergeCell ref="I399:J399"/>
    <mergeCell ref="D400:F400"/>
    <mergeCell ref="I400:J400"/>
    <mergeCell ref="D401:F401"/>
    <mergeCell ref="I401:J401"/>
    <mergeCell ref="D402:F402"/>
    <mergeCell ref="I402:J402"/>
    <mergeCell ref="D403:F403"/>
    <mergeCell ref="I403:J403"/>
    <mergeCell ref="D394:F394"/>
    <mergeCell ref="I394:J394"/>
    <mergeCell ref="D395:F395"/>
    <mergeCell ref="I395:J395"/>
    <mergeCell ref="D396:F396"/>
    <mergeCell ref="I396:J396"/>
    <mergeCell ref="D397:F397"/>
    <mergeCell ref="I397:J397"/>
    <mergeCell ref="D398:F398"/>
    <mergeCell ref="I398:J398"/>
    <mergeCell ref="D389:F389"/>
    <mergeCell ref="I389:J389"/>
    <mergeCell ref="D390:F390"/>
    <mergeCell ref="I390:J390"/>
    <mergeCell ref="D391:F391"/>
    <mergeCell ref="I391:J391"/>
    <mergeCell ref="D392:F392"/>
    <mergeCell ref="I392:J392"/>
    <mergeCell ref="D393:F393"/>
    <mergeCell ref="I393:J393"/>
    <mergeCell ref="D384:F384"/>
    <mergeCell ref="I384:J384"/>
    <mergeCell ref="D385:F385"/>
    <mergeCell ref="I385:J385"/>
    <mergeCell ref="D386:F386"/>
    <mergeCell ref="I386:J386"/>
    <mergeCell ref="D387:F387"/>
    <mergeCell ref="I387:J387"/>
    <mergeCell ref="D388:F388"/>
    <mergeCell ref="I388:J388"/>
    <mergeCell ref="D379:F379"/>
    <mergeCell ref="I379:J379"/>
    <mergeCell ref="D380:F380"/>
    <mergeCell ref="I380:J380"/>
    <mergeCell ref="D381:F381"/>
    <mergeCell ref="I381:J381"/>
    <mergeCell ref="D382:F382"/>
    <mergeCell ref="I382:J382"/>
    <mergeCell ref="D383:F383"/>
    <mergeCell ref="I383:J383"/>
    <mergeCell ref="D374:F374"/>
    <mergeCell ref="I374:J374"/>
    <mergeCell ref="D375:F375"/>
    <mergeCell ref="I375:J375"/>
    <mergeCell ref="D376:F376"/>
    <mergeCell ref="I376:J376"/>
    <mergeCell ref="D377:F377"/>
    <mergeCell ref="I377:J377"/>
    <mergeCell ref="D378:F378"/>
    <mergeCell ref="I378:J378"/>
    <mergeCell ref="D369:F369"/>
    <mergeCell ref="I369:J369"/>
    <mergeCell ref="D370:F370"/>
    <mergeCell ref="I370:J370"/>
    <mergeCell ref="D371:F371"/>
    <mergeCell ref="I371:J371"/>
    <mergeCell ref="D372:F372"/>
    <mergeCell ref="I372:J372"/>
    <mergeCell ref="D373:F373"/>
    <mergeCell ref="I373:J373"/>
    <mergeCell ref="D364:F364"/>
    <mergeCell ref="I364:J364"/>
    <mergeCell ref="D365:F365"/>
    <mergeCell ref="I365:J365"/>
    <mergeCell ref="D366:F366"/>
    <mergeCell ref="I366:J366"/>
    <mergeCell ref="D367:F367"/>
    <mergeCell ref="I367:J367"/>
    <mergeCell ref="D368:F368"/>
    <mergeCell ref="I368:J368"/>
    <mergeCell ref="D359:F359"/>
    <mergeCell ref="I359:J359"/>
    <mergeCell ref="D360:F360"/>
    <mergeCell ref="I360:J360"/>
    <mergeCell ref="D361:F361"/>
    <mergeCell ref="I361:J361"/>
    <mergeCell ref="D362:F362"/>
    <mergeCell ref="I362:J362"/>
    <mergeCell ref="D363:F363"/>
    <mergeCell ref="I363:J363"/>
    <mergeCell ref="D354:F354"/>
    <mergeCell ref="I354:J354"/>
    <mergeCell ref="D355:F355"/>
    <mergeCell ref="I355:J355"/>
    <mergeCell ref="D356:F356"/>
    <mergeCell ref="I356:J356"/>
    <mergeCell ref="D357:F357"/>
    <mergeCell ref="I357:J357"/>
    <mergeCell ref="D358:F358"/>
    <mergeCell ref="I358:J358"/>
    <mergeCell ref="D349:F349"/>
    <mergeCell ref="I349:J349"/>
    <mergeCell ref="D350:F350"/>
    <mergeCell ref="I350:J350"/>
    <mergeCell ref="D351:F351"/>
    <mergeCell ref="I351:J351"/>
    <mergeCell ref="D352:F352"/>
    <mergeCell ref="I352:J352"/>
    <mergeCell ref="D353:F353"/>
    <mergeCell ref="I353:J353"/>
    <mergeCell ref="D344:F344"/>
    <mergeCell ref="I344:J344"/>
    <mergeCell ref="D345:F345"/>
    <mergeCell ref="I345:J345"/>
    <mergeCell ref="D346:F346"/>
    <mergeCell ref="I346:J346"/>
    <mergeCell ref="D347:F347"/>
    <mergeCell ref="I347:J347"/>
    <mergeCell ref="D348:F348"/>
    <mergeCell ref="I348:J348"/>
    <mergeCell ref="D339:F339"/>
    <mergeCell ref="I339:J339"/>
    <mergeCell ref="D340:F340"/>
    <mergeCell ref="I340:J340"/>
    <mergeCell ref="D341:F341"/>
    <mergeCell ref="I341:J341"/>
    <mergeCell ref="D342:F342"/>
    <mergeCell ref="I342:J342"/>
    <mergeCell ref="D343:F343"/>
    <mergeCell ref="I343:J343"/>
    <mergeCell ref="D334:F334"/>
    <mergeCell ref="I334:J334"/>
    <mergeCell ref="D335:F335"/>
    <mergeCell ref="I335:J335"/>
    <mergeCell ref="D336:F336"/>
    <mergeCell ref="I336:J336"/>
    <mergeCell ref="D337:F337"/>
    <mergeCell ref="I337:J337"/>
    <mergeCell ref="D338:F338"/>
    <mergeCell ref="I338:J338"/>
    <mergeCell ref="D329:F329"/>
    <mergeCell ref="I329:J329"/>
    <mergeCell ref="D330:F330"/>
    <mergeCell ref="I330:J330"/>
    <mergeCell ref="D331:F331"/>
    <mergeCell ref="I331:J331"/>
    <mergeCell ref="D332:F332"/>
    <mergeCell ref="I332:J332"/>
    <mergeCell ref="D333:F333"/>
    <mergeCell ref="I333:J333"/>
    <mergeCell ref="D324:F324"/>
    <mergeCell ref="I324:J324"/>
    <mergeCell ref="D325:F325"/>
    <mergeCell ref="I325:J325"/>
    <mergeCell ref="D326:F326"/>
    <mergeCell ref="I326:J326"/>
    <mergeCell ref="D327:F327"/>
    <mergeCell ref="I327:J327"/>
    <mergeCell ref="D328:F328"/>
    <mergeCell ref="I328:J328"/>
    <mergeCell ref="D319:F319"/>
    <mergeCell ref="I319:J319"/>
    <mergeCell ref="D320:F320"/>
    <mergeCell ref="I320:J320"/>
    <mergeCell ref="D321:F321"/>
    <mergeCell ref="I321:J321"/>
    <mergeCell ref="D322:F322"/>
    <mergeCell ref="I322:J322"/>
    <mergeCell ref="D323:F323"/>
    <mergeCell ref="I323:J323"/>
    <mergeCell ref="D314:F314"/>
    <mergeCell ref="I314:J314"/>
    <mergeCell ref="D315:F315"/>
    <mergeCell ref="I315:J315"/>
    <mergeCell ref="D316:F316"/>
    <mergeCell ref="I316:J316"/>
    <mergeCell ref="D317:F317"/>
    <mergeCell ref="I317:J317"/>
    <mergeCell ref="D318:F318"/>
    <mergeCell ref="I318:J318"/>
    <mergeCell ref="D309:F309"/>
    <mergeCell ref="I309:J309"/>
    <mergeCell ref="D310:F310"/>
    <mergeCell ref="I310:J310"/>
    <mergeCell ref="D311:F311"/>
    <mergeCell ref="I311:J311"/>
    <mergeCell ref="D312:F312"/>
    <mergeCell ref="I312:J312"/>
    <mergeCell ref="D313:F313"/>
    <mergeCell ref="I313:J313"/>
    <mergeCell ref="D304:F304"/>
    <mergeCell ref="I304:J304"/>
    <mergeCell ref="D305:F305"/>
    <mergeCell ref="I305:J305"/>
    <mergeCell ref="D306:F306"/>
    <mergeCell ref="I306:J306"/>
    <mergeCell ref="D307:F307"/>
    <mergeCell ref="I307:J307"/>
    <mergeCell ref="D308:F308"/>
    <mergeCell ref="I308:J308"/>
    <mergeCell ref="D299:F299"/>
    <mergeCell ref="I299:J299"/>
    <mergeCell ref="D300:F300"/>
    <mergeCell ref="I300:J300"/>
    <mergeCell ref="D301:F301"/>
    <mergeCell ref="I301:J301"/>
    <mergeCell ref="D302:F302"/>
    <mergeCell ref="I302:J302"/>
    <mergeCell ref="D303:F303"/>
    <mergeCell ref="I303:J303"/>
    <mergeCell ref="D294:F294"/>
    <mergeCell ref="I294:J294"/>
    <mergeCell ref="D295:F295"/>
    <mergeCell ref="I295:J295"/>
    <mergeCell ref="D296:F296"/>
    <mergeCell ref="I296:J296"/>
    <mergeCell ref="D297:F297"/>
    <mergeCell ref="I297:J297"/>
    <mergeCell ref="D298:F298"/>
    <mergeCell ref="I298:J298"/>
    <mergeCell ref="D289:F289"/>
    <mergeCell ref="I289:J289"/>
    <mergeCell ref="D290:F290"/>
    <mergeCell ref="I290:J290"/>
    <mergeCell ref="D291:F291"/>
    <mergeCell ref="I291:J291"/>
    <mergeCell ref="D292:F292"/>
    <mergeCell ref="I292:J292"/>
    <mergeCell ref="D293:F293"/>
    <mergeCell ref="I293:J293"/>
    <mergeCell ref="D284:F284"/>
    <mergeCell ref="I284:J284"/>
    <mergeCell ref="D285:F285"/>
    <mergeCell ref="I285:J285"/>
    <mergeCell ref="D286:F286"/>
    <mergeCell ref="I286:J286"/>
    <mergeCell ref="D287:F287"/>
    <mergeCell ref="I287:J287"/>
    <mergeCell ref="D288:F288"/>
    <mergeCell ref="I288:J288"/>
    <mergeCell ref="I279:J279"/>
    <mergeCell ref="D280:F280"/>
    <mergeCell ref="I280:J280"/>
    <mergeCell ref="D281:F281"/>
    <mergeCell ref="I281:J281"/>
    <mergeCell ref="D282:F282"/>
    <mergeCell ref="I282:J282"/>
    <mergeCell ref="D283:F283"/>
    <mergeCell ref="I283:J283"/>
    <mergeCell ref="D279:F279"/>
    <mergeCell ref="D207:F207"/>
    <mergeCell ref="I207:J207"/>
    <mergeCell ref="D208:F208"/>
    <mergeCell ref="I208:J208"/>
    <mergeCell ref="D246:F246"/>
    <mergeCell ref="I246:J246"/>
    <mergeCell ref="D247:F247"/>
    <mergeCell ref="I247:J247"/>
    <mergeCell ref="D248:F248"/>
    <mergeCell ref="I248:J248"/>
    <mergeCell ref="D202:F202"/>
    <mergeCell ref="I202:J202"/>
    <mergeCell ref="D203:F203"/>
    <mergeCell ref="I203:J203"/>
    <mergeCell ref="D204:F204"/>
    <mergeCell ref="I204:J204"/>
    <mergeCell ref="D205:F205"/>
    <mergeCell ref="I205:J205"/>
    <mergeCell ref="D206:F206"/>
    <mergeCell ref="I206:J206"/>
    <mergeCell ref="I215:J215"/>
    <mergeCell ref="D216:F216"/>
    <mergeCell ref="I216:J216"/>
    <mergeCell ref="D211:F211"/>
    <mergeCell ref="I211:J211"/>
    <mergeCell ref="D212:F212"/>
    <mergeCell ref="I212:J212"/>
    <mergeCell ref="D213:F213"/>
    <mergeCell ref="I213:J213"/>
    <mergeCell ref="D220:F220"/>
    <mergeCell ref="I220:J220"/>
    <mergeCell ref="D221:F221"/>
    <mergeCell ref="D197:F197"/>
    <mergeCell ref="I197:J197"/>
    <mergeCell ref="D198:F198"/>
    <mergeCell ref="I198:J198"/>
    <mergeCell ref="D199:F199"/>
    <mergeCell ref="I199:J199"/>
    <mergeCell ref="D200:F200"/>
    <mergeCell ref="I200:J200"/>
    <mergeCell ref="D201:F201"/>
    <mergeCell ref="I201:J201"/>
    <mergeCell ref="D192:F192"/>
    <mergeCell ref="I192:J192"/>
    <mergeCell ref="D193:F193"/>
    <mergeCell ref="I193:J193"/>
    <mergeCell ref="D194:F194"/>
    <mergeCell ref="I194:J194"/>
    <mergeCell ref="D195:F195"/>
    <mergeCell ref="I195:J195"/>
    <mergeCell ref="D196:F196"/>
    <mergeCell ref="I196:J196"/>
    <mergeCell ref="D187:F187"/>
    <mergeCell ref="I187:J187"/>
    <mergeCell ref="D188:F188"/>
    <mergeCell ref="I188:J188"/>
    <mergeCell ref="D189:F189"/>
    <mergeCell ref="I189:J189"/>
    <mergeCell ref="D190:F190"/>
    <mergeCell ref="I190:J190"/>
    <mergeCell ref="D191:F191"/>
    <mergeCell ref="I191:J191"/>
    <mergeCell ref="D182:F182"/>
    <mergeCell ref="I182:J182"/>
    <mergeCell ref="D183:F183"/>
    <mergeCell ref="I183:J183"/>
    <mergeCell ref="D184:F184"/>
    <mergeCell ref="I184:J184"/>
    <mergeCell ref="D185:F185"/>
    <mergeCell ref="I185:J185"/>
    <mergeCell ref="D186:F186"/>
    <mergeCell ref="I186:J186"/>
    <mergeCell ref="D177:F177"/>
    <mergeCell ref="I177:J177"/>
    <mergeCell ref="D178:F178"/>
    <mergeCell ref="I178:J178"/>
    <mergeCell ref="D179:F179"/>
    <mergeCell ref="I179:J179"/>
    <mergeCell ref="D180:F180"/>
    <mergeCell ref="I180:J180"/>
    <mergeCell ref="D181:F181"/>
    <mergeCell ref="I181:J181"/>
    <mergeCell ref="D172:F172"/>
    <mergeCell ref="I172:J172"/>
    <mergeCell ref="D173:F173"/>
    <mergeCell ref="I173:J173"/>
    <mergeCell ref="D174:F174"/>
    <mergeCell ref="I174:J174"/>
    <mergeCell ref="D175:F175"/>
    <mergeCell ref="I175:J175"/>
    <mergeCell ref="D176:F176"/>
    <mergeCell ref="I176:J176"/>
    <mergeCell ref="D167:F167"/>
    <mergeCell ref="I167:J167"/>
    <mergeCell ref="D168:F168"/>
    <mergeCell ref="I168:J168"/>
    <mergeCell ref="D169:F169"/>
    <mergeCell ref="I169:J169"/>
    <mergeCell ref="D170:F170"/>
    <mergeCell ref="I170:J170"/>
    <mergeCell ref="D171:F171"/>
    <mergeCell ref="I171:J171"/>
    <mergeCell ref="D162:F162"/>
    <mergeCell ref="I162:J162"/>
    <mergeCell ref="D163:F163"/>
    <mergeCell ref="I163:J163"/>
    <mergeCell ref="D164:F164"/>
    <mergeCell ref="I164:J164"/>
    <mergeCell ref="D165:F165"/>
    <mergeCell ref="I165:J165"/>
    <mergeCell ref="D166:F166"/>
    <mergeCell ref="I166:J166"/>
    <mergeCell ref="D157:F157"/>
    <mergeCell ref="I157:J157"/>
    <mergeCell ref="D158:F158"/>
    <mergeCell ref="I158:J158"/>
    <mergeCell ref="D159:F159"/>
    <mergeCell ref="I159:J159"/>
    <mergeCell ref="D160:F160"/>
    <mergeCell ref="I160:J160"/>
    <mergeCell ref="D161:F161"/>
    <mergeCell ref="I161:J161"/>
    <mergeCell ref="D152:F152"/>
    <mergeCell ref="I152:J152"/>
    <mergeCell ref="D153:F153"/>
    <mergeCell ref="I153:J153"/>
    <mergeCell ref="D154:F154"/>
    <mergeCell ref="I154:J154"/>
    <mergeCell ref="D155:F155"/>
    <mergeCell ref="I155:J155"/>
    <mergeCell ref="D156:F156"/>
    <mergeCell ref="I156:J156"/>
    <mergeCell ref="D147:F147"/>
    <mergeCell ref="I147:J147"/>
    <mergeCell ref="D148:F148"/>
    <mergeCell ref="I148:J148"/>
    <mergeCell ref="D149:F149"/>
    <mergeCell ref="I149:J149"/>
    <mergeCell ref="D150:F150"/>
    <mergeCell ref="I150:J150"/>
    <mergeCell ref="D151:F151"/>
    <mergeCell ref="I151:J151"/>
    <mergeCell ref="D142:F142"/>
    <mergeCell ref="I142:J142"/>
    <mergeCell ref="D143:F143"/>
    <mergeCell ref="I143:J143"/>
    <mergeCell ref="D144:F144"/>
    <mergeCell ref="I144:J144"/>
    <mergeCell ref="D145:F145"/>
    <mergeCell ref="I145:J145"/>
    <mergeCell ref="D146:F146"/>
    <mergeCell ref="I146:J146"/>
    <mergeCell ref="D137:F137"/>
    <mergeCell ref="I137:J137"/>
    <mergeCell ref="D138:F138"/>
    <mergeCell ref="I138:J138"/>
    <mergeCell ref="D139:F139"/>
    <mergeCell ref="I139:J139"/>
    <mergeCell ref="D140:F140"/>
    <mergeCell ref="I140:J140"/>
    <mergeCell ref="D141:F141"/>
    <mergeCell ref="I141:J141"/>
    <mergeCell ref="D132:F132"/>
    <mergeCell ref="I132:J132"/>
    <mergeCell ref="D133:F133"/>
    <mergeCell ref="I133:J133"/>
    <mergeCell ref="D134:F134"/>
    <mergeCell ref="I134:J134"/>
    <mergeCell ref="D135:F135"/>
    <mergeCell ref="I135:J135"/>
    <mergeCell ref="D136:F136"/>
    <mergeCell ref="I136:J136"/>
    <mergeCell ref="D127:F127"/>
    <mergeCell ref="I127:J127"/>
    <mergeCell ref="D128:F128"/>
    <mergeCell ref="I128:J128"/>
    <mergeCell ref="D129:F129"/>
    <mergeCell ref="I129:J129"/>
    <mergeCell ref="D130:F130"/>
    <mergeCell ref="I130:J130"/>
    <mergeCell ref="D131:F131"/>
    <mergeCell ref="I131:J131"/>
    <mergeCell ref="D122:F122"/>
    <mergeCell ref="I122:J122"/>
    <mergeCell ref="D123:F123"/>
    <mergeCell ref="I123:J123"/>
    <mergeCell ref="D124:F124"/>
    <mergeCell ref="I124:J124"/>
    <mergeCell ref="D125:F125"/>
    <mergeCell ref="I125:J125"/>
    <mergeCell ref="D126:F126"/>
    <mergeCell ref="I126:J126"/>
    <mergeCell ref="D117:F117"/>
    <mergeCell ref="I117:J117"/>
    <mergeCell ref="D118:F118"/>
    <mergeCell ref="I118:J118"/>
    <mergeCell ref="D119:F119"/>
    <mergeCell ref="I119:J119"/>
    <mergeCell ref="D120:F120"/>
    <mergeCell ref="I120:J120"/>
    <mergeCell ref="D121:F121"/>
    <mergeCell ref="I121:J121"/>
    <mergeCell ref="D112:F112"/>
    <mergeCell ref="I112:J112"/>
    <mergeCell ref="D113:F113"/>
    <mergeCell ref="I113:J113"/>
    <mergeCell ref="D114:F114"/>
    <mergeCell ref="I114:J114"/>
    <mergeCell ref="D115:F115"/>
    <mergeCell ref="I115:J115"/>
    <mergeCell ref="D116:F116"/>
    <mergeCell ref="I116:J116"/>
    <mergeCell ref="D107:F107"/>
    <mergeCell ref="I107:J107"/>
    <mergeCell ref="D108:F108"/>
    <mergeCell ref="I108:J108"/>
    <mergeCell ref="D109:F109"/>
    <mergeCell ref="I109:J109"/>
    <mergeCell ref="D110:F110"/>
    <mergeCell ref="I110:J110"/>
    <mergeCell ref="D111:F111"/>
    <mergeCell ref="I111:J111"/>
    <mergeCell ref="D102:F102"/>
    <mergeCell ref="I102:J102"/>
    <mergeCell ref="D103:F103"/>
    <mergeCell ref="I103:J103"/>
    <mergeCell ref="D104:F104"/>
    <mergeCell ref="I104:J104"/>
    <mergeCell ref="D105:F105"/>
    <mergeCell ref="I105:J105"/>
    <mergeCell ref="D106:F106"/>
    <mergeCell ref="I106:J106"/>
    <mergeCell ref="D97:F97"/>
    <mergeCell ref="I97:J97"/>
    <mergeCell ref="D98:F98"/>
    <mergeCell ref="I98:J98"/>
    <mergeCell ref="D99:F99"/>
    <mergeCell ref="I99:J99"/>
    <mergeCell ref="D100:F100"/>
    <mergeCell ref="I100:J100"/>
    <mergeCell ref="D101:F101"/>
    <mergeCell ref="I101:J101"/>
    <mergeCell ref="D92:F92"/>
    <mergeCell ref="I92:J92"/>
    <mergeCell ref="D93:F93"/>
    <mergeCell ref="I93:J93"/>
    <mergeCell ref="D94:F94"/>
    <mergeCell ref="I94:J94"/>
    <mergeCell ref="D95:F95"/>
    <mergeCell ref="I95:J95"/>
    <mergeCell ref="D96:F96"/>
    <mergeCell ref="I96:J96"/>
    <mergeCell ref="D87:F87"/>
    <mergeCell ref="I87:J87"/>
    <mergeCell ref="D88:F88"/>
    <mergeCell ref="I88:J88"/>
    <mergeCell ref="D89:F89"/>
    <mergeCell ref="I89:J89"/>
    <mergeCell ref="D90:F90"/>
    <mergeCell ref="I90:J90"/>
    <mergeCell ref="D91:F91"/>
    <mergeCell ref="I91:J91"/>
    <mergeCell ref="D82:F82"/>
    <mergeCell ref="I82:J82"/>
    <mergeCell ref="D83:F83"/>
    <mergeCell ref="I83:J83"/>
    <mergeCell ref="D84:F84"/>
    <mergeCell ref="I84:J84"/>
    <mergeCell ref="D85:F85"/>
    <mergeCell ref="I85:J85"/>
    <mergeCell ref="D86:F86"/>
    <mergeCell ref="I86:J86"/>
    <mergeCell ref="D77:F77"/>
    <mergeCell ref="I77:J77"/>
    <mergeCell ref="D78:F78"/>
    <mergeCell ref="I78:J78"/>
    <mergeCell ref="D79:F79"/>
    <mergeCell ref="I79:J79"/>
    <mergeCell ref="D80:F80"/>
    <mergeCell ref="I80:J80"/>
    <mergeCell ref="D81:F81"/>
    <mergeCell ref="I81:J81"/>
    <mergeCell ref="D72:F72"/>
    <mergeCell ref="I72:J72"/>
    <mergeCell ref="D73:F73"/>
    <mergeCell ref="I73:J73"/>
    <mergeCell ref="D74:F74"/>
    <mergeCell ref="I74:J74"/>
    <mergeCell ref="D75:F75"/>
    <mergeCell ref="I75:J75"/>
    <mergeCell ref="D76:F76"/>
    <mergeCell ref="I76:J76"/>
    <mergeCell ref="D67:F67"/>
    <mergeCell ref="I67:J67"/>
    <mergeCell ref="D68:F68"/>
    <mergeCell ref="I68:J68"/>
    <mergeCell ref="D69:F69"/>
    <mergeCell ref="I69:J69"/>
    <mergeCell ref="D70:F70"/>
    <mergeCell ref="I70:J70"/>
    <mergeCell ref="D71:F71"/>
    <mergeCell ref="I71:J71"/>
    <mergeCell ref="D62:F62"/>
    <mergeCell ref="I62:J62"/>
    <mergeCell ref="D63:F63"/>
    <mergeCell ref="I63:J63"/>
    <mergeCell ref="D64:F64"/>
    <mergeCell ref="I64:J64"/>
    <mergeCell ref="D65:F65"/>
    <mergeCell ref="I65:J65"/>
    <mergeCell ref="D66:F66"/>
    <mergeCell ref="I66:J66"/>
    <mergeCell ref="D57:F57"/>
    <mergeCell ref="I57:J57"/>
    <mergeCell ref="D58:F58"/>
    <mergeCell ref="I58:J58"/>
    <mergeCell ref="D59:F59"/>
    <mergeCell ref="I59:J59"/>
    <mergeCell ref="D60:F60"/>
    <mergeCell ref="I60:J60"/>
    <mergeCell ref="D61:F61"/>
    <mergeCell ref="I61:J61"/>
    <mergeCell ref="D52:F52"/>
    <mergeCell ref="I52:J52"/>
    <mergeCell ref="D53:F53"/>
    <mergeCell ref="I53:J53"/>
    <mergeCell ref="D54:F54"/>
    <mergeCell ref="I54:J54"/>
    <mergeCell ref="D55:F55"/>
    <mergeCell ref="I55:J55"/>
    <mergeCell ref="D56:F56"/>
    <mergeCell ref="I56:J56"/>
    <mergeCell ref="D47:F47"/>
    <mergeCell ref="I47:J47"/>
    <mergeCell ref="D48:F48"/>
    <mergeCell ref="I48:J48"/>
    <mergeCell ref="D49:F49"/>
    <mergeCell ref="I49:J49"/>
    <mergeCell ref="D50:F50"/>
    <mergeCell ref="I50:J50"/>
    <mergeCell ref="D51:F51"/>
    <mergeCell ref="I51:J51"/>
    <mergeCell ref="D42:F42"/>
    <mergeCell ref="I42:J42"/>
    <mergeCell ref="D43:F43"/>
    <mergeCell ref="I43:J43"/>
    <mergeCell ref="D44:F44"/>
    <mergeCell ref="I44:J44"/>
    <mergeCell ref="D45:F45"/>
    <mergeCell ref="I45:J45"/>
    <mergeCell ref="D46:F46"/>
    <mergeCell ref="I46:J46"/>
    <mergeCell ref="D37:F37"/>
    <mergeCell ref="I37:J37"/>
    <mergeCell ref="D38:F38"/>
    <mergeCell ref="I38:J38"/>
    <mergeCell ref="D39:F39"/>
    <mergeCell ref="I39:J39"/>
    <mergeCell ref="D40:F40"/>
    <mergeCell ref="I40:J40"/>
    <mergeCell ref="D41:F41"/>
    <mergeCell ref="I41:J41"/>
    <mergeCell ref="D32:F32"/>
    <mergeCell ref="I32:J32"/>
    <mergeCell ref="D33:F33"/>
    <mergeCell ref="I33:J33"/>
    <mergeCell ref="D34:F34"/>
    <mergeCell ref="I34:J34"/>
    <mergeCell ref="D35:F35"/>
    <mergeCell ref="I35:J35"/>
    <mergeCell ref="D36:F36"/>
    <mergeCell ref="I36:J36"/>
    <mergeCell ref="D27:F27"/>
    <mergeCell ref="I27:J27"/>
    <mergeCell ref="D28:F28"/>
    <mergeCell ref="I28:J28"/>
    <mergeCell ref="D29:F29"/>
    <mergeCell ref="I29:J29"/>
    <mergeCell ref="D30:F30"/>
    <mergeCell ref="I30:J30"/>
    <mergeCell ref="D31:F31"/>
    <mergeCell ref="I31:J31"/>
    <mergeCell ref="D22:F22"/>
    <mergeCell ref="I22:J22"/>
    <mergeCell ref="D23:F23"/>
    <mergeCell ref="I23:J23"/>
    <mergeCell ref="D24:F24"/>
    <mergeCell ref="I24:J24"/>
    <mergeCell ref="D25:F25"/>
    <mergeCell ref="I25:J25"/>
    <mergeCell ref="D26:F26"/>
    <mergeCell ref="I26:J26"/>
    <mergeCell ref="D17:F17"/>
    <mergeCell ref="I17:J17"/>
    <mergeCell ref="D18:F18"/>
    <mergeCell ref="I18:J18"/>
    <mergeCell ref="D19:F19"/>
    <mergeCell ref="I19:J19"/>
    <mergeCell ref="D20:F20"/>
    <mergeCell ref="I20:J20"/>
    <mergeCell ref="D21:F21"/>
    <mergeCell ref="I21:J21"/>
    <mergeCell ref="E1:P1"/>
    <mergeCell ref="E2:P2"/>
    <mergeCell ref="E3:J3"/>
    <mergeCell ref="K3:P3"/>
    <mergeCell ref="C269:P269"/>
    <mergeCell ref="C521:L521"/>
    <mergeCell ref="C1:D3"/>
    <mergeCell ref="N521:P521"/>
    <mergeCell ref="D16:F16"/>
    <mergeCell ref="I16:J16"/>
    <mergeCell ref="D209:F209"/>
    <mergeCell ref="I209:J209"/>
    <mergeCell ref="D210:F210"/>
    <mergeCell ref="I210:J210"/>
    <mergeCell ref="D10:I10"/>
    <mergeCell ref="D14:F14"/>
    <mergeCell ref="I14:J14"/>
    <mergeCell ref="D15:F15"/>
    <mergeCell ref="I15:J15"/>
    <mergeCell ref="D214:F214"/>
    <mergeCell ref="I214:J214"/>
    <mergeCell ref="D215:F215"/>
    <mergeCell ref="I221:J221"/>
    <mergeCell ref="D222:F222"/>
    <mergeCell ref="I222:J222"/>
    <mergeCell ref="D217:F217"/>
    <mergeCell ref="I217:J217"/>
    <mergeCell ref="D218:F218"/>
    <mergeCell ref="I218:J218"/>
    <mergeCell ref="D219:F219"/>
    <mergeCell ref="I219:J219"/>
    <mergeCell ref="D226:F226"/>
    <mergeCell ref="I226:J226"/>
    <mergeCell ref="D227:F227"/>
    <mergeCell ref="I227:J227"/>
    <mergeCell ref="D228:F228"/>
    <mergeCell ref="I228:J228"/>
    <mergeCell ref="D223:F223"/>
    <mergeCell ref="I223:J223"/>
    <mergeCell ref="D224:F224"/>
    <mergeCell ref="I224:J224"/>
    <mergeCell ref="D225:F225"/>
    <mergeCell ref="I225:J225"/>
    <mergeCell ref="D229:F229"/>
    <mergeCell ref="I229:J229"/>
    <mergeCell ref="D230:F230"/>
    <mergeCell ref="I230:J230"/>
    <mergeCell ref="D231:F231"/>
    <mergeCell ref="I231:J231"/>
    <mergeCell ref="D238:F238"/>
    <mergeCell ref="I238:J238"/>
    <mergeCell ref="D239:F239"/>
    <mergeCell ref="I239:J239"/>
    <mergeCell ref="D240:F240"/>
    <mergeCell ref="I240:J240"/>
    <mergeCell ref="D235:F235"/>
    <mergeCell ref="I235:J235"/>
    <mergeCell ref="D236:F236"/>
    <mergeCell ref="I236:J236"/>
    <mergeCell ref="D237:F237"/>
    <mergeCell ref="I237:J237"/>
    <mergeCell ref="I242:J242"/>
    <mergeCell ref="D243:F243"/>
    <mergeCell ref="I243:J243"/>
    <mergeCell ref="D249:F249"/>
    <mergeCell ref="I249:J249"/>
    <mergeCell ref="D250:F250"/>
    <mergeCell ref="I250:J250"/>
    <mergeCell ref="D251:F251"/>
    <mergeCell ref="I251:J251"/>
    <mergeCell ref="D252:F252"/>
    <mergeCell ref="I252:J252"/>
    <mergeCell ref="D253:F253"/>
    <mergeCell ref="I253:J253"/>
    <mergeCell ref="D232:F232"/>
    <mergeCell ref="I232:J232"/>
    <mergeCell ref="D233:F233"/>
    <mergeCell ref="I233:J233"/>
    <mergeCell ref="D234:F234"/>
    <mergeCell ref="I234:J234"/>
    <mergeCell ref="C8:P8"/>
    <mergeCell ref="C9:P9"/>
    <mergeCell ref="C11:P11"/>
    <mergeCell ref="D264:F264"/>
    <mergeCell ref="I264:J264"/>
    <mergeCell ref="D261:F261"/>
    <mergeCell ref="I261:J261"/>
    <mergeCell ref="D262:F262"/>
    <mergeCell ref="I262:J262"/>
    <mergeCell ref="D263:F263"/>
    <mergeCell ref="I263:J263"/>
    <mergeCell ref="D258:F258"/>
    <mergeCell ref="I258:J258"/>
    <mergeCell ref="D259:F259"/>
    <mergeCell ref="I259:J259"/>
    <mergeCell ref="D260:F260"/>
    <mergeCell ref="I260:J260"/>
    <mergeCell ref="D255:F255"/>
    <mergeCell ref="I255:J255"/>
    <mergeCell ref="D256:F256"/>
    <mergeCell ref="I256:J256"/>
    <mergeCell ref="D257:F257"/>
    <mergeCell ref="I257:J257"/>
    <mergeCell ref="D244:F244"/>
    <mergeCell ref="I244:J244"/>
    <mergeCell ref="D245:F245"/>
    <mergeCell ref="I245:J245"/>
    <mergeCell ref="D254:F254"/>
    <mergeCell ref="I254:J254"/>
    <mergeCell ref="D241:F241"/>
    <mergeCell ref="I241:J241"/>
    <mergeCell ref="D242:F242"/>
    <mergeCell ref="D270:F270"/>
    <mergeCell ref="I270:J270"/>
    <mergeCell ref="D271:F271"/>
    <mergeCell ref="C265:J265"/>
    <mergeCell ref="D272:F272"/>
    <mergeCell ref="I272:J272"/>
    <mergeCell ref="D273:F273"/>
    <mergeCell ref="I273:J273"/>
    <mergeCell ref="D274:F274"/>
    <mergeCell ref="I274:J274"/>
    <mergeCell ref="D275:F275"/>
    <mergeCell ref="I275:J275"/>
    <mergeCell ref="D276:F276"/>
    <mergeCell ref="I276:J276"/>
    <mergeCell ref="D277:F277"/>
    <mergeCell ref="I277:J277"/>
    <mergeCell ref="D278:F278"/>
    <mergeCell ref="I278:J278"/>
    <mergeCell ref="I480:J480"/>
    <mergeCell ref="I481:J481"/>
    <mergeCell ref="D512:F512"/>
    <mergeCell ref="D513:F513"/>
    <mergeCell ref="D514:F514"/>
    <mergeCell ref="D515:F515"/>
    <mergeCell ref="D516:F516"/>
    <mergeCell ref="D507:F507"/>
    <mergeCell ref="D508:F508"/>
    <mergeCell ref="D509:F509"/>
    <mergeCell ref="D510:F510"/>
    <mergeCell ref="I487:J487"/>
    <mergeCell ref="I488:J488"/>
    <mergeCell ref="I489:J489"/>
    <mergeCell ref="I490:J490"/>
    <mergeCell ref="I491:J491"/>
    <mergeCell ref="I482:J482"/>
    <mergeCell ref="I483:J483"/>
    <mergeCell ref="I484:J484"/>
    <mergeCell ref="C13:K13"/>
    <mergeCell ref="C267:P267"/>
    <mergeCell ref="C523:P523"/>
    <mergeCell ref="I517:J517"/>
    <mergeCell ref="I518:J518"/>
    <mergeCell ref="I519:J519"/>
    <mergeCell ref="I520:J520"/>
    <mergeCell ref="I512:J512"/>
    <mergeCell ref="I513:J513"/>
    <mergeCell ref="I514:J514"/>
    <mergeCell ref="I515:J515"/>
    <mergeCell ref="I516:J516"/>
    <mergeCell ref="I507:J507"/>
    <mergeCell ref="I508:J508"/>
    <mergeCell ref="I509:J509"/>
    <mergeCell ref="I510:J510"/>
    <mergeCell ref="I511:J511"/>
    <mergeCell ref="I502:J502"/>
    <mergeCell ref="I503:J503"/>
    <mergeCell ref="D517:F517"/>
    <mergeCell ref="D518:F518"/>
    <mergeCell ref="D519:F519"/>
    <mergeCell ref="D520:F520"/>
    <mergeCell ref="I271:J271"/>
    <mergeCell ref="I472:J472"/>
    <mergeCell ref="I473:J473"/>
    <mergeCell ref="I474:J474"/>
    <mergeCell ref="I475:J475"/>
    <mergeCell ref="I476:J476"/>
    <mergeCell ref="I477:J477"/>
    <mergeCell ref="I478:J478"/>
    <mergeCell ref="I479:J479"/>
    <mergeCell ref="D532:F532"/>
    <mergeCell ref="D543:F543"/>
    <mergeCell ref="D544:F544"/>
    <mergeCell ref="D545:F545"/>
    <mergeCell ref="D546:F546"/>
    <mergeCell ref="I485:J485"/>
    <mergeCell ref="I486:J486"/>
    <mergeCell ref="I497:J497"/>
    <mergeCell ref="I498:J498"/>
    <mergeCell ref="I499:J499"/>
    <mergeCell ref="I500:J500"/>
    <mergeCell ref="I501:J501"/>
    <mergeCell ref="I492:J492"/>
    <mergeCell ref="I493:J493"/>
    <mergeCell ref="I494:J494"/>
    <mergeCell ref="I495:J495"/>
    <mergeCell ref="I496:J496"/>
    <mergeCell ref="D527:F527"/>
    <mergeCell ref="I541:P541"/>
    <mergeCell ref="D502:F502"/>
    <mergeCell ref="D503:F503"/>
    <mergeCell ref="D504:F504"/>
    <mergeCell ref="D505:F505"/>
    <mergeCell ref="D506:F506"/>
    <mergeCell ref="D497:F497"/>
    <mergeCell ref="D498:F498"/>
    <mergeCell ref="D499:F499"/>
    <mergeCell ref="D500:F500"/>
    <mergeCell ref="D501:F501"/>
    <mergeCell ref="D547:F547"/>
    <mergeCell ref="D538:F538"/>
    <mergeCell ref="D539:F539"/>
    <mergeCell ref="D540:F540"/>
    <mergeCell ref="D541:F541"/>
    <mergeCell ref="D542:F542"/>
    <mergeCell ref="D553:F553"/>
    <mergeCell ref="D554:F554"/>
    <mergeCell ref="D555:F555"/>
    <mergeCell ref="D556:F556"/>
    <mergeCell ref="D557:F557"/>
    <mergeCell ref="D548:F548"/>
    <mergeCell ref="D549:F549"/>
    <mergeCell ref="D550:F550"/>
    <mergeCell ref="D551:F551"/>
    <mergeCell ref="D552:F552"/>
    <mergeCell ref="C5:D5"/>
    <mergeCell ref="C6:D6"/>
    <mergeCell ref="E5:P5"/>
    <mergeCell ref="E6:P6"/>
    <mergeCell ref="I504:J504"/>
    <mergeCell ref="I505:J505"/>
    <mergeCell ref="I506:J506"/>
    <mergeCell ref="D533:F533"/>
    <mergeCell ref="D534:F534"/>
    <mergeCell ref="D535:F535"/>
    <mergeCell ref="D536:F536"/>
    <mergeCell ref="D537:F537"/>
    <mergeCell ref="D528:F528"/>
    <mergeCell ref="D529:F529"/>
    <mergeCell ref="D530:F530"/>
    <mergeCell ref="D531:F531"/>
    <mergeCell ref="D573:F573"/>
    <mergeCell ref="D574:F574"/>
    <mergeCell ref="D575:F575"/>
    <mergeCell ref="D576:F576"/>
    <mergeCell ref="D577:F577"/>
    <mergeCell ref="D568:F568"/>
    <mergeCell ref="D569:F569"/>
    <mergeCell ref="D570:F570"/>
    <mergeCell ref="D571:F571"/>
    <mergeCell ref="D572:F572"/>
    <mergeCell ref="D563:F563"/>
    <mergeCell ref="D564:F564"/>
    <mergeCell ref="D565:F565"/>
    <mergeCell ref="D566:F566"/>
    <mergeCell ref="D567:F567"/>
    <mergeCell ref="D558:F558"/>
    <mergeCell ref="D559:F559"/>
    <mergeCell ref="D560:F560"/>
    <mergeCell ref="D561:F561"/>
    <mergeCell ref="D562:F562"/>
  </mergeCells>
  <conditionalFormatting sqref="P271:P520">
    <cfRule type="containsText" dxfId="45" priority="1" operator="containsText" text="Si">
      <formula>NOT(ISERROR(SEARCH("Si",P271)))</formula>
    </cfRule>
  </conditionalFormatting>
  <dataValidations count="1">
    <dataValidation type="list" allowBlank="1" showInputMessage="1" showErrorMessage="1" sqref="H528:H777" xr:uid="{00000000-0002-0000-0B00-000000000000}">
      <formula1>"Si,No"</formula1>
    </dataValidation>
  </dataValidations>
  <hyperlinks>
    <hyperlink ref="Q1" location="ins" display="Instructivo" xr:uid="{00000000-0004-0000-0B00-000000000000}"/>
    <hyperlink ref="E526" r:id="rId1" xr:uid="{00000000-0004-0000-0B00-000001000000}"/>
  </hyperlinks>
  <printOptions horizontalCentered="1"/>
  <pageMargins left="0" right="0" top="0" bottom="0" header="0" footer="0"/>
  <pageSetup scale="70" fitToHeight="0" orientation="landscape" r:id="rId2"/>
  <drawing r:id="rId3"/>
  <legacyDrawing r:id="rId4"/>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6">
    <tabColor theme="5" tint="0.39997558519241921"/>
    <pageSetUpPr fitToPage="1"/>
  </sheetPr>
  <dimension ref="A1:K50"/>
  <sheetViews>
    <sheetView showGridLines="0" topLeftCell="A7" zoomScaleNormal="100" workbookViewId="0">
      <selection activeCell="A17" sqref="A17:H17"/>
    </sheetView>
  </sheetViews>
  <sheetFormatPr baseColWidth="10" defaultColWidth="11.5" defaultRowHeight="18" customHeight="1" x14ac:dyDescent="0.2"/>
  <cols>
    <col min="1" max="1" width="28" style="187" customWidth="1"/>
    <col min="2" max="2" width="11.83203125" style="187" customWidth="1"/>
    <col min="3" max="3" width="12.83203125" style="187" customWidth="1"/>
    <col min="4" max="4" width="11.83203125" style="187" customWidth="1"/>
    <col min="5" max="5" width="13.33203125" style="187" customWidth="1"/>
    <col min="6" max="6" width="18.33203125" style="188" customWidth="1"/>
    <col min="7" max="7" width="14.83203125" style="187" customWidth="1"/>
    <col min="8" max="8" width="21.5" style="187" customWidth="1"/>
    <col min="9" max="9" width="22.1640625" style="189" customWidth="1"/>
    <col min="10" max="10" width="30.33203125" style="71" customWidth="1"/>
    <col min="11" max="16384" width="11.5" style="71"/>
  </cols>
  <sheetData>
    <row r="1" spans="1:11" ht="18" customHeight="1" x14ac:dyDescent="0.2">
      <c r="A1" s="1319"/>
      <c r="B1" s="1320"/>
      <c r="C1" s="1320"/>
      <c r="D1" s="1135" t="s">
        <v>0</v>
      </c>
      <c r="E1" s="1135"/>
      <c r="F1" s="1135"/>
      <c r="G1" s="1135"/>
      <c r="H1" s="1135"/>
      <c r="I1" s="1136"/>
      <c r="J1" s="339" t="s">
        <v>104</v>
      </c>
      <c r="K1" s="62"/>
    </row>
    <row r="2" spans="1:11" ht="18" customHeight="1" x14ac:dyDescent="0.2">
      <c r="A2" s="1321"/>
      <c r="B2" s="1322"/>
      <c r="C2" s="1322"/>
      <c r="D2" s="1137" t="s">
        <v>660</v>
      </c>
      <c r="E2" s="1137"/>
      <c r="F2" s="1137"/>
      <c r="G2" s="1137"/>
      <c r="H2" s="1137"/>
      <c r="I2" s="1138"/>
      <c r="J2" s="530" t="s">
        <v>31</v>
      </c>
      <c r="K2" s="62"/>
    </row>
    <row r="3" spans="1:11" ht="18" customHeight="1" thickBot="1" x14ac:dyDescent="0.25">
      <c r="A3" s="1323"/>
      <c r="B3" s="1324"/>
      <c r="C3" s="1324"/>
      <c r="D3" s="1139" t="s">
        <v>661</v>
      </c>
      <c r="E3" s="1139"/>
      <c r="F3" s="1139"/>
      <c r="G3" s="1139"/>
      <c r="H3" s="1468" t="str">
        <f>Instructivo!G3</f>
        <v>VERSIÓN: 04</v>
      </c>
      <c r="I3" s="1469"/>
    </row>
    <row r="4" spans="1:11" s="67" customFormat="1" ht="18" customHeight="1" thickBot="1" x14ac:dyDescent="0.25">
      <c r="A4" s="187"/>
      <c r="B4" s="187"/>
      <c r="C4" s="187"/>
      <c r="D4" s="187"/>
      <c r="E4" s="187"/>
      <c r="F4" s="188"/>
      <c r="G4" s="187"/>
      <c r="H4" s="187"/>
      <c r="I4" s="189"/>
      <c r="J4" s="71"/>
    </row>
    <row r="5" spans="1:11" s="67" customFormat="1" ht="18" customHeight="1" thickBot="1" x14ac:dyDescent="0.25">
      <c r="A5" s="1092" t="s">
        <v>662</v>
      </c>
      <c r="B5" s="1093"/>
      <c r="C5" s="1093"/>
      <c r="D5" s="1325"/>
      <c r="E5" s="1094"/>
      <c r="F5" s="1095"/>
      <c r="G5" s="1095"/>
      <c r="H5" s="1095"/>
      <c r="I5" s="1096"/>
    </row>
    <row r="6" spans="1:11" s="67" customFormat="1" ht="18" customHeight="1" thickBot="1" x14ac:dyDescent="0.25">
      <c r="A6" s="1092" t="s">
        <v>106</v>
      </c>
      <c r="B6" s="1093"/>
      <c r="C6" s="1093"/>
      <c r="D6" s="1325"/>
      <c r="E6" s="956" t="str">
        <f>'Plan Ejecución'!AE5</f>
        <v>Licitación Pública</v>
      </c>
      <c r="F6" s="957"/>
      <c r="G6" s="957"/>
      <c r="H6" s="957"/>
      <c r="I6" s="958"/>
    </row>
    <row r="7" spans="1:11" ht="45" customHeight="1" thickBot="1" x14ac:dyDescent="0.25">
      <c r="A7" s="1092" t="s">
        <v>108</v>
      </c>
      <c r="B7" s="1093"/>
      <c r="C7" s="1093"/>
      <c r="D7" s="1325"/>
      <c r="E7" s="956" t="str">
        <f>'Plan Ejecución'!AE6</f>
        <v>“Adquirir el Programa de Seguros para la protección de los bienes e intereses, según los ramos y coberturas que requiera CORANTIOQUIA”.</v>
      </c>
      <c r="F7" s="957"/>
      <c r="G7" s="957"/>
      <c r="H7" s="957"/>
      <c r="I7" s="958"/>
    </row>
    <row r="8" spans="1:11" ht="18" customHeight="1" x14ac:dyDescent="0.2">
      <c r="A8" s="159"/>
      <c r="B8" s="160"/>
      <c r="C8" s="160"/>
      <c r="D8" s="160"/>
      <c r="E8" s="160"/>
      <c r="F8" s="160"/>
      <c r="G8" s="161"/>
      <c r="H8" s="161"/>
      <c r="I8" s="162"/>
    </row>
    <row r="9" spans="1:11" ht="18" customHeight="1" x14ac:dyDescent="0.2">
      <c r="A9" s="1456" t="s">
        <v>663</v>
      </c>
      <c r="B9" s="1456"/>
      <c r="C9" s="1456"/>
      <c r="D9" s="1456"/>
      <c r="E9" s="1456"/>
      <c r="F9" s="1456"/>
      <c r="G9" s="1456"/>
      <c r="H9" s="1456"/>
      <c r="I9" s="1456"/>
    </row>
    <row r="10" spans="1:11" ht="54.75" customHeight="1" x14ac:dyDescent="0.2">
      <c r="A10" s="100" t="s">
        <v>370</v>
      </c>
      <c r="B10" s="100" t="s">
        <v>371</v>
      </c>
      <c r="C10" s="100" t="s">
        <v>372</v>
      </c>
      <c r="D10" s="100" t="s">
        <v>119</v>
      </c>
      <c r="E10" s="100" t="s">
        <v>373</v>
      </c>
      <c r="F10" s="164" t="s">
        <v>664</v>
      </c>
      <c r="G10" s="100" t="s">
        <v>375</v>
      </c>
      <c r="H10" s="165" t="s">
        <v>665</v>
      </c>
      <c r="I10" s="165" t="s">
        <v>605</v>
      </c>
    </row>
    <row r="11" spans="1:11" ht="18" customHeight="1" x14ac:dyDescent="0.2">
      <c r="A11" s="1379" t="s">
        <v>368</v>
      </c>
      <c r="B11" s="1379"/>
      <c r="C11" s="1379"/>
      <c r="D11" s="1379"/>
      <c r="E11" s="1379"/>
      <c r="F11" s="1379"/>
      <c r="G11" s="1379"/>
      <c r="H11" s="1379"/>
      <c r="I11" s="1379"/>
    </row>
    <row r="12" spans="1:11" ht="18" customHeight="1" x14ac:dyDescent="0.2">
      <c r="A12" s="173"/>
      <c r="B12" s="173"/>
      <c r="C12" s="169"/>
      <c r="D12" s="173"/>
      <c r="E12" s="173"/>
      <c r="F12" s="170"/>
      <c r="G12" s="194"/>
      <c r="H12" s="194"/>
      <c r="I12" s="170">
        <f>B12*C12*E12*G12*H12</f>
        <v>0</v>
      </c>
    </row>
    <row r="13" spans="1:11" ht="18" customHeight="1" x14ac:dyDescent="0.2">
      <c r="A13" s="173"/>
      <c r="B13" s="173"/>
      <c r="C13" s="169"/>
      <c r="D13" s="173"/>
      <c r="E13" s="173"/>
      <c r="F13" s="170"/>
      <c r="G13" s="194"/>
      <c r="H13" s="194"/>
      <c r="I13" s="170">
        <f>B13*C13*E13*G13*H13</f>
        <v>0</v>
      </c>
    </row>
    <row r="14" spans="1:11" ht="18" customHeight="1" x14ac:dyDescent="0.2">
      <c r="A14" s="168"/>
      <c r="B14" s="168"/>
      <c r="C14" s="169"/>
      <c r="D14" s="168"/>
      <c r="E14" s="168"/>
      <c r="F14" s="170"/>
      <c r="G14" s="171"/>
      <c r="H14" s="171"/>
      <c r="I14" s="170">
        <f>B14*C14*E14*G14*H14</f>
        <v>0</v>
      </c>
    </row>
    <row r="15" spans="1:11" ht="18" customHeight="1" x14ac:dyDescent="0.2">
      <c r="A15" s="168"/>
      <c r="B15" s="168"/>
      <c r="C15" s="169"/>
      <c r="D15" s="168"/>
      <c r="E15" s="168"/>
      <c r="F15" s="170"/>
      <c r="G15" s="171"/>
      <c r="H15" s="171"/>
      <c r="I15" s="170">
        <f t="shared" ref="I15" si="0">B15*C15*E15*G15*H15</f>
        <v>0</v>
      </c>
    </row>
    <row r="16" spans="1:11" ht="18" customHeight="1" x14ac:dyDescent="0.2">
      <c r="A16" s="168"/>
      <c r="B16" s="168"/>
      <c r="C16" s="169"/>
      <c r="D16" s="168"/>
      <c r="E16" s="168"/>
      <c r="F16" s="170"/>
      <c r="G16" s="168"/>
      <c r="H16" s="168"/>
      <c r="I16" s="170">
        <f>B16*C16*E16*G16*H16</f>
        <v>0</v>
      </c>
    </row>
    <row r="17" spans="1:9" ht="18" customHeight="1" x14ac:dyDescent="0.2">
      <c r="A17" s="1457" t="s">
        <v>604</v>
      </c>
      <c r="B17" s="1458"/>
      <c r="C17" s="1458"/>
      <c r="D17" s="1458"/>
      <c r="E17" s="1458"/>
      <c r="F17" s="1458"/>
      <c r="G17" s="1458"/>
      <c r="H17" s="1459"/>
      <c r="I17" s="172">
        <f>SUM(I12:I16)</f>
        <v>0</v>
      </c>
    </row>
    <row r="18" spans="1:9" ht="41.25" customHeight="1" x14ac:dyDescent="0.2">
      <c r="A18" s="1147" t="s">
        <v>370</v>
      </c>
      <c r="B18" s="1147"/>
      <c r="C18" s="1147"/>
      <c r="D18" s="108" t="s">
        <v>119</v>
      </c>
      <c r="E18" s="108" t="s">
        <v>373</v>
      </c>
      <c r="F18" s="1147" t="s">
        <v>666</v>
      </c>
      <c r="G18" s="1147"/>
      <c r="H18" s="165" t="s">
        <v>665</v>
      </c>
      <c r="I18" s="165" t="s">
        <v>605</v>
      </c>
    </row>
    <row r="19" spans="1:9" ht="18" customHeight="1" x14ac:dyDescent="0.2">
      <c r="A19" s="1379" t="s">
        <v>606</v>
      </c>
      <c r="B19" s="1379"/>
      <c r="C19" s="1379"/>
      <c r="D19" s="1379"/>
      <c r="E19" s="1379"/>
      <c r="F19" s="1379"/>
      <c r="G19" s="1379"/>
      <c r="H19" s="1379"/>
      <c r="I19" s="1379"/>
    </row>
    <row r="20" spans="1:9" ht="18" customHeight="1" x14ac:dyDescent="0.2">
      <c r="A20" s="1313"/>
      <c r="B20" s="1313"/>
      <c r="C20" s="1313"/>
      <c r="D20" s="173"/>
      <c r="E20" s="173"/>
      <c r="F20" s="1314"/>
      <c r="G20" s="1314"/>
      <c r="H20" s="174"/>
      <c r="I20" s="174">
        <f>E20*H20</f>
        <v>0</v>
      </c>
    </row>
    <row r="21" spans="1:9" ht="18" customHeight="1" x14ac:dyDescent="0.2">
      <c r="A21" s="1313"/>
      <c r="B21" s="1313"/>
      <c r="C21" s="1313"/>
      <c r="D21" s="173"/>
      <c r="E21" s="173"/>
      <c r="F21" s="1314"/>
      <c r="G21" s="1314"/>
      <c r="H21" s="174"/>
      <c r="I21" s="174">
        <f t="shared" ref="I21:I27" si="1">E21*H21</f>
        <v>0</v>
      </c>
    </row>
    <row r="22" spans="1:9" ht="18" customHeight="1" x14ac:dyDescent="0.2">
      <c r="A22" s="1313"/>
      <c r="B22" s="1313"/>
      <c r="C22" s="1313"/>
      <c r="D22" s="173"/>
      <c r="E22" s="173"/>
      <c r="F22" s="1314"/>
      <c r="G22" s="1314"/>
      <c r="H22" s="174"/>
      <c r="I22" s="174">
        <f t="shared" si="1"/>
        <v>0</v>
      </c>
    </row>
    <row r="23" spans="1:9" ht="18" hidden="1" customHeight="1" x14ac:dyDescent="0.2">
      <c r="A23" s="1313"/>
      <c r="B23" s="1313"/>
      <c r="C23" s="1313"/>
      <c r="D23" s="173"/>
      <c r="E23" s="173"/>
      <c r="F23" s="1314"/>
      <c r="G23" s="1314"/>
      <c r="H23" s="174"/>
      <c r="I23" s="174">
        <f t="shared" si="1"/>
        <v>0</v>
      </c>
    </row>
    <row r="24" spans="1:9" ht="18" hidden="1" customHeight="1" x14ac:dyDescent="0.2">
      <c r="A24" s="1313"/>
      <c r="B24" s="1313"/>
      <c r="C24" s="1313"/>
      <c r="D24" s="173"/>
      <c r="E24" s="173"/>
      <c r="F24" s="1316"/>
      <c r="G24" s="1316"/>
      <c r="H24" s="174"/>
      <c r="I24" s="174">
        <f t="shared" si="1"/>
        <v>0</v>
      </c>
    </row>
    <row r="25" spans="1:9" ht="18" hidden="1" customHeight="1" x14ac:dyDescent="0.2">
      <c r="A25" s="1313"/>
      <c r="B25" s="1313"/>
      <c r="C25" s="1313"/>
      <c r="D25" s="173"/>
      <c r="E25" s="173"/>
      <c r="F25" s="1316"/>
      <c r="G25" s="1316"/>
      <c r="H25" s="174"/>
      <c r="I25" s="174">
        <f t="shared" si="1"/>
        <v>0</v>
      </c>
    </row>
    <row r="26" spans="1:9" ht="18" hidden="1" customHeight="1" x14ac:dyDescent="0.2">
      <c r="A26" s="1313"/>
      <c r="B26" s="1313"/>
      <c r="C26" s="1313"/>
      <c r="D26" s="173"/>
      <c r="E26" s="173"/>
      <c r="F26" s="1316"/>
      <c r="G26" s="1316"/>
      <c r="H26" s="174"/>
      <c r="I26" s="174">
        <f t="shared" si="1"/>
        <v>0</v>
      </c>
    </row>
    <row r="27" spans="1:9" ht="18" hidden="1" customHeight="1" x14ac:dyDescent="0.2">
      <c r="A27" s="1313"/>
      <c r="B27" s="1313"/>
      <c r="C27" s="1313"/>
      <c r="D27" s="173"/>
      <c r="E27" s="173"/>
      <c r="F27" s="1316"/>
      <c r="G27" s="1316"/>
      <c r="H27" s="174"/>
      <c r="I27" s="174">
        <f t="shared" si="1"/>
        <v>0</v>
      </c>
    </row>
    <row r="28" spans="1:9" ht="18" customHeight="1" x14ac:dyDescent="0.2">
      <c r="A28" s="1457" t="s">
        <v>607</v>
      </c>
      <c r="B28" s="1458"/>
      <c r="C28" s="1458"/>
      <c r="D28" s="1458"/>
      <c r="E28" s="1458"/>
      <c r="F28" s="1458"/>
      <c r="G28" s="1458"/>
      <c r="H28" s="1459"/>
      <c r="I28" s="175">
        <f>SUM(I20:I27)</f>
        <v>0</v>
      </c>
    </row>
    <row r="29" spans="1:9" ht="18" customHeight="1" x14ac:dyDescent="0.2">
      <c r="A29" s="1379" t="s">
        <v>608</v>
      </c>
      <c r="B29" s="1379"/>
      <c r="C29" s="1379"/>
      <c r="D29" s="1379"/>
      <c r="E29" s="1379"/>
      <c r="F29" s="1379"/>
      <c r="G29" s="1379"/>
      <c r="H29" s="1379"/>
      <c r="I29" s="1379"/>
    </row>
    <row r="30" spans="1:9" ht="18" customHeight="1" x14ac:dyDescent="0.2">
      <c r="A30" s="1313"/>
      <c r="B30" s="1313"/>
      <c r="C30" s="1313"/>
      <c r="D30" s="173"/>
      <c r="E30" s="173"/>
      <c r="F30" s="1314"/>
      <c r="G30" s="1314"/>
      <c r="H30" s="174"/>
      <c r="I30" s="174">
        <f>E30*H30</f>
        <v>0</v>
      </c>
    </row>
    <row r="31" spans="1:9" ht="18" customHeight="1" x14ac:dyDescent="0.2">
      <c r="A31" s="1313"/>
      <c r="B31" s="1313"/>
      <c r="C31" s="1313"/>
      <c r="D31" s="173"/>
      <c r="E31" s="173"/>
      <c r="F31" s="1314"/>
      <c r="G31" s="1314"/>
      <c r="H31" s="174"/>
      <c r="I31" s="174">
        <f t="shared" ref="I31:I33" si="2">E31*H31</f>
        <v>0</v>
      </c>
    </row>
    <row r="32" spans="1:9" ht="18" customHeight="1" x14ac:dyDescent="0.2">
      <c r="A32" s="1313"/>
      <c r="B32" s="1313"/>
      <c r="C32" s="1313"/>
      <c r="D32" s="173"/>
      <c r="E32" s="173"/>
      <c r="F32" s="1314"/>
      <c r="G32" s="1314"/>
      <c r="H32" s="174"/>
      <c r="I32" s="174">
        <f t="shared" si="2"/>
        <v>0</v>
      </c>
    </row>
    <row r="33" spans="1:9" ht="18" customHeight="1" x14ac:dyDescent="0.2">
      <c r="A33" s="1313"/>
      <c r="B33" s="1313"/>
      <c r="C33" s="1313"/>
      <c r="D33" s="173"/>
      <c r="E33" s="173"/>
      <c r="F33" s="1314"/>
      <c r="G33" s="1314"/>
      <c r="H33" s="174"/>
      <c r="I33" s="174">
        <f t="shared" si="2"/>
        <v>0</v>
      </c>
    </row>
    <row r="34" spans="1:9" ht="18" customHeight="1" x14ac:dyDescent="0.2">
      <c r="A34" s="1457" t="s">
        <v>609</v>
      </c>
      <c r="B34" s="1458"/>
      <c r="C34" s="1458"/>
      <c r="D34" s="1458"/>
      <c r="E34" s="1458"/>
      <c r="F34" s="1458"/>
      <c r="G34" s="1458"/>
      <c r="H34" s="1459"/>
      <c r="I34" s="175">
        <f>SUM(I30:I33)</f>
        <v>0</v>
      </c>
    </row>
    <row r="35" spans="1:9" ht="18" customHeight="1" x14ac:dyDescent="0.2">
      <c r="A35" s="1379" t="s">
        <v>610</v>
      </c>
      <c r="B35" s="1379"/>
      <c r="C35" s="1379"/>
      <c r="D35" s="1379"/>
      <c r="E35" s="1379"/>
      <c r="F35" s="1379"/>
      <c r="G35" s="1379"/>
      <c r="H35" s="1379"/>
      <c r="I35" s="1379"/>
    </row>
    <row r="36" spans="1:9" ht="18" customHeight="1" x14ac:dyDescent="0.2">
      <c r="A36" s="1313"/>
      <c r="B36" s="1313"/>
      <c r="C36" s="1313"/>
      <c r="D36" s="38"/>
      <c r="E36" s="38"/>
      <c r="F36" s="1314"/>
      <c r="G36" s="1314"/>
      <c r="H36" s="174"/>
      <c r="I36" s="174">
        <f>E36*H36</f>
        <v>0</v>
      </c>
    </row>
    <row r="37" spans="1:9" ht="18" customHeight="1" x14ac:dyDescent="0.2">
      <c r="A37" s="1313"/>
      <c r="B37" s="1313"/>
      <c r="C37" s="1313"/>
      <c r="D37" s="38"/>
      <c r="E37" s="38"/>
      <c r="F37" s="1314"/>
      <c r="G37" s="1314"/>
      <c r="H37" s="174"/>
      <c r="I37" s="174">
        <f t="shared" ref="I37:I39" si="3">E37*H37</f>
        <v>0</v>
      </c>
    </row>
    <row r="38" spans="1:9" ht="18" customHeight="1" x14ac:dyDescent="0.2">
      <c r="A38" s="1313"/>
      <c r="B38" s="1313"/>
      <c r="C38" s="1313"/>
      <c r="D38" s="38"/>
      <c r="E38" s="38"/>
      <c r="F38" s="1314"/>
      <c r="G38" s="1314"/>
      <c r="H38" s="174"/>
      <c r="I38" s="174">
        <f t="shared" si="3"/>
        <v>0</v>
      </c>
    </row>
    <row r="39" spans="1:9" ht="18" customHeight="1" x14ac:dyDescent="0.2">
      <c r="A39" s="1313"/>
      <c r="B39" s="1313"/>
      <c r="C39" s="1313"/>
      <c r="D39" s="38"/>
      <c r="E39" s="38"/>
      <c r="F39" s="1314"/>
      <c r="G39" s="1314"/>
      <c r="H39" s="174"/>
      <c r="I39" s="174">
        <f t="shared" si="3"/>
        <v>0</v>
      </c>
    </row>
    <row r="40" spans="1:9" ht="18" customHeight="1" x14ac:dyDescent="0.2">
      <c r="A40" s="1457" t="s">
        <v>611</v>
      </c>
      <c r="B40" s="1458"/>
      <c r="C40" s="1458"/>
      <c r="D40" s="1458"/>
      <c r="E40" s="1458"/>
      <c r="F40" s="1458"/>
      <c r="G40" s="1458"/>
      <c r="H40" s="1459"/>
      <c r="I40" s="175">
        <f>SUM(I36:I39)</f>
        <v>0</v>
      </c>
    </row>
    <row r="41" spans="1:9" ht="18" customHeight="1" x14ac:dyDescent="0.2">
      <c r="A41" s="1464"/>
      <c r="B41" s="1465"/>
      <c r="C41" s="1465"/>
      <c r="D41" s="1465"/>
      <c r="E41" s="1465"/>
      <c r="F41" s="1465"/>
      <c r="G41" s="1465"/>
      <c r="H41" s="1465"/>
      <c r="I41" s="1465"/>
    </row>
    <row r="42" spans="1:9" ht="18" customHeight="1" x14ac:dyDescent="0.2">
      <c r="A42" s="1463" t="s">
        <v>389</v>
      </c>
      <c r="B42" s="1463"/>
      <c r="C42" s="1463"/>
      <c r="D42" s="1463"/>
      <c r="E42" s="1463"/>
      <c r="F42" s="1463"/>
      <c r="G42" s="1463"/>
      <c r="H42" s="1463"/>
      <c r="I42" s="531">
        <f>I17+I28+I34+I40</f>
        <v>0</v>
      </c>
    </row>
    <row r="43" spans="1:9" ht="18" customHeight="1" x14ac:dyDescent="0.2">
      <c r="A43" s="1463" t="s">
        <v>636</v>
      </c>
      <c r="B43" s="1463"/>
      <c r="C43" s="1463"/>
      <c r="D43" s="1463"/>
      <c r="E43" s="1463"/>
      <c r="F43" s="1463"/>
      <c r="G43" s="1463"/>
      <c r="H43" s="178"/>
      <c r="I43" s="532">
        <f>I42*H43</f>
        <v>0</v>
      </c>
    </row>
    <row r="44" spans="1:9" ht="18" customHeight="1" x14ac:dyDescent="0.2">
      <c r="A44" s="1463" t="s">
        <v>392</v>
      </c>
      <c r="B44" s="1463"/>
      <c r="C44" s="1463"/>
      <c r="D44" s="1463"/>
      <c r="E44" s="1463"/>
      <c r="F44" s="1463"/>
      <c r="G44" s="1463"/>
      <c r="H44" s="178"/>
      <c r="I44" s="532">
        <f>I42*H44</f>
        <v>0</v>
      </c>
    </row>
    <row r="45" spans="1:9" ht="18" customHeight="1" x14ac:dyDescent="0.2">
      <c r="A45" s="1463" t="s">
        <v>385</v>
      </c>
      <c r="B45" s="1463"/>
      <c r="C45" s="1463"/>
      <c r="D45" s="1463"/>
      <c r="E45" s="1463"/>
      <c r="F45" s="1463"/>
      <c r="G45" s="1463"/>
      <c r="H45" s="178"/>
      <c r="I45" s="532">
        <f>I44*H45</f>
        <v>0</v>
      </c>
    </row>
    <row r="46" spans="1:9" ht="18" customHeight="1" x14ac:dyDescent="0.2">
      <c r="A46" s="1467" t="s">
        <v>394</v>
      </c>
      <c r="B46" s="1337"/>
      <c r="C46" s="1337"/>
      <c r="D46" s="1337"/>
      <c r="E46" s="1337"/>
      <c r="F46" s="1337"/>
      <c r="G46" s="1337"/>
      <c r="H46" s="1338"/>
      <c r="I46" s="533">
        <f>SUM(I42:I45)</f>
        <v>0</v>
      </c>
    </row>
    <row r="48" spans="1:9" ht="116.25" customHeight="1" x14ac:dyDescent="0.2">
      <c r="A48" s="1466" t="s">
        <v>667</v>
      </c>
      <c r="B48" s="1466"/>
      <c r="C48" s="1466"/>
      <c r="D48" s="1466"/>
      <c r="E48" s="1466"/>
      <c r="F48" s="1466"/>
      <c r="G48" s="1466"/>
      <c r="H48" s="1466"/>
      <c r="I48" s="1466"/>
    </row>
    <row r="49" spans="1:9" ht="26.25" customHeight="1" thickBot="1" x14ac:dyDescent="0.25">
      <c r="A49" s="534"/>
      <c r="B49" s="534"/>
      <c r="C49" s="534"/>
      <c r="D49" s="535"/>
      <c r="E49" s="534"/>
      <c r="F49" s="536"/>
    </row>
    <row r="50" spans="1:9" ht="18" customHeight="1" thickBot="1" x14ac:dyDescent="0.25">
      <c r="A50" s="1460" t="s">
        <v>668</v>
      </c>
      <c r="B50" s="1461"/>
      <c r="C50" s="1461"/>
      <c r="D50" s="1461"/>
      <c r="E50" s="1461"/>
      <c r="F50" s="1461"/>
      <c r="G50" s="1461"/>
      <c r="H50" s="1461"/>
      <c r="I50" s="1462"/>
    </row>
  </sheetData>
  <sheetProtection formatCells="0" formatColumns="0" formatRows="0" insertColumns="0" insertRows="0" insertHyperlinks="0" deleteColumns="0" deleteRows="0" sort="0" autoFilter="0" pivotTables="0"/>
  <mergeCells count="62">
    <mergeCell ref="A18:C18"/>
    <mergeCell ref="F18:G18"/>
    <mergeCell ref="A34:H34"/>
    <mergeCell ref="A40:H40"/>
    <mergeCell ref="A42:H42"/>
    <mergeCell ref="F20:G20"/>
    <mergeCell ref="F21:G21"/>
    <mergeCell ref="F27:G27"/>
    <mergeCell ref="F30:G30"/>
    <mergeCell ref="F31:G31"/>
    <mergeCell ref="F32:G32"/>
    <mergeCell ref="F33:G33"/>
    <mergeCell ref="A31:C31"/>
    <mergeCell ref="A5:D5"/>
    <mergeCell ref="A6:D6"/>
    <mergeCell ref="A7:D7"/>
    <mergeCell ref="E5:I5"/>
    <mergeCell ref="E6:I6"/>
    <mergeCell ref="E7:I7"/>
    <mergeCell ref="A1:C3"/>
    <mergeCell ref="D1:I1"/>
    <mergeCell ref="D2:I2"/>
    <mergeCell ref="D3:G3"/>
    <mergeCell ref="H3:I3"/>
    <mergeCell ref="A43:G43"/>
    <mergeCell ref="A41:I41"/>
    <mergeCell ref="A48:I48"/>
    <mergeCell ref="A44:G44"/>
    <mergeCell ref="A45:G45"/>
    <mergeCell ref="A46:H46"/>
    <mergeCell ref="A50:I50"/>
    <mergeCell ref="A22:C22"/>
    <mergeCell ref="A23:C23"/>
    <mergeCell ref="A24:C24"/>
    <mergeCell ref="A25:C25"/>
    <mergeCell ref="F22:G22"/>
    <mergeCell ref="F23:G23"/>
    <mergeCell ref="F24:G24"/>
    <mergeCell ref="F25:G25"/>
    <mergeCell ref="F36:G36"/>
    <mergeCell ref="F37:G37"/>
    <mergeCell ref="F38:G38"/>
    <mergeCell ref="F39:G39"/>
    <mergeCell ref="A35:I35"/>
    <mergeCell ref="A29:I29"/>
    <mergeCell ref="F26:G26"/>
    <mergeCell ref="A9:I9"/>
    <mergeCell ref="A11:I11"/>
    <mergeCell ref="A19:I19"/>
    <mergeCell ref="A38:C38"/>
    <mergeCell ref="A39:C39"/>
    <mergeCell ref="A32:C32"/>
    <mergeCell ref="A33:C33"/>
    <mergeCell ref="A21:C21"/>
    <mergeCell ref="A36:C36"/>
    <mergeCell ref="A37:C37"/>
    <mergeCell ref="A20:C20"/>
    <mergeCell ref="A26:C26"/>
    <mergeCell ref="A27:C27"/>
    <mergeCell ref="A30:C30"/>
    <mergeCell ref="A17:H17"/>
    <mergeCell ref="A28:H28"/>
  </mergeCells>
  <hyperlinks>
    <hyperlink ref="J1" location="ins" display="Instructivo" xr:uid="{00000000-0004-0000-0D00-000000000000}"/>
    <hyperlink ref="J2" location="NPE" display="Notas propuesta económica" xr:uid="{00000000-0004-0000-0D00-000001000000}"/>
  </hyperlinks>
  <printOptions horizontalCentered="1"/>
  <pageMargins left="0" right="0" top="0" bottom="0" header="0" footer="0"/>
  <pageSetup scale="82" fitToHeight="0" orientation="landscape" horizontalDpi="4294967295" verticalDpi="4294967295"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26">
    <tabColor theme="5" tint="0.39997558519241921"/>
    <pageSetUpPr fitToPage="1"/>
  </sheetPr>
  <dimension ref="A1:N78"/>
  <sheetViews>
    <sheetView showGridLines="0" zoomScaleNormal="100" workbookViewId="0">
      <selection activeCell="A17" sqref="A17:E17"/>
    </sheetView>
  </sheetViews>
  <sheetFormatPr baseColWidth="10" defaultColWidth="11.5" defaultRowHeight="18" customHeight="1" x14ac:dyDescent="0.2"/>
  <cols>
    <col min="1" max="1" width="22.6640625" style="187" customWidth="1"/>
    <col min="2" max="2" width="11.83203125" style="187" customWidth="1"/>
    <col min="3" max="3" width="14.1640625" style="187" customWidth="1"/>
    <col min="4" max="4" width="18.83203125" style="187" customWidth="1"/>
    <col min="5" max="5" width="18.83203125" style="203" customWidth="1"/>
    <col min="6" max="9" width="18.83203125" style="71" customWidth="1"/>
    <col min="10" max="10" width="27.33203125" style="71" customWidth="1"/>
    <col min="11" max="11" width="16.1640625" style="71" bestFit="1" customWidth="1"/>
    <col min="12" max="12" width="14.83203125" style="71" bestFit="1" customWidth="1"/>
    <col min="13" max="13" width="11.5" style="71"/>
    <col min="14" max="14" width="11.5" style="666"/>
    <col min="15" max="16384" width="11.5" style="71"/>
  </cols>
  <sheetData>
    <row r="1" spans="1:14" ht="18" customHeight="1" x14ac:dyDescent="0.2">
      <c r="A1" s="1319"/>
      <c r="B1" s="1320"/>
      <c r="C1" s="1320"/>
      <c r="D1" s="1135" t="s">
        <v>0</v>
      </c>
      <c r="E1" s="1135"/>
      <c r="F1" s="1135"/>
      <c r="G1" s="1135"/>
      <c r="H1" s="1135"/>
      <c r="I1" s="1136"/>
      <c r="J1" s="339" t="s">
        <v>104</v>
      </c>
      <c r="K1" s="62"/>
    </row>
    <row r="2" spans="1:14" ht="18" customHeight="1" x14ac:dyDescent="0.2">
      <c r="A2" s="1321"/>
      <c r="B2" s="1322"/>
      <c r="C2" s="1322"/>
      <c r="D2" s="1137" t="s">
        <v>669</v>
      </c>
      <c r="E2" s="1137"/>
      <c r="F2" s="1137"/>
      <c r="G2" s="1137"/>
      <c r="H2" s="1137"/>
      <c r="I2" s="1138"/>
      <c r="J2" s="530" t="s">
        <v>31</v>
      </c>
      <c r="K2" s="62"/>
    </row>
    <row r="3" spans="1:14" ht="18" customHeight="1" thickBot="1" x14ac:dyDescent="0.25">
      <c r="A3" s="1323"/>
      <c r="B3" s="1324"/>
      <c r="C3" s="1324"/>
      <c r="D3" s="1139" t="s">
        <v>2</v>
      </c>
      <c r="E3" s="1139"/>
      <c r="F3" s="1139"/>
      <c r="G3" s="1139" t="str">
        <f>Instructivo!G3</f>
        <v>VERSIÓN: 04</v>
      </c>
      <c r="H3" s="1139"/>
      <c r="I3" s="1182"/>
    </row>
    <row r="4" spans="1:14" ht="18" customHeight="1" thickBot="1" x14ac:dyDescent="0.25">
      <c r="A4" s="61"/>
      <c r="B4" s="61"/>
      <c r="C4" s="61"/>
      <c r="D4" s="61"/>
      <c r="E4" s="61"/>
    </row>
    <row r="5" spans="1:14" s="67" customFormat="1" ht="18" customHeight="1" thickBot="1" x14ac:dyDescent="0.25">
      <c r="A5" s="1092" t="s">
        <v>662</v>
      </c>
      <c r="B5" s="1093"/>
      <c r="C5" s="1093"/>
      <c r="D5" s="1325"/>
      <c r="E5" s="1094"/>
      <c r="F5" s="1095"/>
      <c r="G5" s="1095"/>
      <c r="H5" s="1095"/>
      <c r="I5" s="1096"/>
      <c r="N5" s="667"/>
    </row>
    <row r="6" spans="1:14" s="67" customFormat="1" ht="18" customHeight="1" thickBot="1" x14ac:dyDescent="0.25">
      <c r="A6" s="1092" t="s">
        <v>106</v>
      </c>
      <c r="B6" s="1093"/>
      <c r="C6" s="1093"/>
      <c r="D6" s="1325"/>
      <c r="E6" s="956" t="str">
        <f>'Plan Ejecución'!AE5</f>
        <v>Licitación Pública</v>
      </c>
      <c r="F6" s="957"/>
      <c r="G6" s="957"/>
      <c r="H6" s="957"/>
      <c r="I6" s="958"/>
      <c r="N6" s="667"/>
    </row>
    <row r="7" spans="1:14" ht="39" customHeight="1" thickBot="1" x14ac:dyDescent="0.25">
      <c r="A7" s="1092" t="s">
        <v>108</v>
      </c>
      <c r="B7" s="1093"/>
      <c r="C7" s="1093"/>
      <c r="D7" s="1325"/>
      <c r="E7" s="956" t="str">
        <f>'Plan Ejecución'!AE6</f>
        <v>“Adquirir el Programa de Seguros para la protección de los bienes e intereses, según los ramos y coberturas que requiera CORANTIOQUIA”.</v>
      </c>
      <c r="F7" s="957"/>
      <c r="G7" s="957"/>
      <c r="H7" s="957"/>
      <c r="I7" s="958"/>
    </row>
    <row r="8" spans="1:14" ht="18" customHeight="1" x14ac:dyDescent="0.2">
      <c r="A8" s="159"/>
      <c r="B8" s="160"/>
      <c r="C8" s="160"/>
      <c r="D8" s="160"/>
      <c r="E8" s="160"/>
      <c r="F8" s="160"/>
      <c r="G8" s="161"/>
      <c r="H8" s="161"/>
      <c r="I8" s="162"/>
    </row>
    <row r="9" spans="1:14" ht="18" customHeight="1" x14ac:dyDescent="0.2">
      <c r="A9" s="1456" t="s">
        <v>663</v>
      </c>
      <c r="B9" s="1456"/>
      <c r="C9" s="1456"/>
      <c r="D9" s="1456"/>
      <c r="E9" s="1456"/>
      <c r="F9" s="1456"/>
      <c r="G9" s="1456"/>
      <c r="H9" s="1456"/>
      <c r="I9" s="1456"/>
    </row>
    <row r="10" spans="1:14" ht="18" customHeight="1" x14ac:dyDescent="0.2">
      <c r="A10" s="1470" t="s">
        <v>617</v>
      </c>
      <c r="B10" s="1470"/>
      <c r="C10" s="1470"/>
      <c r="D10" s="1470"/>
      <c r="E10" s="1470"/>
      <c r="F10" s="1470"/>
      <c r="G10" s="1470"/>
      <c r="H10" s="1470"/>
      <c r="I10" s="1470"/>
    </row>
    <row r="11" spans="1:14" ht="53.25" customHeight="1" x14ac:dyDescent="0.2">
      <c r="A11" s="100" t="s">
        <v>370</v>
      </c>
      <c r="B11" s="100" t="s">
        <v>371</v>
      </c>
      <c r="C11" s="100" t="s">
        <v>372</v>
      </c>
      <c r="D11" s="100" t="s">
        <v>119</v>
      </c>
      <c r="E11" s="100" t="s">
        <v>373</v>
      </c>
      <c r="F11" s="164" t="s">
        <v>664</v>
      </c>
      <c r="G11" s="100" t="s">
        <v>375</v>
      </c>
      <c r="H11" s="165" t="s">
        <v>665</v>
      </c>
      <c r="I11" s="165" t="s">
        <v>605</v>
      </c>
    </row>
    <row r="12" spans="1:14" ht="18" customHeight="1" x14ac:dyDescent="0.2">
      <c r="A12" s="1379" t="s">
        <v>368</v>
      </c>
      <c r="B12" s="1379"/>
      <c r="C12" s="1379"/>
      <c r="D12" s="1379"/>
      <c r="E12" s="1379"/>
      <c r="F12" s="1379"/>
      <c r="G12" s="1379"/>
      <c r="H12" s="1379"/>
      <c r="I12" s="1379"/>
    </row>
    <row r="13" spans="1:14" ht="24" customHeight="1" x14ac:dyDescent="0.2">
      <c r="A13" s="173"/>
      <c r="B13" s="173"/>
      <c r="C13" s="169"/>
      <c r="D13" s="173"/>
      <c r="E13" s="173"/>
      <c r="F13" s="170"/>
      <c r="G13" s="194"/>
      <c r="H13" s="349"/>
      <c r="I13" s="349">
        <f>B13*C13*E13*F13*G13*H13</f>
        <v>0</v>
      </c>
      <c r="K13" s="193"/>
      <c r="L13" s="193"/>
    </row>
    <row r="14" spans="1:14" ht="18" customHeight="1" x14ac:dyDescent="0.2">
      <c r="A14" s="173"/>
      <c r="B14" s="173"/>
      <c r="C14" s="169"/>
      <c r="D14" s="173"/>
      <c r="E14" s="173"/>
      <c r="F14" s="170"/>
      <c r="G14" s="194"/>
      <c r="H14" s="349"/>
      <c r="I14" s="349">
        <f t="shared" ref="I14:I17" si="0">B14*C14*E14*F14*G14*H14</f>
        <v>0</v>
      </c>
    </row>
    <row r="15" spans="1:14" ht="18" customHeight="1" x14ac:dyDescent="0.2">
      <c r="A15" s="168"/>
      <c r="B15" s="168"/>
      <c r="C15" s="169"/>
      <c r="D15" s="168"/>
      <c r="E15" s="168"/>
      <c r="F15" s="170"/>
      <c r="G15" s="171"/>
      <c r="H15" s="349"/>
      <c r="I15" s="349">
        <f t="shared" si="0"/>
        <v>0</v>
      </c>
    </row>
    <row r="16" spans="1:14" ht="18" customHeight="1" x14ac:dyDescent="0.2">
      <c r="A16" s="168"/>
      <c r="B16" s="168"/>
      <c r="C16" s="169"/>
      <c r="D16" s="168"/>
      <c r="E16" s="168"/>
      <c r="F16" s="170"/>
      <c r="G16" s="171"/>
      <c r="H16" s="349"/>
      <c r="I16" s="349">
        <f t="shared" si="0"/>
        <v>0</v>
      </c>
    </row>
    <row r="17" spans="1:9" ht="18" customHeight="1" x14ac:dyDescent="0.2">
      <c r="A17" s="168"/>
      <c r="B17" s="168"/>
      <c r="C17" s="169"/>
      <c r="D17" s="168"/>
      <c r="E17" s="168"/>
      <c r="F17" s="170"/>
      <c r="G17" s="168"/>
      <c r="H17" s="349"/>
      <c r="I17" s="349">
        <f t="shared" si="0"/>
        <v>0</v>
      </c>
    </row>
    <row r="18" spans="1:9" ht="18" customHeight="1" x14ac:dyDescent="0.2">
      <c r="A18" s="1315" t="s">
        <v>604</v>
      </c>
      <c r="B18" s="1315"/>
      <c r="C18" s="1315"/>
      <c r="D18" s="1315"/>
      <c r="E18" s="1315"/>
      <c r="F18" s="1315"/>
      <c r="G18" s="1315"/>
      <c r="H18" s="1315"/>
      <c r="I18" s="172">
        <f>SUM(I13:I17)</f>
        <v>0</v>
      </c>
    </row>
    <row r="19" spans="1:9" ht="37.5" customHeight="1" x14ac:dyDescent="0.2">
      <c r="A19" s="1147" t="s">
        <v>370</v>
      </c>
      <c r="B19" s="1147"/>
      <c r="C19" s="1147"/>
      <c r="D19" s="108" t="s">
        <v>119</v>
      </c>
      <c r="E19" s="108" t="s">
        <v>373</v>
      </c>
      <c r="F19" s="1147" t="s">
        <v>664</v>
      </c>
      <c r="G19" s="1147"/>
      <c r="H19" s="165" t="s">
        <v>665</v>
      </c>
      <c r="I19" s="165" t="s">
        <v>605</v>
      </c>
    </row>
    <row r="20" spans="1:9" ht="18" customHeight="1" x14ac:dyDescent="0.2">
      <c r="A20" s="1379" t="s">
        <v>618</v>
      </c>
      <c r="B20" s="1379"/>
      <c r="C20" s="1379"/>
      <c r="D20" s="1379"/>
      <c r="E20" s="1379"/>
      <c r="F20" s="1379"/>
      <c r="G20" s="1379"/>
      <c r="H20" s="1379"/>
      <c r="I20" s="1379"/>
    </row>
    <row r="21" spans="1:9" ht="18" customHeight="1" x14ac:dyDescent="0.2">
      <c r="A21" s="1313"/>
      <c r="B21" s="1313"/>
      <c r="C21" s="1313"/>
      <c r="D21" s="38"/>
      <c r="E21" s="38"/>
      <c r="F21" s="1314"/>
      <c r="G21" s="1314"/>
      <c r="H21" s="170"/>
      <c r="I21" s="170">
        <f>E21*H21</f>
        <v>0</v>
      </c>
    </row>
    <row r="22" spans="1:9" ht="18" customHeight="1" x14ac:dyDescent="0.2">
      <c r="A22" s="1313"/>
      <c r="B22" s="1313"/>
      <c r="C22" s="1313"/>
      <c r="D22" s="38"/>
      <c r="E22" s="38"/>
      <c r="F22" s="1314"/>
      <c r="G22" s="1314"/>
      <c r="H22" s="170"/>
      <c r="I22" s="170">
        <f t="shared" ref="I22:I26" si="1">E22*H22</f>
        <v>0</v>
      </c>
    </row>
    <row r="23" spans="1:9" ht="18" customHeight="1" x14ac:dyDescent="0.2">
      <c r="A23" s="1313"/>
      <c r="B23" s="1313"/>
      <c r="C23" s="1313"/>
      <c r="D23" s="38"/>
      <c r="E23" s="38"/>
      <c r="F23" s="1314"/>
      <c r="G23" s="1314"/>
      <c r="H23" s="170"/>
      <c r="I23" s="170">
        <f t="shared" si="1"/>
        <v>0</v>
      </c>
    </row>
    <row r="24" spans="1:9" ht="18" customHeight="1" x14ac:dyDescent="0.2">
      <c r="A24" s="1313"/>
      <c r="B24" s="1313"/>
      <c r="C24" s="1313"/>
      <c r="D24" s="38"/>
      <c r="E24" s="38"/>
      <c r="F24" s="1314"/>
      <c r="G24" s="1314"/>
      <c r="H24" s="170"/>
      <c r="I24" s="170">
        <f t="shared" si="1"/>
        <v>0</v>
      </c>
    </row>
    <row r="25" spans="1:9" ht="18" customHeight="1" x14ac:dyDescent="0.2">
      <c r="A25" s="1313"/>
      <c r="B25" s="1313"/>
      <c r="C25" s="1313"/>
      <c r="D25" s="38"/>
      <c r="E25" s="38"/>
      <c r="F25" s="1314"/>
      <c r="G25" s="1314"/>
      <c r="H25" s="170"/>
      <c r="I25" s="170">
        <f t="shared" si="1"/>
        <v>0</v>
      </c>
    </row>
    <row r="26" spans="1:9" ht="18" customHeight="1" x14ac:dyDescent="0.2">
      <c r="A26" s="1313"/>
      <c r="B26" s="1313"/>
      <c r="C26" s="1313"/>
      <c r="D26" s="38"/>
      <c r="E26" s="38"/>
      <c r="F26" s="1314"/>
      <c r="G26" s="1314"/>
      <c r="H26" s="170"/>
      <c r="I26" s="170">
        <f t="shared" si="1"/>
        <v>0</v>
      </c>
    </row>
    <row r="27" spans="1:9" ht="18" customHeight="1" x14ac:dyDescent="0.2">
      <c r="A27" s="1315" t="s">
        <v>611</v>
      </c>
      <c r="B27" s="1315"/>
      <c r="C27" s="1315"/>
      <c r="D27" s="1315"/>
      <c r="E27" s="1315"/>
      <c r="F27" s="1315"/>
      <c r="G27" s="1315"/>
      <c r="H27" s="1315"/>
      <c r="I27" s="172">
        <f>SUM(I21:I26)</f>
        <v>0</v>
      </c>
    </row>
    <row r="28" spans="1:9" ht="18" customHeight="1" x14ac:dyDescent="0.2">
      <c r="A28" s="1361" t="s">
        <v>670</v>
      </c>
      <c r="B28" s="1361"/>
      <c r="C28" s="1361"/>
      <c r="D28" s="1361"/>
      <c r="E28" s="1361"/>
      <c r="F28" s="1361"/>
      <c r="G28" s="1361"/>
      <c r="H28" s="1361"/>
      <c r="I28" s="201">
        <f>I18+I27</f>
        <v>0</v>
      </c>
    </row>
    <row r="29" spans="1:9" ht="18" customHeight="1" x14ac:dyDescent="0.2">
      <c r="A29" s="1345"/>
      <c r="B29" s="1346"/>
      <c r="C29" s="1346"/>
      <c r="D29" s="1346"/>
      <c r="E29" s="1346"/>
      <c r="F29" s="1346"/>
      <c r="G29" s="1346"/>
      <c r="H29" s="1346"/>
      <c r="I29" s="1346"/>
    </row>
    <row r="30" spans="1:9" ht="18" customHeight="1" x14ac:dyDescent="0.2">
      <c r="A30" s="1470" t="s">
        <v>624</v>
      </c>
      <c r="B30" s="1470"/>
      <c r="C30" s="1470"/>
      <c r="D30" s="1470"/>
      <c r="E30" s="1470"/>
      <c r="F30" s="1470"/>
      <c r="G30" s="1470"/>
      <c r="H30" s="1470"/>
      <c r="I30" s="1470"/>
    </row>
    <row r="31" spans="1:9" ht="54.75" customHeight="1" x14ac:dyDescent="0.2">
      <c r="A31" s="100" t="s">
        <v>370</v>
      </c>
      <c r="B31" s="100" t="s">
        <v>371</v>
      </c>
      <c r="C31" s="100" t="s">
        <v>372</v>
      </c>
      <c r="D31" s="100" t="s">
        <v>119</v>
      </c>
      <c r="E31" s="100" t="s">
        <v>373</v>
      </c>
      <c r="F31" s="164" t="s">
        <v>664</v>
      </c>
      <c r="G31" s="100" t="s">
        <v>375</v>
      </c>
      <c r="H31" s="165" t="s">
        <v>665</v>
      </c>
      <c r="I31" s="165" t="s">
        <v>605</v>
      </c>
    </row>
    <row r="32" spans="1:9" ht="18" customHeight="1" x14ac:dyDescent="0.2">
      <c r="A32" s="1379" t="s">
        <v>368</v>
      </c>
      <c r="B32" s="1379"/>
      <c r="C32" s="1379"/>
      <c r="D32" s="1379"/>
      <c r="E32" s="1379"/>
      <c r="F32" s="1379"/>
      <c r="G32" s="1379"/>
      <c r="H32" s="1379"/>
      <c r="I32" s="1379"/>
    </row>
    <row r="33" spans="1:9" ht="24.75" customHeight="1" x14ac:dyDescent="0.2">
      <c r="A33" s="173"/>
      <c r="B33" s="173"/>
      <c r="C33" s="169"/>
      <c r="D33" s="173"/>
      <c r="E33" s="173"/>
      <c r="F33" s="170"/>
      <c r="G33" s="194"/>
      <c r="H33" s="194"/>
      <c r="I33" s="170">
        <f>B33*C33*E33*G33*H33</f>
        <v>0</v>
      </c>
    </row>
    <row r="34" spans="1:9" ht="18" customHeight="1" x14ac:dyDescent="0.2">
      <c r="A34" s="173"/>
      <c r="B34" s="173"/>
      <c r="C34" s="169"/>
      <c r="D34" s="173"/>
      <c r="E34" s="173"/>
      <c r="F34" s="170"/>
      <c r="G34" s="194"/>
      <c r="H34" s="194"/>
      <c r="I34" s="170">
        <f t="shared" ref="I34:I37" si="2">B34*C34*E34*G34*H34</f>
        <v>0</v>
      </c>
    </row>
    <row r="35" spans="1:9" ht="18" customHeight="1" x14ac:dyDescent="0.2">
      <c r="A35" s="168"/>
      <c r="B35" s="168"/>
      <c r="C35" s="169"/>
      <c r="D35" s="168"/>
      <c r="E35" s="168"/>
      <c r="F35" s="170"/>
      <c r="G35" s="171"/>
      <c r="H35" s="171"/>
      <c r="I35" s="170">
        <f t="shared" si="2"/>
        <v>0</v>
      </c>
    </row>
    <row r="36" spans="1:9" ht="22.5" customHeight="1" x14ac:dyDescent="0.2">
      <c r="A36" s="168"/>
      <c r="B36" s="168"/>
      <c r="C36" s="169"/>
      <c r="D36" s="168"/>
      <c r="E36" s="168"/>
      <c r="F36" s="170"/>
      <c r="G36" s="171"/>
      <c r="H36" s="171"/>
      <c r="I36" s="170">
        <f t="shared" si="2"/>
        <v>0</v>
      </c>
    </row>
    <row r="37" spans="1:9" ht="21" customHeight="1" x14ac:dyDescent="0.2">
      <c r="A37" s="168"/>
      <c r="B37" s="168"/>
      <c r="C37" s="169"/>
      <c r="D37" s="168"/>
      <c r="E37" s="168"/>
      <c r="F37" s="170"/>
      <c r="G37" s="168"/>
      <c r="H37" s="168"/>
      <c r="I37" s="170">
        <f t="shared" si="2"/>
        <v>0</v>
      </c>
    </row>
    <row r="38" spans="1:9" ht="18" customHeight="1" x14ac:dyDescent="0.2">
      <c r="A38" s="1315" t="s">
        <v>604</v>
      </c>
      <c r="B38" s="1315"/>
      <c r="C38" s="1315"/>
      <c r="D38" s="1315"/>
      <c r="E38" s="1315"/>
      <c r="F38" s="1315"/>
      <c r="G38" s="1315"/>
      <c r="H38" s="1315"/>
      <c r="I38" s="172">
        <f>SUM(I33:I37)</f>
        <v>0</v>
      </c>
    </row>
    <row r="39" spans="1:9" ht="39" customHeight="1" x14ac:dyDescent="0.2">
      <c r="A39" s="1147" t="s">
        <v>370</v>
      </c>
      <c r="B39" s="1147"/>
      <c r="C39" s="1147"/>
      <c r="D39" s="108" t="s">
        <v>119</v>
      </c>
      <c r="E39" s="108" t="s">
        <v>373</v>
      </c>
      <c r="F39" s="1147" t="s">
        <v>664</v>
      </c>
      <c r="G39" s="1147"/>
      <c r="H39" s="165" t="s">
        <v>665</v>
      </c>
      <c r="I39" s="165" t="s">
        <v>605</v>
      </c>
    </row>
    <row r="40" spans="1:9" ht="18" customHeight="1" x14ac:dyDescent="0.2">
      <c r="A40" s="1379" t="s">
        <v>618</v>
      </c>
      <c r="B40" s="1379"/>
      <c r="C40" s="1379"/>
      <c r="D40" s="1379"/>
      <c r="E40" s="1379"/>
      <c r="F40" s="1379"/>
      <c r="G40" s="1379"/>
      <c r="H40" s="1379"/>
      <c r="I40" s="1379"/>
    </row>
    <row r="41" spans="1:9" ht="18" customHeight="1" x14ac:dyDescent="0.2">
      <c r="A41" s="1313"/>
      <c r="B41" s="1313"/>
      <c r="C41" s="1313"/>
      <c r="D41" s="38"/>
      <c r="E41" s="38"/>
      <c r="F41" s="1314"/>
      <c r="G41" s="1314"/>
      <c r="H41" s="170"/>
      <c r="I41" s="170">
        <f>E41*H41</f>
        <v>0</v>
      </c>
    </row>
    <row r="42" spans="1:9" ht="18" customHeight="1" x14ac:dyDescent="0.2">
      <c r="A42" s="1313"/>
      <c r="B42" s="1313"/>
      <c r="C42" s="1313"/>
      <c r="D42" s="38"/>
      <c r="E42" s="38"/>
      <c r="F42" s="1314"/>
      <c r="G42" s="1314"/>
      <c r="H42" s="170"/>
      <c r="I42" s="170">
        <f t="shared" ref="I42:I46" si="3">E42*H42</f>
        <v>0</v>
      </c>
    </row>
    <row r="43" spans="1:9" ht="18" customHeight="1" x14ac:dyDescent="0.2">
      <c r="A43" s="1313"/>
      <c r="B43" s="1313"/>
      <c r="C43" s="1313"/>
      <c r="D43" s="38"/>
      <c r="E43" s="38"/>
      <c r="F43" s="1314"/>
      <c r="G43" s="1314"/>
      <c r="H43" s="170"/>
      <c r="I43" s="170">
        <f t="shared" si="3"/>
        <v>0</v>
      </c>
    </row>
    <row r="44" spans="1:9" ht="18" customHeight="1" x14ac:dyDescent="0.2">
      <c r="A44" s="1313"/>
      <c r="B44" s="1313"/>
      <c r="C44" s="1313"/>
      <c r="D44" s="38"/>
      <c r="E44" s="38"/>
      <c r="F44" s="1314"/>
      <c r="G44" s="1314"/>
      <c r="H44" s="170"/>
      <c r="I44" s="170">
        <f t="shared" si="3"/>
        <v>0</v>
      </c>
    </row>
    <row r="45" spans="1:9" ht="18" customHeight="1" x14ac:dyDescent="0.2">
      <c r="A45" s="1313"/>
      <c r="B45" s="1313"/>
      <c r="C45" s="1313"/>
      <c r="D45" s="38"/>
      <c r="E45" s="38"/>
      <c r="F45" s="1314"/>
      <c r="G45" s="1314"/>
      <c r="H45" s="170"/>
      <c r="I45" s="170">
        <f t="shared" si="3"/>
        <v>0</v>
      </c>
    </row>
    <row r="46" spans="1:9" ht="18" customHeight="1" x14ac:dyDescent="0.2">
      <c r="A46" s="1313"/>
      <c r="B46" s="1313"/>
      <c r="C46" s="1313"/>
      <c r="D46" s="38"/>
      <c r="E46" s="38"/>
      <c r="F46" s="1314"/>
      <c r="G46" s="1314"/>
      <c r="H46" s="170"/>
      <c r="I46" s="170">
        <f t="shared" si="3"/>
        <v>0</v>
      </c>
    </row>
    <row r="47" spans="1:9" ht="18" customHeight="1" x14ac:dyDescent="0.2">
      <c r="A47" s="1315" t="s">
        <v>611</v>
      </c>
      <c r="B47" s="1315"/>
      <c r="C47" s="1315"/>
      <c r="D47" s="1315"/>
      <c r="E47" s="1315"/>
      <c r="F47" s="1315"/>
      <c r="G47" s="1315"/>
      <c r="H47" s="1315"/>
      <c r="I47" s="172">
        <f>SUM(I41:I46)</f>
        <v>0</v>
      </c>
    </row>
    <row r="48" spans="1:9" ht="18" customHeight="1" x14ac:dyDescent="0.2">
      <c r="A48" s="1361" t="s">
        <v>671</v>
      </c>
      <c r="B48" s="1361"/>
      <c r="C48" s="1361"/>
      <c r="D48" s="1361"/>
      <c r="E48" s="1361"/>
      <c r="F48" s="1361"/>
      <c r="G48" s="1361"/>
      <c r="H48" s="1361"/>
      <c r="I48" s="201">
        <f>I38+I47</f>
        <v>0</v>
      </c>
    </row>
    <row r="49" spans="1:9" ht="18" customHeight="1" x14ac:dyDescent="0.2">
      <c r="A49" s="1345"/>
      <c r="B49" s="1346"/>
      <c r="C49" s="1346"/>
      <c r="D49" s="1346"/>
      <c r="E49" s="1346"/>
      <c r="F49" s="1346"/>
      <c r="G49" s="1346"/>
      <c r="H49" s="1346"/>
      <c r="I49" s="1346"/>
    </row>
    <row r="50" spans="1:9" ht="18" customHeight="1" x14ac:dyDescent="0.2">
      <c r="A50" s="1470" t="s">
        <v>625</v>
      </c>
      <c r="B50" s="1470"/>
      <c r="C50" s="1470"/>
      <c r="D50" s="1470"/>
      <c r="E50" s="1470"/>
      <c r="F50" s="1470"/>
      <c r="G50" s="1470"/>
      <c r="H50" s="1470"/>
      <c r="I50" s="1470"/>
    </row>
    <row r="51" spans="1:9" ht="52.5" customHeight="1" x14ac:dyDescent="0.2">
      <c r="A51" s="100" t="s">
        <v>370</v>
      </c>
      <c r="B51" s="100" t="s">
        <v>371</v>
      </c>
      <c r="C51" s="100" t="s">
        <v>372</v>
      </c>
      <c r="D51" s="100" t="s">
        <v>119</v>
      </c>
      <c r="E51" s="100" t="s">
        <v>373</v>
      </c>
      <c r="F51" s="164" t="s">
        <v>664</v>
      </c>
      <c r="G51" s="100" t="s">
        <v>375</v>
      </c>
      <c r="H51" s="165" t="s">
        <v>665</v>
      </c>
      <c r="I51" s="165" t="s">
        <v>605</v>
      </c>
    </row>
    <row r="52" spans="1:9" ht="18" customHeight="1" x14ac:dyDescent="0.2">
      <c r="A52" s="1379" t="s">
        <v>368</v>
      </c>
      <c r="B52" s="1379"/>
      <c r="C52" s="1379"/>
      <c r="D52" s="1379"/>
      <c r="E52" s="1379"/>
      <c r="F52" s="1379"/>
      <c r="G52" s="1379"/>
      <c r="H52" s="1379"/>
      <c r="I52" s="1379"/>
    </row>
    <row r="53" spans="1:9" ht="18" customHeight="1" x14ac:dyDescent="0.2">
      <c r="A53" s="173"/>
      <c r="B53" s="173"/>
      <c r="C53" s="169"/>
      <c r="D53" s="173"/>
      <c r="E53" s="173"/>
      <c r="F53" s="170"/>
      <c r="G53" s="194"/>
      <c r="H53" s="194"/>
      <c r="I53" s="170">
        <f>B53*C53*E53*G53*H53</f>
        <v>0</v>
      </c>
    </row>
    <row r="54" spans="1:9" ht="18" customHeight="1" x14ac:dyDescent="0.2">
      <c r="A54" s="173"/>
      <c r="B54" s="173"/>
      <c r="C54" s="169"/>
      <c r="D54" s="173"/>
      <c r="E54" s="173"/>
      <c r="F54" s="170"/>
      <c r="G54" s="194"/>
      <c r="H54" s="194"/>
      <c r="I54" s="170">
        <f t="shared" ref="I54:I57" si="4">B54*C54*E54*G54*H54</f>
        <v>0</v>
      </c>
    </row>
    <row r="55" spans="1:9" ht="18" customHeight="1" x14ac:dyDescent="0.2">
      <c r="A55" s="168"/>
      <c r="B55" s="168"/>
      <c r="C55" s="169"/>
      <c r="D55" s="168"/>
      <c r="E55" s="168"/>
      <c r="F55" s="170"/>
      <c r="G55" s="171"/>
      <c r="H55" s="171"/>
      <c r="I55" s="170">
        <f t="shared" si="4"/>
        <v>0</v>
      </c>
    </row>
    <row r="56" spans="1:9" ht="18" customHeight="1" x14ac:dyDescent="0.2">
      <c r="A56" s="168"/>
      <c r="B56" s="168"/>
      <c r="C56" s="169"/>
      <c r="D56" s="168"/>
      <c r="E56" s="168"/>
      <c r="F56" s="170"/>
      <c r="G56" s="171"/>
      <c r="H56" s="171"/>
      <c r="I56" s="170">
        <f t="shared" si="4"/>
        <v>0</v>
      </c>
    </row>
    <row r="57" spans="1:9" ht="18" customHeight="1" x14ac:dyDescent="0.2">
      <c r="A57" s="168"/>
      <c r="B57" s="168"/>
      <c r="C57" s="169"/>
      <c r="D57" s="168"/>
      <c r="E57" s="168"/>
      <c r="F57" s="170"/>
      <c r="G57" s="168"/>
      <c r="H57" s="168"/>
      <c r="I57" s="170">
        <f t="shared" si="4"/>
        <v>0</v>
      </c>
    </row>
    <row r="58" spans="1:9" ht="17.25" customHeight="1" x14ac:dyDescent="0.2">
      <c r="A58" s="1315" t="s">
        <v>604</v>
      </c>
      <c r="B58" s="1315"/>
      <c r="C58" s="1315"/>
      <c r="D58" s="1315"/>
      <c r="E58" s="1315"/>
      <c r="F58" s="1315"/>
      <c r="G58" s="1315"/>
      <c r="H58" s="1315"/>
      <c r="I58" s="172">
        <f>SUM(I53:I57)</f>
        <v>0</v>
      </c>
    </row>
    <row r="59" spans="1:9" ht="41.25" customHeight="1" x14ac:dyDescent="0.2">
      <c r="A59" s="1147" t="s">
        <v>370</v>
      </c>
      <c r="B59" s="1147"/>
      <c r="C59" s="1147"/>
      <c r="D59" s="108" t="s">
        <v>119</v>
      </c>
      <c r="E59" s="108" t="s">
        <v>373</v>
      </c>
      <c r="F59" s="1147" t="s">
        <v>664</v>
      </c>
      <c r="G59" s="1147"/>
      <c r="H59" s="165" t="s">
        <v>665</v>
      </c>
      <c r="I59" s="165" t="s">
        <v>605</v>
      </c>
    </row>
    <row r="60" spans="1:9" ht="18" customHeight="1" x14ac:dyDescent="0.2">
      <c r="A60" s="1379" t="s">
        <v>618</v>
      </c>
      <c r="B60" s="1379"/>
      <c r="C60" s="1379"/>
      <c r="D60" s="1379"/>
      <c r="E60" s="1379"/>
      <c r="F60" s="1379"/>
      <c r="G60" s="1379"/>
      <c r="H60" s="1379"/>
      <c r="I60" s="1379"/>
    </row>
    <row r="61" spans="1:9" ht="18" customHeight="1" x14ac:dyDescent="0.2">
      <c r="A61" s="1313"/>
      <c r="B61" s="1313"/>
      <c r="C61" s="1313"/>
      <c r="D61" s="38"/>
      <c r="E61" s="38"/>
      <c r="F61" s="1314"/>
      <c r="G61" s="1314"/>
      <c r="H61" s="170"/>
      <c r="I61" s="170">
        <f>E61*H61</f>
        <v>0</v>
      </c>
    </row>
    <row r="62" spans="1:9" ht="18" customHeight="1" x14ac:dyDescent="0.2">
      <c r="A62" s="1313"/>
      <c r="B62" s="1313"/>
      <c r="C62" s="1313"/>
      <c r="D62" s="38"/>
      <c r="E62" s="38"/>
      <c r="F62" s="1314"/>
      <c r="G62" s="1314"/>
      <c r="H62" s="170"/>
      <c r="I62" s="170">
        <f t="shared" ref="I62:I66" si="5">E62*H62</f>
        <v>0</v>
      </c>
    </row>
    <row r="63" spans="1:9" ht="18" customHeight="1" x14ac:dyDescent="0.2">
      <c r="A63" s="1313"/>
      <c r="B63" s="1313"/>
      <c r="C63" s="1313"/>
      <c r="D63" s="38"/>
      <c r="E63" s="38"/>
      <c r="F63" s="1314"/>
      <c r="G63" s="1314"/>
      <c r="H63" s="170"/>
      <c r="I63" s="170">
        <f t="shared" si="5"/>
        <v>0</v>
      </c>
    </row>
    <row r="64" spans="1:9" ht="18" customHeight="1" x14ac:dyDescent="0.2">
      <c r="A64" s="1313"/>
      <c r="B64" s="1313"/>
      <c r="C64" s="1313"/>
      <c r="D64" s="38"/>
      <c r="E64" s="38"/>
      <c r="F64" s="1314"/>
      <c r="G64" s="1314"/>
      <c r="H64" s="170"/>
      <c r="I64" s="170">
        <f t="shared" si="5"/>
        <v>0</v>
      </c>
    </row>
    <row r="65" spans="1:9" ht="18" customHeight="1" x14ac:dyDescent="0.2">
      <c r="A65" s="1313"/>
      <c r="B65" s="1313"/>
      <c r="C65" s="1313"/>
      <c r="D65" s="38"/>
      <c r="E65" s="38"/>
      <c r="F65" s="1314"/>
      <c r="G65" s="1314"/>
      <c r="H65" s="170"/>
      <c r="I65" s="170">
        <f t="shared" si="5"/>
        <v>0</v>
      </c>
    </row>
    <row r="66" spans="1:9" ht="18" customHeight="1" x14ac:dyDescent="0.2">
      <c r="A66" s="1313"/>
      <c r="B66" s="1313"/>
      <c r="C66" s="1313"/>
      <c r="D66" s="38"/>
      <c r="E66" s="38"/>
      <c r="F66" s="1314"/>
      <c r="G66" s="1314"/>
      <c r="H66" s="170"/>
      <c r="I66" s="170">
        <f t="shared" si="5"/>
        <v>0</v>
      </c>
    </row>
    <row r="67" spans="1:9" ht="18" customHeight="1" x14ac:dyDescent="0.2">
      <c r="A67" s="1315" t="s">
        <v>611</v>
      </c>
      <c r="B67" s="1315"/>
      <c r="C67" s="1315"/>
      <c r="D67" s="1315"/>
      <c r="E67" s="1315"/>
      <c r="F67" s="1315"/>
      <c r="G67" s="1315"/>
      <c r="H67" s="1315"/>
      <c r="I67" s="172">
        <f>SUM(I61:I66)</f>
        <v>0</v>
      </c>
    </row>
    <row r="68" spans="1:9" ht="18" customHeight="1" x14ac:dyDescent="0.2">
      <c r="A68" s="1361" t="s">
        <v>672</v>
      </c>
      <c r="B68" s="1361"/>
      <c r="C68" s="1361"/>
      <c r="D68" s="1361"/>
      <c r="E68" s="1361"/>
      <c r="F68" s="1361"/>
      <c r="G68" s="1361"/>
      <c r="H68" s="1361"/>
      <c r="I68" s="201">
        <f>I58+I67</f>
        <v>0</v>
      </c>
    </row>
    <row r="69" spans="1:9" ht="18" customHeight="1" x14ac:dyDescent="0.2">
      <c r="A69" s="1389"/>
      <c r="B69" s="1389"/>
      <c r="C69" s="1389"/>
      <c r="D69" s="1389"/>
      <c r="E69" s="1389"/>
      <c r="F69" s="1389"/>
      <c r="G69" s="1389"/>
      <c r="H69" s="1389"/>
      <c r="I69" s="1389"/>
    </row>
    <row r="70" spans="1:9" ht="18" customHeight="1" x14ac:dyDescent="0.2">
      <c r="A70" s="1463" t="s">
        <v>389</v>
      </c>
      <c r="B70" s="1463"/>
      <c r="C70" s="1463"/>
      <c r="D70" s="1463"/>
      <c r="E70" s="1463"/>
      <c r="F70" s="1463"/>
      <c r="G70" s="1463"/>
      <c r="H70" s="1463"/>
      <c r="I70" s="531">
        <f>I28+I48+I68</f>
        <v>0</v>
      </c>
    </row>
    <row r="71" spans="1:9" ht="18" customHeight="1" x14ac:dyDescent="0.2">
      <c r="A71" s="1463" t="s">
        <v>636</v>
      </c>
      <c r="B71" s="1463"/>
      <c r="C71" s="1463"/>
      <c r="D71" s="1463"/>
      <c r="E71" s="1463"/>
      <c r="F71" s="1463"/>
      <c r="G71" s="1463"/>
      <c r="H71" s="178"/>
      <c r="I71" s="532">
        <v>0</v>
      </c>
    </row>
    <row r="72" spans="1:9" ht="18" customHeight="1" x14ac:dyDescent="0.2">
      <c r="A72" s="1463" t="s">
        <v>392</v>
      </c>
      <c r="B72" s="1463"/>
      <c r="C72" s="1463"/>
      <c r="D72" s="1463"/>
      <c r="E72" s="1463"/>
      <c r="F72" s="1463"/>
      <c r="G72" s="1463"/>
      <c r="H72" s="178"/>
      <c r="I72" s="532">
        <v>0</v>
      </c>
    </row>
    <row r="73" spans="1:9" ht="18" customHeight="1" x14ac:dyDescent="0.2">
      <c r="A73" s="1463" t="s">
        <v>385</v>
      </c>
      <c r="B73" s="1463"/>
      <c r="C73" s="1463"/>
      <c r="D73" s="1463"/>
      <c r="E73" s="1463"/>
      <c r="F73" s="1463"/>
      <c r="G73" s="1463"/>
      <c r="H73" s="178"/>
      <c r="I73" s="532">
        <v>0</v>
      </c>
    </row>
    <row r="74" spans="1:9" ht="18" customHeight="1" x14ac:dyDescent="0.2">
      <c r="A74" s="1467" t="s">
        <v>394</v>
      </c>
      <c r="B74" s="1337"/>
      <c r="C74" s="1337"/>
      <c r="D74" s="1337"/>
      <c r="E74" s="1337"/>
      <c r="F74" s="1337"/>
      <c r="G74" s="1337"/>
      <c r="H74" s="1338"/>
      <c r="I74" s="533">
        <f>SUM(I70:I73)</f>
        <v>0</v>
      </c>
    </row>
    <row r="75" spans="1:9" ht="18" customHeight="1" x14ac:dyDescent="0.2">
      <c r="E75" s="187"/>
      <c r="F75" s="188"/>
      <c r="G75" s="187"/>
      <c r="H75" s="187"/>
      <c r="I75" s="189"/>
    </row>
    <row r="76" spans="1:9" ht="110.25" customHeight="1" x14ac:dyDescent="0.2">
      <c r="A76" s="1466" t="s">
        <v>667</v>
      </c>
      <c r="B76" s="1466"/>
      <c r="C76" s="1466"/>
      <c r="D76" s="1466"/>
      <c r="E76" s="1466"/>
      <c r="F76" s="1466"/>
      <c r="G76" s="1466"/>
      <c r="H76" s="1466"/>
      <c r="I76" s="1466"/>
    </row>
    <row r="77" spans="1:9" ht="18" customHeight="1" thickBot="1" x14ac:dyDescent="0.25">
      <c r="A77" s="534"/>
      <c r="B77" s="534"/>
      <c r="C77" s="534"/>
      <c r="D77" s="535"/>
      <c r="E77" s="534"/>
      <c r="F77" s="536"/>
      <c r="G77" s="187"/>
      <c r="H77" s="187"/>
      <c r="I77" s="189"/>
    </row>
    <row r="78" spans="1:9" ht="18" customHeight="1" thickBot="1" x14ac:dyDescent="0.25">
      <c r="A78" s="1460" t="s">
        <v>668</v>
      </c>
      <c r="B78" s="1461"/>
      <c r="C78" s="1461"/>
      <c r="D78" s="1461"/>
      <c r="E78" s="1461"/>
      <c r="F78" s="1461"/>
      <c r="G78" s="1461"/>
      <c r="H78" s="1461"/>
      <c r="I78" s="1462"/>
    </row>
  </sheetData>
  <sheetProtection formatCells="0" formatColumns="0" formatRows="0" insertColumns="0" insertRows="0" insertHyperlinks="0" deleteColumns="0" deleteRows="0" sort="0" autoFilter="0" pivotTables="0"/>
  <mergeCells count="82">
    <mergeCell ref="A78:I78"/>
    <mergeCell ref="A5:D5"/>
    <mergeCell ref="E5:I5"/>
    <mergeCell ref="A6:D6"/>
    <mergeCell ref="E6:I6"/>
    <mergeCell ref="A7:D7"/>
    <mergeCell ref="E7:I7"/>
    <mergeCell ref="A18:H18"/>
    <mergeCell ref="A27:H27"/>
    <mergeCell ref="A28:H28"/>
    <mergeCell ref="A70:H70"/>
    <mergeCell ref="A71:G71"/>
    <mergeCell ref="A72:G72"/>
    <mergeCell ref="A73:G73"/>
    <mergeCell ref="A74:H74"/>
    <mergeCell ref="A76:I76"/>
    <mergeCell ref="A69:I69"/>
    <mergeCell ref="A66:C66"/>
    <mergeCell ref="F66:G66"/>
    <mergeCell ref="A67:H67"/>
    <mergeCell ref="A68:H68"/>
    <mergeCell ref="A63:C63"/>
    <mergeCell ref="F63:G63"/>
    <mergeCell ref="A64:C64"/>
    <mergeCell ref="F64:G64"/>
    <mergeCell ref="A65:C65"/>
    <mergeCell ref="F65:G65"/>
    <mergeCell ref="A62:C62"/>
    <mergeCell ref="F62:G62"/>
    <mergeCell ref="A49:I49"/>
    <mergeCell ref="A50:I50"/>
    <mergeCell ref="A52:I52"/>
    <mergeCell ref="A58:H58"/>
    <mergeCell ref="A59:C59"/>
    <mergeCell ref="F59:G59"/>
    <mergeCell ref="A60:I60"/>
    <mergeCell ref="A61:C61"/>
    <mergeCell ref="F61:G61"/>
    <mergeCell ref="A48:H48"/>
    <mergeCell ref="A42:C42"/>
    <mergeCell ref="F42:G42"/>
    <mergeCell ref="A43:C43"/>
    <mergeCell ref="F43:G43"/>
    <mergeCell ref="A44:C44"/>
    <mergeCell ref="F44:G44"/>
    <mergeCell ref="A45:C45"/>
    <mergeCell ref="F45:G45"/>
    <mergeCell ref="A46:C46"/>
    <mergeCell ref="F46:G46"/>
    <mergeCell ref="A47:H47"/>
    <mergeCell ref="A32:I32"/>
    <mergeCell ref="A39:C39"/>
    <mergeCell ref="F39:G39"/>
    <mergeCell ref="A40:I40"/>
    <mergeCell ref="A41:C41"/>
    <mergeCell ref="F41:G41"/>
    <mergeCell ref="A38:H38"/>
    <mergeCell ref="A29:I29"/>
    <mergeCell ref="A30:I30"/>
    <mergeCell ref="A24:C24"/>
    <mergeCell ref="F24:G24"/>
    <mergeCell ref="A25:C25"/>
    <mergeCell ref="F25:G25"/>
    <mergeCell ref="A26:C26"/>
    <mergeCell ref="F26:G26"/>
    <mergeCell ref="A21:C21"/>
    <mergeCell ref="F21:G21"/>
    <mergeCell ref="A22:C22"/>
    <mergeCell ref="F22:G22"/>
    <mergeCell ref="A23:C23"/>
    <mergeCell ref="F23:G23"/>
    <mergeCell ref="A10:I10"/>
    <mergeCell ref="A12:I12"/>
    <mergeCell ref="A19:C19"/>
    <mergeCell ref="F19:G19"/>
    <mergeCell ref="A20:I20"/>
    <mergeCell ref="A9:I9"/>
    <mergeCell ref="A1:C3"/>
    <mergeCell ref="D1:I1"/>
    <mergeCell ref="D2:I2"/>
    <mergeCell ref="D3:F3"/>
    <mergeCell ref="G3:I3"/>
  </mergeCells>
  <hyperlinks>
    <hyperlink ref="J1" location="ins" display="Instructivo" xr:uid="{00000000-0004-0000-0E00-000000000000}"/>
    <hyperlink ref="J2" location="NPE" display="Notas propuesta económica" xr:uid="{00000000-0004-0000-0E00-000001000000}"/>
  </hyperlinks>
  <printOptions horizontalCentered="1"/>
  <pageMargins left="0" right="0" top="0" bottom="0" header="0" footer="0"/>
  <pageSetup scale="80" fitToHeight="0" orientation="landscape" horizontalDpi="4294967295" verticalDpi="4294967295"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28">
    <tabColor theme="5" tint="0.39997558519241921"/>
    <pageSetUpPr fitToPage="1"/>
  </sheetPr>
  <dimension ref="A1:G65"/>
  <sheetViews>
    <sheetView showGridLines="0" topLeftCell="A5" zoomScaleNormal="100" workbookViewId="0">
      <selection activeCell="A17" sqref="A17:E17"/>
    </sheetView>
  </sheetViews>
  <sheetFormatPr baseColWidth="10" defaultColWidth="11.5" defaultRowHeight="20.100000000000001" customHeight="1" x14ac:dyDescent="0.2"/>
  <cols>
    <col min="1" max="1" width="27.6640625" style="187" customWidth="1"/>
    <col min="2" max="4" width="26.83203125" style="187" customWidth="1"/>
    <col min="5" max="5" width="26.83203125" style="203" customWidth="1"/>
    <col min="6" max="6" width="15.33203125" style="71" customWidth="1"/>
    <col min="7" max="7" width="18.83203125" style="71" customWidth="1"/>
    <col min="8" max="16384" width="11.5" style="71"/>
  </cols>
  <sheetData>
    <row r="1" spans="1:7" ht="20.100000000000001" customHeight="1" x14ac:dyDescent="0.2">
      <c r="A1" s="637"/>
      <c r="B1" s="947" t="s">
        <v>0</v>
      </c>
      <c r="C1" s="948"/>
      <c r="D1" s="948"/>
      <c r="E1" s="949"/>
      <c r="F1" s="339" t="s">
        <v>104</v>
      </c>
      <c r="G1" s="62"/>
    </row>
    <row r="2" spans="1:7" ht="20.100000000000001" customHeight="1" x14ac:dyDescent="0.2">
      <c r="A2" s="638"/>
      <c r="B2" s="950" t="s">
        <v>673</v>
      </c>
      <c r="C2" s="951"/>
      <c r="D2" s="951"/>
      <c r="E2" s="952"/>
    </row>
    <row r="3" spans="1:7" ht="20.100000000000001" customHeight="1" thickBot="1" x14ac:dyDescent="0.25">
      <c r="A3" s="639"/>
      <c r="B3" s="953" t="s">
        <v>2</v>
      </c>
      <c r="C3" s="954"/>
      <c r="D3" s="953" t="str">
        <f>Instructivo!G3</f>
        <v>VERSIÓN: 04</v>
      </c>
      <c r="E3" s="955"/>
    </row>
    <row r="4" spans="1:7" ht="20.100000000000001" customHeight="1" thickBot="1" x14ac:dyDescent="0.25">
      <c r="A4" s="71"/>
      <c r="B4" s="67"/>
      <c r="C4" s="67"/>
      <c r="D4" s="67"/>
      <c r="E4" s="67"/>
    </row>
    <row r="5" spans="1:7" ht="96" customHeight="1" thickBot="1" x14ac:dyDescent="0.25">
      <c r="A5" s="1475" t="s">
        <v>674</v>
      </c>
      <c r="B5" s="1476"/>
      <c r="C5" s="1476"/>
      <c r="D5" s="1476"/>
      <c r="E5" s="1477"/>
    </row>
    <row r="6" spans="1:7" ht="18" customHeight="1" thickBot="1" x14ac:dyDescent="0.25">
      <c r="A6" s="1478"/>
      <c r="B6" s="1478"/>
      <c r="C6" s="1478"/>
      <c r="D6" s="1478"/>
      <c r="E6" s="1478"/>
    </row>
    <row r="7" spans="1:7" ht="44.25" customHeight="1" thickBot="1" x14ac:dyDescent="0.25">
      <c r="A7" s="1475" t="s">
        <v>675</v>
      </c>
      <c r="B7" s="1476"/>
      <c r="C7" s="1476"/>
      <c r="D7" s="1476"/>
      <c r="E7" s="1477"/>
    </row>
    <row r="8" spans="1:7" ht="20.100000000000001" customHeight="1" thickBot="1" x14ac:dyDescent="0.25">
      <c r="A8" s="1474"/>
      <c r="B8" s="1474"/>
      <c r="C8" s="1474"/>
      <c r="D8" s="1474"/>
      <c r="E8" s="1474"/>
    </row>
    <row r="9" spans="1:7" s="67" customFormat="1" ht="18" customHeight="1" thickBot="1" x14ac:dyDescent="0.25">
      <c r="A9" s="1092" t="s">
        <v>662</v>
      </c>
      <c r="B9" s="1325"/>
      <c r="C9" s="1094"/>
      <c r="D9" s="1095"/>
      <c r="E9" s="1096"/>
      <c r="F9" s="71"/>
      <c r="G9" s="71"/>
    </row>
    <row r="10" spans="1:7" s="67" customFormat="1" ht="23.25" customHeight="1" thickBot="1" x14ac:dyDescent="0.25">
      <c r="A10" s="1092" t="s">
        <v>106</v>
      </c>
      <c r="B10" s="1325"/>
      <c r="C10" s="956" t="str">
        <f>'Plan Ejecución'!AE5</f>
        <v>Licitación Pública</v>
      </c>
      <c r="D10" s="957"/>
      <c r="E10" s="958"/>
      <c r="F10" s="225"/>
      <c r="G10" s="225"/>
    </row>
    <row r="11" spans="1:7" ht="53.25" customHeight="1" thickBot="1" x14ac:dyDescent="0.25">
      <c r="A11" s="1092" t="s">
        <v>108</v>
      </c>
      <c r="B11" s="1325"/>
      <c r="C11" s="959" t="str">
        <f>'Plan Ejecución'!AE6</f>
        <v>“Adquirir el Programa de Seguros para la protección de los bienes e intereses, según los ramos y coberturas que requiera CORANTIOQUIA”.</v>
      </c>
      <c r="D11" s="960"/>
      <c r="E11" s="961"/>
      <c r="F11" s="225"/>
      <c r="G11" s="225"/>
    </row>
    <row r="12" spans="1:7" ht="20.100000000000001" customHeight="1" thickBot="1" x14ac:dyDescent="0.25">
      <c r="A12" s="221"/>
      <c r="B12" s="190"/>
      <c r="C12" s="190"/>
      <c r="D12" s="190"/>
      <c r="E12" s="190"/>
    </row>
    <row r="13" spans="1:7" ht="20.100000000000001" customHeight="1" x14ac:dyDescent="0.2">
      <c r="A13" s="1471" t="s">
        <v>676</v>
      </c>
      <c r="B13" s="1472"/>
      <c r="C13" s="1472"/>
      <c r="D13" s="1473"/>
      <c r="E13" s="190"/>
    </row>
    <row r="14" spans="1:7" ht="34.5" customHeight="1" thickBot="1" x14ac:dyDescent="0.25">
      <c r="A14" s="333" t="s">
        <v>677</v>
      </c>
      <c r="B14" s="334" t="s">
        <v>678</v>
      </c>
      <c r="C14" s="334" t="s">
        <v>679</v>
      </c>
      <c r="D14" s="335" t="s">
        <v>680</v>
      </c>
      <c r="E14" s="190"/>
    </row>
    <row r="15" spans="1:7" ht="20.100000000000001" customHeight="1" thickBot="1" x14ac:dyDescent="0.25">
      <c r="A15" s="685"/>
      <c r="B15" s="686">
        <v>0.2</v>
      </c>
      <c r="C15" s="687">
        <f>A15*B15</f>
        <v>0</v>
      </c>
      <c r="D15" s="688">
        <f>A15-C15</f>
        <v>0</v>
      </c>
      <c r="E15" s="190"/>
    </row>
    <row r="16" spans="1:7" ht="20.100000000000001" customHeight="1" thickBot="1" x14ac:dyDescent="0.25">
      <c r="A16" s="232"/>
      <c r="B16" s="233"/>
      <c r="C16" s="234"/>
      <c r="D16" s="224"/>
      <c r="E16" s="190"/>
    </row>
    <row r="17" spans="1:5" ht="20.100000000000001" customHeight="1" x14ac:dyDescent="0.2">
      <c r="A17" s="1471" t="s">
        <v>681</v>
      </c>
      <c r="B17" s="1472"/>
      <c r="C17" s="1472"/>
      <c r="D17" s="1472"/>
      <c r="E17" s="1473"/>
    </row>
    <row r="18" spans="1:5" ht="40.5" customHeight="1" thickBot="1" x14ac:dyDescent="0.25">
      <c r="A18" s="333" t="s">
        <v>682</v>
      </c>
      <c r="B18" s="334" t="s">
        <v>683</v>
      </c>
      <c r="C18" s="334" t="s">
        <v>678</v>
      </c>
      <c r="D18" s="334" t="s">
        <v>684</v>
      </c>
      <c r="E18" s="335" t="s">
        <v>685</v>
      </c>
    </row>
    <row r="19" spans="1:5" ht="20.100000000000001" customHeight="1" x14ac:dyDescent="0.2">
      <c r="A19" s="640"/>
      <c r="B19" s="322"/>
      <c r="C19" s="689">
        <v>0.2</v>
      </c>
      <c r="D19" s="690">
        <f>B19*C19</f>
        <v>0</v>
      </c>
      <c r="E19" s="691">
        <f>B19-D19</f>
        <v>0</v>
      </c>
    </row>
    <row r="20" spans="1:5" ht="20.100000000000001" customHeight="1" x14ac:dyDescent="0.2">
      <c r="A20" s="640"/>
      <c r="B20" s="235"/>
      <c r="C20" s="227">
        <v>0.2</v>
      </c>
      <c r="D20" s="669">
        <f>B20*C20</f>
        <v>0</v>
      </c>
      <c r="E20" s="670">
        <f t="shared" ref="E20:E21" si="0">B20-D20</f>
        <v>0</v>
      </c>
    </row>
    <row r="21" spans="1:5" ht="20.100000000000001" customHeight="1" x14ac:dyDescent="0.2">
      <c r="A21" s="640"/>
      <c r="B21" s="235"/>
      <c r="C21" s="227">
        <v>0.2</v>
      </c>
      <c r="D21" s="669">
        <f>B21*C21</f>
        <v>0</v>
      </c>
      <c r="E21" s="670">
        <f t="shared" si="0"/>
        <v>0</v>
      </c>
    </row>
    <row r="22" spans="1:5" ht="20.100000000000001" customHeight="1" x14ac:dyDescent="0.2">
      <c r="A22" s="312"/>
      <c r="B22" s="668"/>
      <c r="C22" s="227"/>
      <c r="D22" s="669">
        <f>B22*C22</f>
        <v>0</v>
      </c>
      <c r="E22" s="670">
        <f>B22-D22</f>
        <v>0</v>
      </c>
    </row>
    <row r="23" spans="1:5" ht="20.100000000000001" customHeight="1" thickBot="1" x14ac:dyDescent="0.25">
      <c r="A23" s="671"/>
      <c r="B23" s="672"/>
      <c r="C23" s="673"/>
      <c r="D23" s="674">
        <f>B23*C23</f>
        <v>0</v>
      </c>
      <c r="E23" s="675">
        <f>B23-D23</f>
        <v>0</v>
      </c>
    </row>
    <row r="24" spans="1:5" ht="20.100000000000001" customHeight="1" thickBot="1" x14ac:dyDescent="0.25">
      <c r="A24" s="190"/>
      <c r="B24" s="190"/>
      <c r="C24" s="190"/>
      <c r="D24" s="190"/>
      <c r="E24" s="190"/>
    </row>
    <row r="25" spans="1:5" ht="20.100000000000001" customHeight="1" x14ac:dyDescent="0.2">
      <c r="A25" s="1471" t="s">
        <v>686</v>
      </c>
      <c r="B25" s="1472"/>
      <c r="C25" s="1472"/>
      <c r="D25" s="1472"/>
      <c r="E25" s="1473"/>
    </row>
    <row r="26" spans="1:5" ht="42.75" customHeight="1" thickBot="1" x14ac:dyDescent="0.25">
      <c r="A26" s="333" t="s">
        <v>370</v>
      </c>
      <c r="B26" s="334" t="s">
        <v>687</v>
      </c>
      <c r="C26" s="334" t="s">
        <v>678</v>
      </c>
      <c r="D26" s="334" t="s">
        <v>688</v>
      </c>
      <c r="E26" s="335" t="s">
        <v>685</v>
      </c>
    </row>
    <row r="27" spans="1:5" ht="29.25" customHeight="1" x14ac:dyDescent="0.2">
      <c r="A27" s="640"/>
      <c r="B27" s="322"/>
      <c r="C27" s="689">
        <v>0.2</v>
      </c>
      <c r="D27" s="690">
        <f>B27*C27</f>
        <v>0</v>
      </c>
      <c r="E27" s="691">
        <f>B27-D27</f>
        <v>0</v>
      </c>
    </row>
    <row r="28" spans="1:5" ht="20.100000000000001" customHeight="1" x14ac:dyDescent="0.2">
      <c r="A28" s="312"/>
      <c r="B28" s="235"/>
      <c r="C28" s="227">
        <v>0.2</v>
      </c>
      <c r="D28" s="669">
        <f t="shared" ref="D28:D29" si="1">B28*C28</f>
        <v>0</v>
      </c>
      <c r="E28" s="670">
        <f t="shared" ref="E28:E29" si="2">B28-D28</f>
        <v>0</v>
      </c>
    </row>
    <row r="29" spans="1:5" ht="45.75" customHeight="1" x14ac:dyDescent="0.2">
      <c r="A29" s="312"/>
      <c r="B29" s="235"/>
      <c r="C29" s="227">
        <v>0.2</v>
      </c>
      <c r="D29" s="669">
        <f t="shared" si="1"/>
        <v>0</v>
      </c>
      <c r="E29" s="670">
        <f t="shared" si="2"/>
        <v>0</v>
      </c>
    </row>
    <row r="30" spans="1:5" ht="20.100000000000001" customHeight="1" x14ac:dyDescent="0.2">
      <c r="A30" s="312"/>
      <c r="B30" s="668"/>
      <c r="C30" s="227"/>
      <c r="D30" s="669">
        <f t="shared" ref="D30:D38" si="3">B30*C30</f>
        <v>0</v>
      </c>
      <c r="E30" s="670">
        <f t="shared" ref="E30:E38" si="4">B30-D30</f>
        <v>0</v>
      </c>
    </row>
    <row r="31" spans="1:5" ht="20.100000000000001" customHeight="1" x14ac:dyDescent="0.2">
      <c r="A31" s="312"/>
      <c r="B31" s="668"/>
      <c r="C31" s="227"/>
      <c r="D31" s="669">
        <f t="shared" si="3"/>
        <v>0</v>
      </c>
      <c r="E31" s="670">
        <f t="shared" si="4"/>
        <v>0</v>
      </c>
    </row>
    <row r="32" spans="1:5" ht="20.100000000000001" customHeight="1" x14ac:dyDescent="0.2">
      <c r="A32" s="312"/>
      <c r="B32" s="668"/>
      <c r="C32" s="227"/>
      <c r="D32" s="669">
        <f t="shared" si="3"/>
        <v>0</v>
      </c>
      <c r="E32" s="670">
        <f t="shared" si="4"/>
        <v>0</v>
      </c>
    </row>
    <row r="33" spans="1:5" ht="20.100000000000001" customHeight="1" x14ac:dyDescent="0.2">
      <c r="A33" s="312"/>
      <c r="B33" s="668"/>
      <c r="C33" s="227"/>
      <c r="D33" s="669">
        <f t="shared" si="3"/>
        <v>0</v>
      </c>
      <c r="E33" s="670">
        <f t="shared" si="4"/>
        <v>0</v>
      </c>
    </row>
    <row r="34" spans="1:5" ht="20.100000000000001" customHeight="1" x14ac:dyDescent="0.2">
      <c r="A34" s="312"/>
      <c r="B34" s="668"/>
      <c r="C34" s="227"/>
      <c r="D34" s="669">
        <f t="shared" si="3"/>
        <v>0</v>
      </c>
      <c r="E34" s="670">
        <f t="shared" si="4"/>
        <v>0</v>
      </c>
    </row>
    <row r="35" spans="1:5" ht="20.100000000000001" customHeight="1" x14ac:dyDescent="0.2">
      <c r="A35" s="312"/>
      <c r="B35" s="668"/>
      <c r="C35" s="227"/>
      <c r="D35" s="669">
        <f t="shared" si="3"/>
        <v>0</v>
      </c>
      <c r="E35" s="670">
        <f t="shared" si="4"/>
        <v>0</v>
      </c>
    </row>
    <row r="36" spans="1:5" ht="20.100000000000001" customHeight="1" x14ac:dyDescent="0.2">
      <c r="A36" s="312"/>
      <c r="B36" s="668"/>
      <c r="C36" s="227"/>
      <c r="D36" s="669">
        <f t="shared" si="3"/>
        <v>0</v>
      </c>
      <c r="E36" s="670">
        <f t="shared" si="4"/>
        <v>0</v>
      </c>
    </row>
    <row r="37" spans="1:5" ht="20.100000000000001" customHeight="1" x14ac:dyDescent="0.2">
      <c r="A37" s="312"/>
      <c r="B37" s="668"/>
      <c r="C37" s="227"/>
      <c r="D37" s="669">
        <f t="shared" si="3"/>
        <v>0</v>
      </c>
      <c r="E37" s="670">
        <f t="shared" si="4"/>
        <v>0</v>
      </c>
    </row>
    <row r="38" spans="1:5" ht="20.100000000000001" customHeight="1" thickBot="1" x14ac:dyDescent="0.25">
      <c r="A38" s="671"/>
      <c r="B38" s="672"/>
      <c r="C38" s="673"/>
      <c r="D38" s="674">
        <f t="shared" si="3"/>
        <v>0</v>
      </c>
      <c r="E38" s="675">
        <f t="shared" si="4"/>
        <v>0</v>
      </c>
    </row>
    <row r="39" spans="1:5" ht="27.75" customHeight="1" thickBot="1" x14ac:dyDescent="0.25">
      <c r="A39" s="71"/>
      <c r="B39" s="71"/>
      <c r="C39" s="71"/>
      <c r="D39" s="71"/>
      <c r="E39" s="71"/>
    </row>
    <row r="40" spans="1:5" ht="21.95" customHeight="1" x14ac:dyDescent="0.2">
      <c r="A40" s="1375" t="s">
        <v>689</v>
      </c>
      <c r="B40" s="1376"/>
      <c r="C40" s="1376"/>
      <c r="D40" s="1376"/>
      <c r="E40" s="1377"/>
    </row>
    <row r="41" spans="1:5" ht="21.95" customHeight="1" x14ac:dyDescent="0.2">
      <c r="A41" s="676" t="s">
        <v>690</v>
      </c>
      <c r="B41" s="1317" t="s">
        <v>691</v>
      </c>
      <c r="C41" s="1317"/>
      <c r="D41" s="1317"/>
      <c r="E41" s="1484"/>
    </row>
    <row r="42" spans="1:5" ht="37.5" customHeight="1" x14ac:dyDescent="0.2">
      <c r="A42" s="677" t="s">
        <v>370</v>
      </c>
      <c r="B42" s="678" t="s">
        <v>687</v>
      </c>
      <c r="C42" s="678" t="s">
        <v>678</v>
      </c>
      <c r="D42" s="678" t="s">
        <v>688</v>
      </c>
      <c r="E42" s="679" t="s">
        <v>685</v>
      </c>
    </row>
    <row r="43" spans="1:5" ht="27" customHeight="1" x14ac:dyDescent="0.2">
      <c r="A43" s="640"/>
      <c r="B43" s="322"/>
      <c r="C43" s="689">
        <v>0.2</v>
      </c>
      <c r="D43" s="690">
        <f>B43*C43</f>
        <v>0</v>
      </c>
      <c r="E43" s="691">
        <f>B43-D43</f>
        <v>0</v>
      </c>
    </row>
    <row r="44" spans="1:5" ht="20.100000000000001" customHeight="1" x14ac:dyDescent="0.2">
      <c r="A44" s="312"/>
      <c r="B44" s="235"/>
      <c r="C44" s="227">
        <v>0.2</v>
      </c>
      <c r="D44" s="669">
        <f t="shared" ref="D44" si="5">B44*C44</f>
        <v>0</v>
      </c>
      <c r="E44" s="670">
        <f t="shared" ref="E44:E45" si="6">B44-D44</f>
        <v>0</v>
      </c>
    </row>
    <row r="45" spans="1:5" ht="20.100000000000001" customHeight="1" x14ac:dyDescent="0.2">
      <c r="A45" s="312"/>
      <c r="B45" s="235"/>
      <c r="C45" s="227"/>
      <c r="D45" s="669">
        <f>B45*C45</f>
        <v>0</v>
      </c>
      <c r="E45" s="670">
        <f t="shared" si="6"/>
        <v>0</v>
      </c>
    </row>
    <row r="46" spans="1:5" ht="20.100000000000001" customHeight="1" x14ac:dyDescent="0.2">
      <c r="A46" s="312"/>
      <c r="B46" s="668"/>
      <c r="C46" s="227"/>
      <c r="D46" s="669">
        <f t="shared" ref="D46:D52" si="7">B46*C46</f>
        <v>0</v>
      </c>
      <c r="E46" s="670">
        <f t="shared" ref="E46:E52" si="8">B46-D46</f>
        <v>0</v>
      </c>
    </row>
    <row r="47" spans="1:5" ht="20.100000000000001" customHeight="1" x14ac:dyDescent="0.2">
      <c r="A47" s="312"/>
      <c r="B47" s="668"/>
      <c r="C47" s="227"/>
      <c r="D47" s="669">
        <f t="shared" si="7"/>
        <v>0</v>
      </c>
      <c r="E47" s="670">
        <f t="shared" si="8"/>
        <v>0</v>
      </c>
    </row>
    <row r="48" spans="1:5" ht="20.100000000000001" customHeight="1" x14ac:dyDescent="0.2">
      <c r="A48" s="312"/>
      <c r="B48" s="668"/>
      <c r="C48" s="227"/>
      <c r="D48" s="669">
        <f t="shared" si="7"/>
        <v>0</v>
      </c>
      <c r="E48" s="670">
        <f t="shared" si="8"/>
        <v>0</v>
      </c>
    </row>
    <row r="49" spans="1:5" ht="20.100000000000001" customHeight="1" x14ac:dyDescent="0.2">
      <c r="A49" s="312"/>
      <c r="B49" s="668"/>
      <c r="C49" s="227"/>
      <c r="D49" s="669">
        <f t="shared" si="7"/>
        <v>0</v>
      </c>
      <c r="E49" s="670">
        <f t="shared" si="8"/>
        <v>0</v>
      </c>
    </row>
    <row r="50" spans="1:5" ht="20.100000000000001" customHeight="1" x14ac:dyDescent="0.2">
      <c r="A50" s="312"/>
      <c r="B50" s="668"/>
      <c r="C50" s="227"/>
      <c r="D50" s="669">
        <f t="shared" si="7"/>
        <v>0</v>
      </c>
      <c r="E50" s="670">
        <f t="shared" si="8"/>
        <v>0</v>
      </c>
    </row>
    <row r="51" spans="1:5" ht="20.100000000000001" customHeight="1" x14ac:dyDescent="0.2">
      <c r="A51" s="312"/>
      <c r="B51" s="668"/>
      <c r="C51" s="227"/>
      <c r="D51" s="669">
        <f t="shared" si="7"/>
        <v>0</v>
      </c>
      <c r="E51" s="670">
        <f t="shared" si="8"/>
        <v>0</v>
      </c>
    </row>
    <row r="52" spans="1:5" ht="20.100000000000001" customHeight="1" thickBot="1" x14ac:dyDescent="0.25">
      <c r="A52" s="643"/>
      <c r="B52" s="680"/>
      <c r="C52" s="230"/>
      <c r="D52" s="681">
        <f t="shared" si="7"/>
        <v>0</v>
      </c>
      <c r="E52" s="682">
        <f t="shared" si="8"/>
        <v>0</v>
      </c>
    </row>
    <row r="53" spans="1:5" ht="20.100000000000001" customHeight="1" thickBot="1" x14ac:dyDescent="0.25">
      <c r="A53" s="1481"/>
      <c r="B53" s="1482"/>
      <c r="C53" s="1482"/>
      <c r="D53" s="1482"/>
      <c r="E53" s="1483"/>
    </row>
    <row r="54" spans="1:5" ht="20.100000000000001" customHeight="1" x14ac:dyDescent="0.2">
      <c r="A54" s="683" t="s">
        <v>692</v>
      </c>
      <c r="B54" s="1479" t="s">
        <v>693</v>
      </c>
      <c r="C54" s="1479"/>
      <c r="D54" s="1479"/>
      <c r="E54" s="1480"/>
    </row>
    <row r="55" spans="1:5" ht="39" customHeight="1" x14ac:dyDescent="0.2">
      <c r="A55" s="677" t="s">
        <v>370</v>
      </c>
      <c r="B55" s="678" t="s">
        <v>687</v>
      </c>
      <c r="C55" s="678" t="s">
        <v>678</v>
      </c>
      <c r="D55" s="678" t="s">
        <v>688</v>
      </c>
      <c r="E55" s="679" t="s">
        <v>685</v>
      </c>
    </row>
    <row r="56" spans="1:5" ht="42" customHeight="1" x14ac:dyDescent="0.2">
      <c r="A56" s="312"/>
      <c r="B56" s="235"/>
      <c r="C56" s="689">
        <v>0.2</v>
      </c>
      <c r="D56" s="690">
        <f>B56*C56</f>
        <v>0</v>
      </c>
      <c r="E56" s="691">
        <f>B56-D56</f>
        <v>0</v>
      </c>
    </row>
    <row r="57" spans="1:5" ht="20.100000000000001" customHeight="1" x14ac:dyDescent="0.2">
      <c r="A57" s="312"/>
      <c r="B57" s="235"/>
      <c r="C57" s="227"/>
      <c r="D57" s="669">
        <f>B57*C57</f>
        <v>0</v>
      </c>
      <c r="E57" s="670">
        <f>B57-D57</f>
        <v>0</v>
      </c>
    </row>
    <row r="58" spans="1:5" ht="20.100000000000001" customHeight="1" x14ac:dyDescent="0.2">
      <c r="A58" s="313"/>
      <c r="B58" s="684"/>
      <c r="C58" s="227"/>
      <c r="D58" s="669">
        <f t="shared" ref="D58:D65" si="9">B58*C58</f>
        <v>0</v>
      </c>
      <c r="E58" s="670">
        <f t="shared" ref="E58:E65" si="10">B58-D58</f>
        <v>0</v>
      </c>
    </row>
    <row r="59" spans="1:5" ht="20.100000000000001" customHeight="1" x14ac:dyDescent="0.2">
      <c r="A59" s="312"/>
      <c r="B59" s="668"/>
      <c r="C59" s="227"/>
      <c r="D59" s="669">
        <f t="shared" si="9"/>
        <v>0</v>
      </c>
      <c r="E59" s="670">
        <f t="shared" si="10"/>
        <v>0</v>
      </c>
    </row>
    <row r="60" spans="1:5" ht="20.100000000000001" customHeight="1" x14ac:dyDescent="0.2">
      <c r="A60" s="312"/>
      <c r="B60" s="668"/>
      <c r="C60" s="227"/>
      <c r="D60" s="669">
        <f t="shared" si="9"/>
        <v>0</v>
      </c>
      <c r="E60" s="670">
        <f t="shared" si="10"/>
        <v>0</v>
      </c>
    </row>
    <row r="61" spans="1:5" ht="20.100000000000001" customHeight="1" x14ac:dyDescent="0.2">
      <c r="A61" s="312"/>
      <c r="B61" s="668"/>
      <c r="C61" s="227"/>
      <c r="D61" s="669">
        <f t="shared" si="9"/>
        <v>0</v>
      </c>
      <c r="E61" s="670">
        <f t="shared" si="10"/>
        <v>0</v>
      </c>
    </row>
    <row r="62" spans="1:5" ht="20.100000000000001" customHeight="1" x14ac:dyDescent="0.2">
      <c r="A62" s="312"/>
      <c r="B62" s="668"/>
      <c r="C62" s="227"/>
      <c r="D62" s="669">
        <f t="shared" si="9"/>
        <v>0</v>
      </c>
      <c r="E62" s="670">
        <f t="shared" si="10"/>
        <v>0</v>
      </c>
    </row>
    <row r="63" spans="1:5" ht="20.100000000000001" customHeight="1" x14ac:dyDescent="0.2">
      <c r="A63" s="312"/>
      <c r="B63" s="668"/>
      <c r="C63" s="227"/>
      <c r="D63" s="669">
        <f t="shared" si="9"/>
        <v>0</v>
      </c>
      <c r="E63" s="670">
        <f t="shared" si="10"/>
        <v>0</v>
      </c>
    </row>
    <row r="64" spans="1:5" ht="20.100000000000001" customHeight="1" x14ac:dyDescent="0.2">
      <c r="A64" s="312"/>
      <c r="B64" s="668"/>
      <c r="C64" s="227"/>
      <c r="D64" s="669">
        <f t="shared" si="9"/>
        <v>0</v>
      </c>
      <c r="E64" s="670">
        <f t="shared" si="10"/>
        <v>0</v>
      </c>
    </row>
    <row r="65" spans="1:5" ht="20.100000000000001" customHeight="1" thickBot="1" x14ac:dyDescent="0.25">
      <c r="A65" s="671"/>
      <c r="B65" s="672"/>
      <c r="C65" s="673"/>
      <c r="D65" s="674">
        <f t="shared" si="9"/>
        <v>0</v>
      </c>
      <c r="E65" s="675">
        <f t="shared" si="10"/>
        <v>0</v>
      </c>
    </row>
  </sheetData>
  <sheetProtection formatCells="0" formatColumns="0" formatRows="0" insertColumns="0" insertRows="0" insertHyperlinks="0" deleteColumns="0" deleteRows="0" sort="0" autoFilter="0" pivotTables="0"/>
  <mergeCells count="21">
    <mergeCell ref="A40:E40"/>
    <mergeCell ref="B54:E54"/>
    <mergeCell ref="A53:E53"/>
    <mergeCell ref="B41:E41"/>
    <mergeCell ref="A25:E25"/>
    <mergeCell ref="B1:E1"/>
    <mergeCell ref="B2:E2"/>
    <mergeCell ref="B3:C3"/>
    <mergeCell ref="D3:E3"/>
    <mergeCell ref="A8:E8"/>
    <mergeCell ref="A5:E5"/>
    <mergeCell ref="A7:E7"/>
    <mergeCell ref="A6:E6"/>
    <mergeCell ref="C9:E9"/>
    <mergeCell ref="C10:E10"/>
    <mergeCell ref="C11:E11"/>
    <mergeCell ref="A17:E17"/>
    <mergeCell ref="A13:D13"/>
    <mergeCell ref="A9:B9"/>
    <mergeCell ref="A10:B10"/>
    <mergeCell ref="A11:B11"/>
  </mergeCells>
  <hyperlinks>
    <hyperlink ref="F1" location="ins" display="Instructivo" xr:uid="{00000000-0004-0000-0F00-000000000000}"/>
  </hyperlinks>
  <printOptions horizontalCentered="1"/>
  <pageMargins left="0" right="0" top="0" bottom="0" header="0" footer="0"/>
  <pageSetup fitToHeight="0" orientation="landscape" horizontalDpi="4294967295" verticalDpi="4294967295"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2">
    <tabColor theme="5" tint="0.39997558519241921"/>
    <pageSetUpPr fitToPage="1"/>
  </sheetPr>
  <dimension ref="A1:L30"/>
  <sheetViews>
    <sheetView showGridLines="0" zoomScale="90" zoomScaleNormal="90" workbookViewId="0">
      <selection activeCell="A17" sqref="A17:H17"/>
    </sheetView>
  </sheetViews>
  <sheetFormatPr baseColWidth="10" defaultColWidth="13.5" defaultRowHeight="20.100000000000001" customHeight="1" x14ac:dyDescent="0.2"/>
  <cols>
    <col min="1" max="3" width="30.83203125" style="570" customWidth="1"/>
    <col min="4" max="4" width="14.83203125" style="570" customWidth="1"/>
    <col min="5" max="5" width="19" style="570" customWidth="1"/>
    <col min="6" max="7" width="17" style="570" customWidth="1"/>
    <col min="8" max="8" width="17.83203125" style="570" customWidth="1"/>
    <col min="9" max="9" width="11.33203125" style="570" customWidth="1"/>
    <col min="10" max="10" width="11.1640625" style="570" customWidth="1"/>
    <col min="11" max="11" width="21.33203125" style="570" customWidth="1"/>
    <col min="12" max="16384" width="13.5" style="570"/>
  </cols>
  <sheetData>
    <row r="1" spans="1:12" ht="20.100000000000001" customHeight="1" x14ac:dyDescent="0.2">
      <c r="A1" s="1319"/>
      <c r="B1" s="1320"/>
      <c r="C1" s="947" t="s">
        <v>0</v>
      </c>
      <c r="D1" s="948"/>
      <c r="E1" s="948"/>
      <c r="F1" s="948"/>
      <c r="G1" s="948"/>
      <c r="H1" s="948"/>
      <c r="I1" s="948"/>
      <c r="J1" s="949"/>
      <c r="K1" s="339" t="s">
        <v>104</v>
      </c>
      <c r="L1" s="62"/>
    </row>
    <row r="2" spans="1:12" ht="20.100000000000001" customHeight="1" x14ac:dyDescent="0.2">
      <c r="A2" s="1321"/>
      <c r="B2" s="1322"/>
      <c r="C2" s="950" t="s">
        <v>694</v>
      </c>
      <c r="D2" s="951"/>
      <c r="E2" s="951"/>
      <c r="F2" s="951"/>
      <c r="G2" s="951"/>
      <c r="H2" s="951"/>
      <c r="I2" s="951"/>
      <c r="J2" s="952"/>
      <c r="K2" s="571" t="s">
        <v>33</v>
      </c>
    </row>
    <row r="3" spans="1:12" ht="20.100000000000001" customHeight="1" thickBot="1" x14ac:dyDescent="0.25">
      <c r="A3" s="1323"/>
      <c r="B3" s="1324"/>
      <c r="C3" s="953" t="s">
        <v>2</v>
      </c>
      <c r="D3" s="1140"/>
      <c r="E3" s="1140"/>
      <c r="F3" s="954"/>
      <c r="G3" s="953" t="str">
        <f>Instructivo!G3</f>
        <v>VERSIÓN: 04</v>
      </c>
      <c r="H3" s="1140"/>
      <c r="I3" s="1140"/>
      <c r="J3" s="955"/>
    </row>
    <row r="4" spans="1:12" ht="20.100000000000001" customHeight="1" thickBot="1" x14ac:dyDescent="0.25"/>
    <row r="5" spans="1:12" ht="20.100000000000001" customHeight="1" thickBot="1" x14ac:dyDescent="0.25">
      <c r="A5" s="1092" t="s">
        <v>662</v>
      </c>
      <c r="B5" s="1325"/>
      <c r="C5" s="1094"/>
      <c r="D5" s="1095"/>
      <c r="E5" s="1095"/>
      <c r="F5" s="1095"/>
      <c r="G5" s="1095"/>
      <c r="H5" s="1095"/>
      <c r="I5" s="1095"/>
      <c r="J5" s="1096"/>
    </row>
    <row r="6" spans="1:12" ht="27" customHeight="1" thickBot="1" x14ac:dyDescent="0.25">
      <c r="A6" s="1092" t="s">
        <v>106</v>
      </c>
      <c r="B6" s="1093"/>
      <c r="C6" s="956" t="str">
        <f>'Plan Ejecución'!AE5</f>
        <v>Licitación Pública</v>
      </c>
      <c r="D6" s="957"/>
      <c r="E6" s="957"/>
      <c r="F6" s="957"/>
      <c r="G6" s="957"/>
      <c r="H6" s="957"/>
      <c r="I6" s="957"/>
      <c r="J6" s="958"/>
    </row>
    <row r="7" spans="1:12" ht="45.75" customHeight="1" thickBot="1" x14ac:dyDescent="0.25">
      <c r="A7" s="1092" t="s">
        <v>108</v>
      </c>
      <c r="B7" s="1093"/>
      <c r="C7" s="956" t="str">
        <f>'Plan Ejecución'!AE6</f>
        <v>“Adquirir el Programa de Seguros para la protección de los bienes e intereses, según los ramos y coberturas que requiera CORANTIOQUIA”.</v>
      </c>
      <c r="D7" s="957"/>
      <c r="E7" s="957"/>
      <c r="F7" s="957"/>
      <c r="G7" s="957"/>
      <c r="H7" s="957"/>
      <c r="I7" s="957"/>
      <c r="J7" s="958"/>
    </row>
    <row r="8" spans="1:12" ht="20.100000000000001" customHeight="1" thickBot="1" x14ac:dyDescent="0.25"/>
    <row r="9" spans="1:12" ht="24" customHeight="1" thickBot="1" x14ac:dyDescent="0.25">
      <c r="A9" s="1488" t="s">
        <v>695</v>
      </c>
      <c r="B9" s="1489"/>
      <c r="C9" s="1489"/>
      <c r="D9" s="1489"/>
      <c r="E9" s="1489"/>
      <c r="F9" s="1489"/>
      <c r="G9" s="1489"/>
      <c r="H9" s="1490"/>
      <c r="I9" s="1491" t="s">
        <v>696</v>
      </c>
      <c r="J9" s="1492"/>
    </row>
    <row r="10" spans="1:12" ht="37.5" customHeight="1" x14ac:dyDescent="0.2">
      <c r="A10" s="572" t="s">
        <v>697</v>
      </c>
      <c r="B10" s="573" t="s">
        <v>698</v>
      </c>
      <c r="C10" s="1510" t="s">
        <v>699</v>
      </c>
      <c r="D10" s="573" t="s">
        <v>700</v>
      </c>
      <c r="E10" s="574" t="s">
        <v>701</v>
      </c>
      <c r="F10" s="574" t="s">
        <v>702</v>
      </c>
      <c r="G10" s="574" t="s">
        <v>703</v>
      </c>
      <c r="H10" s="574" t="s">
        <v>704</v>
      </c>
      <c r="I10" s="1493" t="s">
        <v>705</v>
      </c>
      <c r="J10" s="1495" t="s">
        <v>706</v>
      </c>
    </row>
    <row r="11" spans="1:12" ht="58.5" customHeight="1" thickBot="1" x14ac:dyDescent="0.25">
      <c r="A11" s="575" t="s">
        <v>707</v>
      </c>
      <c r="B11" s="576" t="s">
        <v>708</v>
      </c>
      <c r="C11" s="1511"/>
      <c r="D11" s="576" t="s">
        <v>709</v>
      </c>
      <c r="E11" s="576" t="s">
        <v>710</v>
      </c>
      <c r="F11" s="576" t="s">
        <v>711</v>
      </c>
      <c r="G11" s="576" t="s">
        <v>712</v>
      </c>
      <c r="H11" s="576" t="s">
        <v>712</v>
      </c>
      <c r="I11" s="1494"/>
      <c r="J11" s="1496"/>
    </row>
    <row r="12" spans="1:12" ht="44.1" customHeight="1" x14ac:dyDescent="0.2">
      <c r="A12" s="692"/>
      <c r="B12" s="693"/>
      <c r="C12" s="694"/>
      <c r="D12" s="695"/>
      <c r="E12" s="696"/>
      <c r="F12" s="697"/>
      <c r="G12" s="696"/>
      <c r="H12" s="696"/>
      <c r="I12" s="698"/>
      <c r="J12" s="699"/>
    </row>
    <row r="13" spans="1:12" ht="44.1" customHeight="1" x14ac:dyDescent="0.2">
      <c r="A13" s="577"/>
      <c r="B13" s="578"/>
      <c r="C13" s="579"/>
      <c r="D13" s="580"/>
      <c r="E13" s="581"/>
      <c r="F13" s="582"/>
      <c r="G13" s="581"/>
      <c r="H13" s="581"/>
      <c r="I13" s="583"/>
      <c r="J13" s="584"/>
    </row>
    <row r="14" spans="1:12" ht="44.1" customHeight="1" x14ac:dyDescent="0.2">
      <c r="A14" s="577"/>
      <c r="B14" s="578"/>
      <c r="C14" s="579"/>
      <c r="D14" s="580"/>
      <c r="E14" s="581"/>
      <c r="F14" s="582"/>
      <c r="G14" s="581"/>
      <c r="H14" s="581"/>
      <c r="I14" s="583"/>
      <c r="J14" s="584"/>
    </row>
    <row r="15" spans="1:12" ht="44.1" customHeight="1" thickBot="1" x14ac:dyDescent="0.25">
      <c r="A15" s="585"/>
      <c r="B15" s="586"/>
      <c r="C15" s="586"/>
      <c r="D15" s="587"/>
      <c r="E15" s="588"/>
      <c r="F15" s="589"/>
      <c r="G15" s="588"/>
      <c r="H15" s="588"/>
      <c r="I15" s="590"/>
      <c r="J15" s="591"/>
    </row>
    <row r="16" spans="1:12" ht="18" customHeight="1" thickBot="1" x14ac:dyDescent="0.25">
      <c r="A16" s="592"/>
      <c r="B16" s="593"/>
      <c r="C16" s="593"/>
      <c r="D16" s="594"/>
      <c r="E16" s="595"/>
      <c r="F16" s="596"/>
      <c r="G16" s="595"/>
      <c r="H16" s="595"/>
      <c r="I16" s="597"/>
      <c r="J16" s="597"/>
    </row>
    <row r="17" spans="1:10" ht="24" customHeight="1" thickBot="1" x14ac:dyDescent="0.25">
      <c r="A17" s="1488" t="s">
        <v>713</v>
      </c>
      <c r="B17" s="1489"/>
      <c r="C17" s="1489"/>
      <c r="D17" s="1489"/>
      <c r="E17" s="1489"/>
      <c r="F17" s="1489"/>
      <c r="G17" s="1489"/>
      <c r="H17" s="1490"/>
      <c r="I17" s="1491" t="s">
        <v>696</v>
      </c>
      <c r="J17" s="1492"/>
    </row>
    <row r="18" spans="1:10" ht="44.1" customHeight="1" x14ac:dyDescent="0.2">
      <c r="A18" s="572" t="s">
        <v>697</v>
      </c>
      <c r="B18" s="573" t="s">
        <v>698</v>
      </c>
      <c r="C18" s="1510" t="s">
        <v>699</v>
      </c>
      <c r="D18" s="573" t="s">
        <v>700</v>
      </c>
      <c r="E18" s="574" t="s">
        <v>701</v>
      </c>
      <c r="F18" s="574" t="s">
        <v>702</v>
      </c>
      <c r="G18" s="574" t="s">
        <v>703</v>
      </c>
      <c r="H18" s="574" t="s">
        <v>704</v>
      </c>
      <c r="I18" s="1493" t="s">
        <v>705</v>
      </c>
      <c r="J18" s="1495" t="s">
        <v>706</v>
      </c>
    </row>
    <row r="19" spans="1:10" ht="74.25" customHeight="1" thickBot="1" x14ac:dyDescent="0.25">
      <c r="A19" s="575" t="s">
        <v>707</v>
      </c>
      <c r="B19" s="576" t="s">
        <v>708</v>
      </c>
      <c r="C19" s="1511"/>
      <c r="D19" s="576" t="s">
        <v>709</v>
      </c>
      <c r="E19" s="576" t="s">
        <v>714</v>
      </c>
      <c r="F19" s="576" t="s">
        <v>715</v>
      </c>
      <c r="G19" s="576" t="s">
        <v>716</v>
      </c>
      <c r="H19" s="576" t="s">
        <v>716</v>
      </c>
      <c r="I19" s="1494"/>
      <c r="J19" s="1496"/>
    </row>
    <row r="20" spans="1:10" ht="44.1" customHeight="1" x14ac:dyDescent="0.2">
      <c r="A20" s="692"/>
      <c r="B20" s="693"/>
      <c r="C20" s="694"/>
      <c r="D20" s="695"/>
      <c r="E20" s="696"/>
      <c r="F20" s="697"/>
      <c r="G20" s="700"/>
      <c r="H20" s="700"/>
      <c r="I20" s="698"/>
      <c r="J20" s="699"/>
    </row>
    <row r="21" spans="1:10" ht="44.1" customHeight="1" x14ac:dyDescent="0.2">
      <c r="A21" s="577"/>
      <c r="B21" s="578"/>
      <c r="C21" s="579"/>
      <c r="D21" s="580"/>
      <c r="E21" s="581"/>
      <c r="F21" s="582"/>
      <c r="G21" s="581"/>
      <c r="H21" s="581"/>
      <c r="I21" s="583"/>
      <c r="J21" s="584"/>
    </row>
    <row r="22" spans="1:10" ht="44.1" customHeight="1" x14ac:dyDescent="0.2">
      <c r="A22" s="577"/>
      <c r="B22" s="578"/>
      <c r="C22" s="579"/>
      <c r="D22" s="580"/>
      <c r="E22" s="581"/>
      <c r="F22" s="582"/>
      <c r="G22" s="581"/>
      <c r="H22" s="581"/>
      <c r="I22" s="583"/>
      <c r="J22" s="584"/>
    </row>
    <row r="23" spans="1:10" ht="44.1" customHeight="1" thickBot="1" x14ac:dyDescent="0.25">
      <c r="A23" s="585"/>
      <c r="B23" s="586"/>
      <c r="C23" s="586"/>
      <c r="D23" s="587"/>
      <c r="E23" s="588"/>
      <c r="F23" s="589"/>
      <c r="G23" s="588"/>
      <c r="H23" s="588"/>
      <c r="I23" s="590"/>
      <c r="J23" s="591"/>
    </row>
    <row r="24" spans="1:10" ht="21.95" customHeight="1" thickBot="1" x14ac:dyDescent="0.25">
      <c r="A24" s="1503"/>
      <c r="B24" s="1503"/>
      <c r="C24" s="1503"/>
      <c r="D24" s="1503"/>
      <c r="E24" s="1503"/>
      <c r="F24" s="1503"/>
      <c r="G24" s="1503"/>
      <c r="H24" s="1503"/>
      <c r="I24" s="1503"/>
      <c r="J24" s="1503"/>
    </row>
    <row r="25" spans="1:10" ht="20.100000000000001" customHeight="1" x14ac:dyDescent="0.2">
      <c r="A25" s="1497" t="s">
        <v>717</v>
      </c>
      <c r="B25" s="1498"/>
      <c r="C25" s="1498"/>
      <c r="D25" s="1498"/>
      <c r="E25" s="1498"/>
      <c r="F25" s="1498"/>
      <c r="G25" s="1498"/>
      <c r="H25" s="1498"/>
      <c r="I25" s="1498"/>
      <c r="J25" s="1499"/>
    </row>
    <row r="26" spans="1:10" ht="20.100000000000001" customHeight="1" x14ac:dyDescent="0.2">
      <c r="A26" s="1500" t="s">
        <v>718</v>
      </c>
      <c r="B26" s="1501"/>
      <c r="C26" s="1501"/>
      <c r="D26" s="1501"/>
      <c r="E26" s="1501"/>
      <c r="F26" s="1501"/>
      <c r="G26" s="1501"/>
      <c r="H26" s="1501"/>
      <c r="I26" s="1501"/>
      <c r="J26" s="1502"/>
    </row>
    <row r="27" spans="1:10" ht="20.100000000000001" customHeight="1" x14ac:dyDescent="0.2">
      <c r="A27" s="1504" t="s">
        <v>719</v>
      </c>
      <c r="B27" s="1505"/>
      <c r="C27" s="1505"/>
      <c r="D27" s="1505"/>
      <c r="E27" s="1505"/>
      <c r="F27" s="1505"/>
      <c r="G27" s="1505"/>
      <c r="H27" s="1505"/>
      <c r="I27" s="1505"/>
      <c r="J27" s="1506"/>
    </row>
    <row r="28" spans="1:10" ht="73.5" customHeight="1" x14ac:dyDescent="0.2">
      <c r="A28" s="1507" t="s">
        <v>720</v>
      </c>
      <c r="B28" s="1508"/>
      <c r="C28" s="1508"/>
      <c r="D28" s="1508"/>
      <c r="E28" s="1508"/>
      <c r="F28" s="1508"/>
      <c r="G28" s="1508"/>
      <c r="H28" s="1508"/>
      <c r="I28" s="1508"/>
      <c r="J28" s="1509"/>
    </row>
    <row r="29" spans="1:10" ht="20.100000000000001" customHeight="1" x14ac:dyDescent="0.2">
      <c r="A29" s="1507" t="s">
        <v>721</v>
      </c>
      <c r="B29" s="1508"/>
      <c r="C29" s="1508"/>
      <c r="D29" s="1508"/>
      <c r="E29" s="1508"/>
      <c r="F29" s="1508"/>
      <c r="G29" s="1508"/>
      <c r="H29" s="1508"/>
      <c r="I29" s="1508"/>
      <c r="J29" s="1509"/>
    </row>
    <row r="30" spans="1:10" ht="20.100000000000001" customHeight="1" thickBot="1" x14ac:dyDescent="0.25">
      <c r="A30" s="1485" t="s">
        <v>722</v>
      </c>
      <c r="B30" s="1486"/>
      <c r="C30" s="1486"/>
      <c r="D30" s="1486"/>
      <c r="E30" s="1486"/>
      <c r="F30" s="1486"/>
      <c r="G30" s="1486"/>
      <c r="H30" s="1486"/>
      <c r="I30" s="1486"/>
      <c r="J30" s="1487"/>
    </row>
  </sheetData>
  <sheetProtection formatCells="0" formatColumns="0" formatRows="0" insertColumns="0" insertRows="0" insertHyperlinks="0" deleteColumns="0" deleteRows="0" sort="0" autoFilter="0" pivotTables="0"/>
  <mergeCells count="28">
    <mergeCell ref="A1:B3"/>
    <mergeCell ref="A5:B5"/>
    <mergeCell ref="A6:B6"/>
    <mergeCell ref="C10:C11"/>
    <mergeCell ref="C5:J5"/>
    <mergeCell ref="C6:J6"/>
    <mergeCell ref="C7:J7"/>
    <mergeCell ref="C1:J1"/>
    <mergeCell ref="C2:J2"/>
    <mergeCell ref="C3:F3"/>
    <mergeCell ref="G3:J3"/>
    <mergeCell ref="A7:B7"/>
    <mergeCell ref="A30:J30"/>
    <mergeCell ref="A9:H9"/>
    <mergeCell ref="I9:J9"/>
    <mergeCell ref="I10:I11"/>
    <mergeCell ref="J10:J11"/>
    <mergeCell ref="A25:J25"/>
    <mergeCell ref="A26:J26"/>
    <mergeCell ref="A24:J24"/>
    <mergeCell ref="A27:J27"/>
    <mergeCell ref="A28:J28"/>
    <mergeCell ref="A29:J29"/>
    <mergeCell ref="A17:H17"/>
    <mergeCell ref="I17:J17"/>
    <mergeCell ref="C18:C19"/>
    <mergeCell ref="I18:I19"/>
    <mergeCell ref="J18:J19"/>
  </mergeCells>
  <hyperlinks>
    <hyperlink ref="K1" location="ins" display="Instructivo" xr:uid="{00000000-0004-0000-1000-000000000000}"/>
    <hyperlink ref="K2" location="RFO" display="Requisitos habilitantes capacidad financiera y organizacional" xr:uid="{00000000-0004-0000-1000-000001000000}"/>
  </hyperlinks>
  <printOptions horizontalCentered="1"/>
  <pageMargins left="0" right="0" top="0" bottom="0" header="0" footer="0"/>
  <pageSetup scale="75" fitToHeight="0" orientation="landscape"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29">
    <tabColor theme="5" tint="0.39997558519241921"/>
    <pageSetUpPr fitToPage="1"/>
  </sheetPr>
  <dimension ref="A1:P80"/>
  <sheetViews>
    <sheetView showGridLines="0" zoomScaleNormal="100" workbookViewId="0">
      <selection activeCell="A17" sqref="A17:E17"/>
    </sheetView>
  </sheetViews>
  <sheetFormatPr baseColWidth="10" defaultColWidth="11.5" defaultRowHeight="20.100000000000001" customHeight="1" x14ac:dyDescent="0.2"/>
  <cols>
    <col min="1" max="1" width="18.83203125" style="187" customWidth="1"/>
    <col min="2" max="2" width="19.5" style="187" customWidth="1"/>
    <col min="3" max="4" width="18.83203125" style="187" customWidth="1"/>
    <col min="5" max="5" width="15.6640625" style="203" customWidth="1"/>
    <col min="6" max="14" width="18.83203125" style="71" customWidth="1"/>
    <col min="15" max="15" width="16.83203125" style="71" customWidth="1"/>
    <col min="16" max="16384" width="11.5" style="71"/>
  </cols>
  <sheetData>
    <row r="1" spans="1:16" ht="20.100000000000001" customHeight="1" x14ac:dyDescent="0.2">
      <c r="A1" s="1319"/>
      <c r="B1" s="1320"/>
      <c r="C1" s="1320"/>
      <c r="D1" s="1320"/>
      <c r="E1" s="1135" t="s">
        <v>0</v>
      </c>
      <c r="F1" s="1135"/>
      <c r="G1" s="1135"/>
      <c r="H1" s="1135"/>
      <c r="I1" s="1135"/>
      <c r="J1" s="1135"/>
      <c r="K1" s="1135"/>
      <c r="L1" s="1135"/>
      <c r="M1" s="1135"/>
      <c r="N1" s="1136"/>
      <c r="O1" s="339" t="s">
        <v>104</v>
      </c>
      <c r="P1" s="62"/>
    </row>
    <row r="2" spans="1:16" ht="20.100000000000001" customHeight="1" x14ac:dyDescent="0.2">
      <c r="A2" s="1321"/>
      <c r="B2" s="1322"/>
      <c r="C2" s="1322"/>
      <c r="D2" s="1322"/>
      <c r="E2" s="1137" t="s">
        <v>723</v>
      </c>
      <c r="F2" s="1137"/>
      <c r="G2" s="1137"/>
      <c r="H2" s="1137"/>
      <c r="I2" s="1137"/>
      <c r="J2" s="1137"/>
      <c r="K2" s="1137"/>
      <c r="L2" s="1137"/>
      <c r="M2" s="1137"/>
      <c r="N2" s="1138"/>
    </row>
    <row r="3" spans="1:16" ht="20.100000000000001" customHeight="1" thickBot="1" x14ac:dyDescent="0.25">
      <c r="A3" s="1323"/>
      <c r="B3" s="1324"/>
      <c r="C3" s="1324"/>
      <c r="D3" s="1324"/>
      <c r="E3" s="1139" t="s">
        <v>2</v>
      </c>
      <c r="F3" s="1139"/>
      <c r="G3" s="1139"/>
      <c r="H3" s="1139"/>
      <c r="I3" s="1139"/>
      <c r="J3" s="1139" t="str">
        <f>Instructivo!G3</f>
        <v>VERSIÓN: 04</v>
      </c>
      <c r="K3" s="1139"/>
      <c r="L3" s="1139"/>
      <c r="M3" s="1139"/>
      <c r="N3" s="1182"/>
    </row>
    <row r="4" spans="1:16" ht="20.100000000000001" customHeight="1" thickBot="1" x14ac:dyDescent="0.25">
      <c r="A4" s="71"/>
      <c r="B4" s="67"/>
      <c r="C4" s="67"/>
      <c r="D4" s="67"/>
      <c r="E4" s="67"/>
    </row>
    <row r="5" spans="1:16" ht="30.75" customHeight="1" thickBot="1" x14ac:dyDescent="0.25">
      <c r="A5" s="1475" t="s">
        <v>724</v>
      </c>
      <c r="B5" s="1530"/>
      <c r="C5" s="1530"/>
      <c r="D5" s="1530"/>
      <c r="E5" s="1530"/>
      <c r="F5" s="1530"/>
      <c r="G5" s="1530"/>
      <c r="H5" s="1530"/>
      <c r="I5" s="1530"/>
      <c r="J5" s="1530"/>
      <c r="K5" s="1530"/>
      <c r="L5" s="1530"/>
      <c r="M5" s="1530"/>
      <c r="N5" s="1531"/>
    </row>
    <row r="6" spans="1:16" ht="18" customHeight="1" thickBot="1" x14ac:dyDescent="0.25">
      <c r="A6" s="1478"/>
      <c r="B6" s="1478"/>
      <c r="C6" s="1478"/>
      <c r="D6" s="1478"/>
      <c r="E6" s="1478"/>
    </row>
    <row r="7" spans="1:16" s="67" customFormat="1" ht="20.100000000000001" customHeight="1" thickBot="1" x14ac:dyDescent="0.25">
      <c r="A7" s="1092" t="s">
        <v>662</v>
      </c>
      <c r="B7" s="1093"/>
      <c r="C7" s="1325"/>
      <c r="D7" s="1094"/>
      <c r="E7" s="1095"/>
      <c r="F7" s="1095"/>
      <c r="G7" s="1095"/>
      <c r="H7" s="1095"/>
      <c r="I7" s="1095"/>
      <c r="J7" s="1095"/>
      <c r="K7" s="1095"/>
      <c r="L7" s="1095"/>
      <c r="M7" s="1095"/>
      <c r="N7" s="1096"/>
    </row>
    <row r="8" spans="1:16" s="67" customFormat="1" ht="20.100000000000001" customHeight="1" thickBot="1" x14ac:dyDescent="0.25">
      <c r="A8" s="1092" t="s">
        <v>106</v>
      </c>
      <c r="B8" s="1093"/>
      <c r="C8" s="1325"/>
      <c r="D8" s="956" t="str">
        <f>'Plan Ejecución'!AE5</f>
        <v>Licitación Pública</v>
      </c>
      <c r="E8" s="957"/>
      <c r="F8" s="957"/>
      <c r="G8" s="957"/>
      <c r="H8" s="957"/>
      <c r="I8" s="957"/>
      <c r="J8" s="957"/>
      <c r="K8" s="957"/>
      <c r="L8" s="957"/>
      <c r="M8" s="957"/>
      <c r="N8" s="958"/>
    </row>
    <row r="9" spans="1:16" ht="39" customHeight="1" thickBot="1" x14ac:dyDescent="0.25">
      <c r="A9" s="1092" t="s">
        <v>108</v>
      </c>
      <c r="B9" s="1093"/>
      <c r="C9" s="1325"/>
      <c r="D9" s="956" t="str">
        <f>'Plan Ejecución'!AE6</f>
        <v>“Adquirir el Programa de Seguros para la protección de los bienes e intereses, según los ramos y coberturas que requiera CORANTIOQUIA”.</v>
      </c>
      <c r="E9" s="957"/>
      <c r="F9" s="957"/>
      <c r="G9" s="957"/>
      <c r="H9" s="957"/>
      <c r="I9" s="957"/>
      <c r="J9" s="957"/>
      <c r="K9" s="957"/>
      <c r="L9" s="957"/>
      <c r="M9" s="957"/>
      <c r="N9" s="958"/>
    </row>
    <row r="10" spans="1:16" ht="20.100000000000001" customHeight="1" thickBot="1" x14ac:dyDescent="0.25">
      <c r="A10" s="221"/>
      <c r="B10" s="190"/>
      <c r="C10" s="190"/>
      <c r="D10" s="190"/>
      <c r="E10" s="190"/>
    </row>
    <row r="11" spans="1:16" ht="28.5" customHeight="1" thickBot="1" x14ac:dyDescent="0.25">
      <c r="A11" s="1514" t="s">
        <v>725</v>
      </c>
      <c r="B11" s="1515"/>
      <c r="C11" s="1516"/>
      <c r="D11" s="222"/>
      <c r="E11" s="190"/>
    </row>
    <row r="12" spans="1:16" ht="34.5" customHeight="1" thickBot="1" x14ac:dyDescent="0.25">
      <c r="A12" s="327" t="s">
        <v>726</v>
      </c>
      <c r="B12" s="328" t="s">
        <v>727</v>
      </c>
      <c r="C12" s="336" t="s">
        <v>728</v>
      </c>
      <c r="D12" s="223"/>
      <c r="E12" s="71"/>
    </row>
    <row r="13" spans="1:16" ht="20.100000000000001" customHeight="1" x14ac:dyDescent="0.2">
      <c r="A13" s="701"/>
      <c r="B13" s="702"/>
      <c r="C13" s="703"/>
      <c r="D13" s="224"/>
      <c r="E13" s="223"/>
    </row>
    <row r="14" spans="1:16" ht="20.100000000000001" customHeight="1" x14ac:dyDescent="0.2">
      <c r="A14" s="226"/>
      <c r="B14" s="704"/>
      <c r="C14" s="228"/>
      <c r="D14" s="224"/>
      <c r="E14" s="225"/>
    </row>
    <row r="15" spans="1:16" ht="20.100000000000001" customHeight="1" x14ac:dyDescent="0.2">
      <c r="A15" s="226"/>
      <c r="B15" s="704"/>
      <c r="C15" s="228"/>
      <c r="D15" s="224"/>
      <c r="E15" s="225"/>
    </row>
    <row r="16" spans="1:16" ht="20.100000000000001" customHeight="1" x14ac:dyDescent="0.2">
      <c r="A16" s="226"/>
      <c r="B16" s="704"/>
      <c r="C16" s="228"/>
      <c r="D16" s="224"/>
      <c r="E16" s="225"/>
    </row>
    <row r="17" spans="1:7" ht="20.100000000000001" customHeight="1" x14ac:dyDescent="0.2">
      <c r="A17" s="226"/>
      <c r="B17" s="704"/>
      <c r="C17" s="228"/>
      <c r="D17" s="224"/>
      <c r="E17" s="225"/>
    </row>
    <row r="18" spans="1:7" ht="20.100000000000001" customHeight="1" x14ac:dyDescent="0.2">
      <c r="A18" s="226"/>
      <c r="B18" s="704"/>
      <c r="C18" s="228"/>
      <c r="D18" s="224"/>
      <c r="E18" s="225"/>
    </row>
    <row r="19" spans="1:7" ht="20.100000000000001" customHeight="1" x14ac:dyDescent="0.2">
      <c r="A19" s="226"/>
      <c r="B19" s="704"/>
      <c r="C19" s="228"/>
      <c r="D19" s="224"/>
      <c r="E19" s="190"/>
    </row>
    <row r="20" spans="1:7" ht="20.100000000000001" customHeight="1" x14ac:dyDescent="0.2">
      <c r="A20" s="226"/>
      <c r="B20" s="227"/>
      <c r="C20" s="228"/>
      <c r="D20" s="224"/>
      <c r="E20" s="71"/>
    </row>
    <row r="21" spans="1:7" ht="20.100000000000001" customHeight="1" thickBot="1" x14ac:dyDescent="0.25">
      <c r="A21" s="229"/>
      <c r="B21" s="230"/>
      <c r="C21" s="231"/>
      <c r="D21" s="224"/>
      <c r="E21" s="71"/>
    </row>
    <row r="22" spans="1:7" ht="20.100000000000001" customHeight="1" x14ac:dyDescent="0.2">
      <c r="A22" s="1517" t="s">
        <v>729</v>
      </c>
      <c r="B22" s="1518"/>
      <c r="C22" s="236" t="str">
        <f>IFERROR(MEDIAN(C13:C21),"")</f>
        <v/>
      </c>
      <c r="D22" s="224"/>
      <c r="E22" s="71"/>
    </row>
    <row r="23" spans="1:7" ht="20.100000000000001" customHeight="1" x14ac:dyDescent="0.2">
      <c r="A23" s="1519" t="s">
        <v>730</v>
      </c>
      <c r="B23" s="1520"/>
      <c r="C23" s="237" t="str">
        <f>IFERROR(_xlfn.STDEV.P(C13:C21),"")</f>
        <v/>
      </c>
      <c r="D23" s="224"/>
      <c r="E23" s="71"/>
    </row>
    <row r="24" spans="1:7" ht="20.100000000000001" customHeight="1" thickBot="1" x14ac:dyDescent="0.25">
      <c r="A24" s="1528" t="s">
        <v>731</v>
      </c>
      <c r="B24" s="1529"/>
      <c r="C24" s="238" t="str">
        <f>IFERROR(C22-C23,"")</f>
        <v/>
      </c>
      <c r="D24" s="224"/>
      <c r="E24" s="71"/>
    </row>
    <row r="25" spans="1:7" ht="20.100000000000001" customHeight="1" thickBot="1" x14ac:dyDescent="0.25">
      <c r="A25" s="232"/>
      <c r="B25" s="233"/>
      <c r="C25" s="234"/>
      <c r="D25" s="224"/>
      <c r="E25" s="71"/>
    </row>
    <row r="26" spans="1:7" ht="20.100000000000001" customHeight="1" thickBot="1" x14ac:dyDescent="0.25">
      <c r="A26" s="1521" t="s">
        <v>732</v>
      </c>
      <c r="B26" s="1522"/>
      <c r="C26" s="1522"/>
      <c r="D26" s="1522"/>
      <c r="E26" s="1522"/>
      <c r="F26" s="1523"/>
      <c r="G26" s="223"/>
    </row>
    <row r="27" spans="1:7" ht="20.100000000000001" customHeight="1" x14ac:dyDescent="0.2">
      <c r="A27" s="1471" t="s">
        <v>733</v>
      </c>
      <c r="B27" s="1472"/>
      <c r="C27" s="1473"/>
      <c r="D27" s="1471" t="s">
        <v>734</v>
      </c>
      <c r="E27" s="1472"/>
      <c r="F27" s="1473"/>
      <c r="G27" s="223"/>
    </row>
    <row r="28" spans="1:7" ht="30.75" customHeight="1" thickBot="1" x14ac:dyDescent="0.25">
      <c r="A28" s="333" t="s">
        <v>726</v>
      </c>
      <c r="B28" s="334" t="s">
        <v>727</v>
      </c>
      <c r="C28" s="335" t="s">
        <v>735</v>
      </c>
      <c r="D28" s="333" t="s">
        <v>726</v>
      </c>
      <c r="E28" s="334" t="s">
        <v>727</v>
      </c>
      <c r="F28" s="335" t="s">
        <v>735</v>
      </c>
      <c r="G28" s="223"/>
    </row>
    <row r="29" spans="1:7" ht="20.100000000000001" customHeight="1" x14ac:dyDescent="0.2">
      <c r="A29" s="701"/>
      <c r="B29" s="702"/>
      <c r="C29" s="703"/>
      <c r="D29" s="701"/>
      <c r="E29" s="702"/>
      <c r="F29" s="703"/>
      <c r="G29" s="232"/>
    </row>
    <row r="30" spans="1:7" ht="20.100000000000001" customHeight="1" x14ac:dyDescent="0.2">
      <c r="A30" s="226"/>
      <c r="B30" s="704"/>
      <c r="C30" s="228"/>
      <c r="D30" s="226"/>
      <c r="E30" s="704"/>
      <c r="F30" s="228"/>
      <c r="G30" s="232"/>
    </row>
    <row r="31" spans="1:7" ht="20.100000000000001" customHeight="1" x14ac:dyDescent="0.2">
      <c r="A31" s="226"/>
      <c r="B31" s="704"/>
      <c r="C31" s="228"/>
      <c r="D31" s="226"/>
      <c r="E31" s="704"/>
      <c r="F31" s="228"/>
      <c r="G31" s="232"/>
    </row>
    <row r="32" spans="1:7" ht="20.100000000000001" customHeight="1" x14ac:dyDescent="0.2">
      <c r="A32" s="226"/>
      <c r="B32" s="704"/>
      <c r="C32" s="228"/>
      <c r="D32" s="226"/>
      <c r="E32" s="704"/>
      <c r="F32" s="228"/>
      <c r="G32" s="232"/>
    </row>
    <row r="33" spans="1:14" ht="20.100000000000001" customHeight="1" x14ac:dyDescent="0.2">
      <c r="A33" s="226"/>
      <c r="B33" s="704"/>
      <c r="C33" s="228"/>
      <c r="D33" s="226"/>
      <c r="E33" s="704"/>
      <c r="F33" s="228"/>
      <c r="G33" s="232"/>
    </row>
    <row r="34" spans="1:14" ht="20.100000000000001" customHeight="1" x14ac:dyDescent="0.2">
      <c r="A34" s="226"/>
      <c r="B34" s="704"/>
      <c r="C34" s="228"/>
      <c r="D34" s="226"/>
      <c r="E34" s="704"/>
      <c r="F34" s="228"/>
      <c r="G34" s="232"/>
    </row>
    <row r="35" spans="1:14" ht="20.100000000000001" customHeight="1" x14ac:dyDescent="0.2">
      <c r="A35" s="226"/>
      <c r="B35" s="704"/>
      <c r="C35" s="228"/>
      <c r="D35" s="226"/>
      <c r="E35" s="704"/>
      <c r="F35" s="228"/>
      <c r="G35" s="232"/>
    </row>
    <row r="36" spans="1:14" ht="20.100000000000001" customHeight="1" x14ac:dyDescent="0.2">
      <c r="A36" s="226"/>
      <c r="B36" s="227"/>
      <c r="C36" s="228"/>
      <c r="D36" s="226"/>
      <c r="E36" s="227"/>
      <c r="F36" s="228"/>
      <c r="G36" s="232"/>
    </row>
    <row r="37" spans="1:14" ht="20.100000000000001" customHeight="1" thickBot="1" x14ac:dyDescent="0.25">
      <c r="A37" s="229"/>
      <c r="B37" s="230"/>
      <c r="C37" s="231"/>
      <c r="D37" s="229"/>
      <c r="E37" s="230"/>
      <c r="F37" s="231"/>
      <c r="G37" s="232"/>
    </row>
    <row r="38" spans="1:14" ht="20.100000000000001" customHeight="1" x14ac:dyDescent="0.2">
      <c r="A38" s="1524" t="s">
        <v>729</v>
      </c>
      <c r="B38" s="1525"/>
      <c r="C38" s="236" t="str">
        <f>IFERROR(MEDIAN(C29:C37),"")</f>
        <v/>
      </c>
      <c r="D38" s="1524" t="s">
        <v>729</v>
      </c>
      <c r="E38" s="1525"/>
      <c r="F38" s="236" t="str">
        <f>IFERROR(MEDIAN(F29:F37),"")</f>
        <v/>
      </c>
      <c r="G38" s="232"/>
    </row>
    <row r="39" spans="1:14" ht="20.100000000000001" customHeight="1" x14ac:dyDescent="0.2">
      <c r="A39" s="1526" t="s">
        <v>730</v>
      </c>
      <c r="B39" s="1527"/>
      <c r="C39" s="237" t="str">
        <f>IFERROR(_xlfn.STDEV.P(C29:C37),"")</f>
        <v/>
      </c>
      <c r="D39" s="1526" t="s">
        <v>730</v>
      </c>
      <c r="E39" s="1527"/>
      <c r="F39" s="237" t="str">
        <f>IFERROR(_xlfn.STDEV.P(F29:F37),"")</f>
        <v/>
      </c>
      <c r="G39" s="232"/>
    </row>
    <row r="40" spans="1:14" ht="20.100000000000001" customHeight="1" thickBot="1" x14ac:dyDescent="0.25">
      <c r="A40" s="1512" t="s">
        <v>731</v>
      </c>
      <c r="B40" s="1513"/>
      <c r="C40" s="238" t="str">
        <f>IFERROR(C38-C39,"")</f>
        <v/>
      </c>
      <c r="D40" s="1512" t="s">
        <v>731</v>
      </c>
      <c r="E40" s="1513"/>
      <c r="F40" s="238" t="str">
        <f>IFERROR(F38-F39,"")</f>
        <v/>
      </c>
      <c r="G40" s="232"/>
    </row>
    <row r="41" spans="1:14" ht="20.100000000000001" customHeight="1" thickBot="1" x14ac:dyDescent="0.25">
      <c r="A41" s="225"/>
      <c r="B41" s="232"/>
      <c r="C41" s="233"/>
      <c r="D41" s="234"/>
      <c r="E41" s="224"/>
    </row>
    <row r="42" spans="1:14" ht="20.100000000000001" customHeight="1" thickBot="1" x14ac:dyDescent="0.25">
      <c r="A42" s="1521" t="s">
        <v>736</v>
      </c>
      <c r="B42" s="1522"/>
      <c r="C42" s="1522"/>
      <c r="D42" s="1522"/>
      <c r="E42" s="1522"/>
      <c r="F42" s="1522"/>
      <c r="G42" s="1522"/>
      <c r="H42" s="1522"/>
      <c r="I42" s="1522"/>
      <c r="J42" s="1522"/>
      <c r="K42" s="1522"/>
      <c r="L42" s="1522"/>
      <c r="M42" s="1522"/>
      <c r="N42" s="1523"/>
    </row>
    <row r="43" spans="1:14" ht="50.25" customHeight="1" thickBot="1" x14ac:dyDescent="0.25">
      <c r="A43" s="327" t="s">
        <v>737</v>
      </c>
      <c r="B43" s="328"/>
      <c r="C43" s="328"/>
      <c r="D43" s="328"/>
      <c r="E43" s="328"/>
      <c r="F43" s="328"/>
      <c r="G43" s="328"/>
      <c r="H43" s="328"/>
      <c r="I43" s="328"/>
      <c r="J43" s="328"/>
      <c r="K43" s="329"/>
      <c r="L43" s="330" t="s">
        <v>729</v>
      </c>
      <c r="M43" s="331" t="s">
        <v>730</v>
      </c>
      <c r="N43" s="332" t="s">
        <v>731</v>
      </c>
    </row>
    <row r="44" spans="1:14" ht="20.100000000000001" customHeight="1" x14ac:dyDescent="0.2">
      <c r="A44" s="640"/>
      <c r="B44" s="322"/>
      <c r="C44" s="322"/>
      <c r="D44" s="322"/>
      <c r="E44" s="322"/>
      <c r="F44" s="322"/>
      <c r="G44" s="322"/>
      <c r="H44" s="322"/>
      <c r="I44" s="322"/>
      <c r="J44" s="322"/>
      <c r="K44" s="323"/>
      <c r="L44" s="324" t="str">
        <f>IFERROR(MEDIAN(B44:K44),"")</f>
        <v/>
      </c>
      <c r="M44" s="325" t="str">
        <f>IFERROR(_xlfn.STDEV.P(B44:K44),"")</f>
        <v/>
      </c>
      <c r="N44" s="326" t="str">
        <f>IFERROR(L44-M44,"")</f>
        <v/>
      </c>
    </row>
    <row r="45" spans="1:14" ht="20.100000000000001" customHeight="1" x14ac:dyDescent="0.2">
      <c r="A45" s="312"/>
      <c r="B45" s="235"/>
      <c r="C45" s="235"/>
      <c r="D45" s="235"/>
      <c r="E45" s="235"/>
      <c r="F45" s="235"/>
      <c r="G45" s="235"/>
      <c r="H45" s="235"/>
      <c r="I45" s="235"/>
      <c r="J45" s="235"/>
      <c r="K45" s="318"/>
      <c r="L45" s="320" t="str">
        <f t="shared" ref="L45:L53" si="0">IFERROR(MEDIAN(B45:K45),"")</f>
        <v/>
      </c>
      <c r="M45" s="239" t="str">
        <f>IFERROR(_xlfn.STDEV.P(B45:K45),"")</f>
        <v/>
      </c>
      <c r="N45" s="311" t="str">
        <f t="shared" ref="N45:N53" si="1">IFERROR(L45-M45,"")</f>
        <v/>
      </c>
    </row>
    <row r="46" spans="1:14" ht="20.100000000000001" customHeight="1" x14ac:dyDescent="0.2">
      <c r="A46" s="312"/>
      <c r="B46" s="235"/>
      <c r="C46" s="235"/>
      <c r="D46" s="235"/>
      <c r="E46" s="235"/>
      <c r="F46" s="235"/>
      <c r="G46" s="235"/>
      <c r="H46" s="235"/>
      <c r="I46" s="235"/>
      <c r="J46" s="235"/>
      <c r="K46" s="318"/>
      <c r="L46" s="320" t="str">
        <f t="shared" si="0"/>
        <v/>
      </c>
      <c r="M46" s="239" t="str">
        <f>IFERROR(_xlfn.STDEV.P(B46:K46),"")</f>
        <v/>
      </c>
      <c r="N46" s="311" t="str">
        <f t="shared" si="1"/>
        <v/>
      </c>
    </row>
    <row r="47" spans="1:14" ht="20.100000000000001" customHeight="1" x14ac:dyDescent="0.2">
      <c r="A47" s="312"/>
      <c r="B47" s="235"/>
      <c r="C47" s="235"/>
      <c r="D47" s="235"/>
      <c r="E47" s="235"/>
      <c r="F47" s="235"/>
      <c r="G47" s="235"/>
      <c r="H47" s="235"/>
      <c r="I47" s="235"/>
      <c r="J47" s="235"/>
      <c r="K47" s="318"/>
      <c r="L47" s="320" t="str">
        <f t="shared" si="0"/>
        <v/>
      </c>
      <c r="M47" s="239" t="str">
        <f t="shared" ref="M47:M53" si="2">IFERROR(_xlfn.STDEV.P(B47:K47),"")</f>
        <v/>
      </c>
      <c r="N47" s="311" t="str">
        <f t="shared" si="1"/>
        <v/>
      </c>
    </row>
    <row r="48" spans="1:14" ht="20.100000000000001" customHeight="1" x14ac:dyDescent="0.2">
      <c r="A48" s="312"/>
      <c r="B48" s="235"/>
      <c r="C48" s="235"/>
      <c r="D48" s="235"/>
      <c r="E48" s="235"/>
      <c r="F48" s="235"/>
      <c r="G48" s="235"/>
      <c r="H48" s="235"/>
      <c r="I48" s="235"/>
      <c r="J48" s="235"/>
      <c r="K48" s="318"/>
      <c r="L48" s="320" t="str">
        <f t="shared" si="0"/>
        <v/>
      </c>
      <c r="M48" s="239" t="str">
        <f t="shared" si="2"/>
        <v/>
      </c>
      <c r="N48" s="311" t="str">
        <f t="shared" si="1"/>
        <v/>
      </c>
    </row>
    <row r="49" spans="1:14" ht="20.100000000000001" customHeight="1" x14ac:dyDescent="0.2">
      <c r="A49" s="312"/>
      <c r="B49" s="235"/>
      <c r="C49" s="235"/>
      <c r="D49" s="235"/>
      <c r="E49" s="235"/>
      <c r="F49" s="235"/>
      <c r="G49" s="235"/>
      <c r="H49" s="235"/>
      <c r="I49" s="235"/>
      <c r="J49" s="235"/>
      <c r="K49" s="318"/>
      <c r="L49" s="320" t="str">
        <f t="shared" si="0"/>
        <v/>
      </c>
      <c r="M49" s="239" t="str">
        <f t="shared" si="2"/>
        <v/>
      </c>
      <c r="N49" s="311" t="str">
        <f t="shared" si="1"/>
        <v/>
      </c>
    </row>
    <row r="50" spans="1:14" ht="20.100000000000001" customHeight="1" x14ac:dyDescent="0.2">
      <c r="A50" s="313"/>
      <c r="B50" s="235"/>
      <c r="C50" s="235"/>
      <c r="D50" s="235"/>
      <c r="E50" s="235"/>
      <c r="F50" s="235"/>
      <c r="G50" s="235"/>
      <c r="H50" s="235"/>
      <c r="I50" s="235"/>
      <c r="J50" s="235"/>
      <c r="K50" s="318"/>
      <c r="L50" s="320" t="str">
        <f t="shared" si="0"/>
        <v/>
      </c>
      <c r="M50" s="239" t="str">
        <f t="shared" si="2"/>
        <v/>
      </c>
      <c r="N50" s="311" t="str">
        <f t="shared" si="1"/>
        <v/>
      </c>
    </row>
    <row r="51" spans="1:14" ht="20.100000000000001" customHeight="1" x14ac:dyDescent="0.2">
      <c r="A51" s="313"/>
      <c r="B51" s="235"/>
      <c r="C51" s="235"/>
      <c r="D51" s="235"/>
      <c r="E51" s="235"/>
      <c r="F51" s="235"/>
      <c r="G51" s="235"/>
      <c r="H51" s="235"/>
      <c r="I51" s="235"/>
      <c r="J51" s="235"/>
      <c r="K51" s="318"/>
      <c r="L51" s="320" t="str">
        <f t="shared" si="0"/>
        <v/>
      </c>
      <c r="M51" s="239" t="str">
        <f t="shared" si="2"/>
        <v/>
      </c>
      <c r="N51" s="311" t="str">
        <f t="shared" si="1"/>
        <v/>
      </c>
    </row>
    <row r="52" spans="1:14" ht="20.100000000000001" customHeight="1" x14ac:dyDescent="0.2">
      <c r="A52" s="313"/>
      <c r="B52" s="235"/>
      <c r="C52" s="235"/>
      <c r="D52" s="235"/>
      <c r="E52" s="235"/>
      <c r="F52" s="235"/>
      <c r="G52" s="235"/>
      <c r="H52" s="235"/>
      <c r="I52" s="235"/>
      <c r="J52" s="235"/>
      <c r="K52" s="318"/>
      <c r="L52" s="320" t="str">
        <f t="shared" si="0"/>
        <v/>
      </c>
      <c r="M52" s="239" t="str">
        <f t="shared" si="2"/>
        <v/>
      </c>
      <c r="N52" s="311" t="str">
        <f t="shared" si="1"/>
        <v/>
      </c>
    </row>
    <row r="53" spans="1:14" ht="20.100000000000001" customHeight="1" thickBot="1" x14ac:dyDescent="0.25">
      <c r="A53" s="314"/>
      <c r="B53" s="315"/>
      <c r="C53" s="315"/>
      <c r="D53" s="315"/>
      <c r="E53" s="315"/>
      <c r="F53" s="315"/>
      <c r="G53" s="315"/>
      <c r="H53" s="315"/>
      <c r="I53" s="315"/>
      <c r="J53" s="315"/>
      <c r="K53" s="319"/>
      <c r="L53" s="321" t="str">
        <f t="shared" si="0"/>
        <v/>
      </c>
      <c r="M53" s="316" t="str">
        <f t="shared" si="2"/>
        <v/>
      </c>
      <c r="N53" s="317" t="str">
        <f t="shared" si="1"/>
        <v/>
      </c>
    </row>
    <row r="54" spans="1:14" ht="20.100000000000001" customHeight="1" thickBot="1" x14ac:dyDescent="0.25">
      <c r="A54" s="967"/>
      <c r="B54" s="967"/>
      <c r="C54" s="967"/>
      <c r="D54" s="967"/>
      <c r="E54" s="967"/>
    </row>
    <row r="55" spans="1:14" ht="20.100000000000001" customHeight="1" thickBot="1" x14ac:dyDescent="0.25">
      <c r="A55" s="1537" t="s">
        <v>738</v>
      </c>
      <c r="B55" s="1538"/>
      <c r="C55" s="1538"/>
      <c r="D55" s="1538"/>
      <c r="E55" s="1538"/>
      <c r="F55" s="1538"/>
      <c r="G55" s="1538"/>
      <c r="H55" s="1538"/>
      <c r="I55" s="1538"/>
      <c r="J55" s="1538"/>
      <c r="K55" s="1538"/>
      <c r="L55" s="1538"/>
      <c r="M55" s="1538"/>
      <c r="N55" s="1539"/>
    </row>
    <row r="56" spans="1:14" ht="20.100000000000001" customHeight="1" thickBot="1" x14ac:dyDescent="0.25">
      <c r="A56" s="1532" t="s">
        <v>690</v>
      </c>
      <c r="B56" s="1533"/>
      <c r="C56" s="1479"/>
      <c r="D56" s="1479"/>
      <c r="E56" s="1479"/>
      <c r="F56" s="1479"/>
      <c r="G56" s="1479"/>
      <c r="H56" s="1479"/>
      <c r="I56" s="1479"/>
      <c r="J56" s="1479"/>
      <c r="K56" s="1479"/>
      <c r="L56" s="1479"/>
      <c r="M56" s="1479"/>
      <c r="N56" s="1480"/>
    </row>
    <row r="57" spans="1:14" ht="38.25" customHeight="1" thickBot="1" x14ac:dyDescent="0.25">
      <c r="A57" s="327" t="s">
        <v>737</v>
      </c>
      <c r="B57" s="328"/>
      <c r="C57" s="328"/>
      <c r="D57" s="328"/>
      <c r="E57" s="328"/>
      <c r="F57" s="328"/>
      <c r="G57" s="328"/>
      <c r="H57" s="328"/>
      <c r="I57" s="328"/>
      <c r="J57" s="328"/>
      <c r="K57" s="329"/>
      <c r="L57" s="330" t="s">
        <v>729</v>
      </c>
      <c r="M57" s="331" t="s">
        <v>730</v>
      </c>
      <c r="N57" s="332" t="s">
        <v>731</v>
      </c>
    </row>
    <row r="58" spans="1:14" ht="20.100000000000001" customHeight="1" x14ac:dyDescent="0.2">
      <c r="A58" s="640"/>
      <c r="B58" s="322"/>
      <c r="C58" s="322"/>
      <c r="D58" s="322"/>
      <c r="E58" s="322"/>
      <c r="F58" s="322"/>
      <c r="G58" s="322"/>
      <c r="H58" s="322"/>
      <c r="I58" s="322"/>
      <c r="J58" s="322"/>
      <c r="K58" s="323"/>
      <c r="L58" s="324" t="str">
        <f t="shared" ref="L58:L67" si="3">IFERROR(MEDIAN(B58:K58),"")</f>
        <v/>
      </c>
      <c r="M58" s="325" t="str">
        <f>IFERROR(_xlfn.STDEV.P(B58:K58),"")</f>
        <v/>
      </c>
      <c r="N58" s="326" t="str">
        <f>IFERROR(L58-M58,"")</f>
        <v/>
      </c>
    </row>
    <row r="59" spans="1:14" ht="20.100000000000001" customHeight="1" x14ac:dyDescent="0.2">
      <c r="A59" s="312"/>
      <c r="B59" s="235"/>
      <c r="C59" s="235"/>
      <c r="D59" s="235"/>
      <c r="E59" s="235"/>
      <c r="F59" s="235"/>
      <c r="G59" s="235"/>
      <c r="H59" s="235"/>
      <c r="I59" s="235"/>
      <c r="J59" s="235"/>
      <c r="K59" s="318"/>
      <c r="L59" s="320" t="str">
        <f t="shared" si="3"/>
        <v/>
      </c>
      <c r="M59" s="239" t="str">
        <f>IFERROR(_xlfn.STDEV.P(B59:K59),"")</f>
        <v/>
      </c>
      <c r="N59" s="311" t="str">
        <f t="shared" ref="N59:N63" si="4">IFERROR(L59-M59,"")</f>
        <v/>
      </c>
    </row>
    <row r="60" spans="1:14" ht="20.100000000000001" customHeight="1" x14ac:dyDescent="0.2">
      <c r="A60" s="312"/>
      <c r="B60" s="235"/>
      <c r="C60" s="235"/>
      <c r="D60" s="235"/>
      <c r="E60" s="235"/>
      <c r="F60" s="235"/>
      <c r="G60" s="235"/>
      <c r="H60" s="235"/>
      <c r="I60" s="235"/>
      <c r="J60" s="235"/>
      <c r="K60" s="318"/>
      <c r="L60" s="320" t="str">
        <f t="shared" si="3"/>
        <v/>
      </c>
      <c r="M60" s="239" t="str">
        <f>IFERROR(_xlfn.STDEV.P(B60:K60),"")</f>
        <v/>
      </c>
      <c r="N60" s="311" t="str">
        <f t="shared" si="4"/>
        <v/>
      </c>
    </row>
    <row r="61" spans="1:14" ht="20.100000000000001" customHeight="1" x14ac:dyDescent="0.2">
      <c r="A61" s="312"/>
      <c r="B61" s="235"/>
      <c r="C61" s="235"/>
      <c r="D61" s="235"/>
      <c r="E61" s="235"/>
      <c r="F61" s="235"/>
      <c r="G61" s="235"/>
      <c r="H61" s="235"/>
      <c r="I61" s="235"/>
      <c r="J61" s="235"/>
      <c r="K61" s="318"/>
      <c r="L61" s="320" t="str">
        <f t="shared" si="3"/>
        <v/>
      </c>
      <c r="M61" s="239" t="str">
        <f t="shared" ref="M61:M67" si="5">IFERROR(_xlfn.STDEV.P(B61:K61),"")</f>
        <v/>
      </c>
      <c r="N61" s="311" t="str">
        <f t="shared" si="4"/>
        <v/>
      </c>
    </row>
    <row r="62" spans="1:14" ht="20.100000000000001" customHeight="1" x14ac:dyDescent="0.2">
      <c r="A62" s="312"/>
      <c r="B62" s="235"/>
      <c r="C62" s="235"/>
      <c r="D62" s="235"/>
      <c r="E62" s="235"/>
      <c r="F62" s="235"/>
      <c r="G62" s="235"/>
      <c r="H62" s="235"/>
      <c r="I62" s="235"/>
      <c r="J62" s="235"/>
      <c r="K62" s="318"/>
      <c r="L62" s="320" t="str">
        <f t="shared" si="3"/>
        <v/>
      </c>
      <c r="M62" s="239" t="str">
        <f t="shared" si="5"/>
        <v/>
      </c>
      <c r="N62" s="311" t="str">
        <f t="shared" si="4"/>
        <v/>
      </c>
    </row>
    <row r="63" spans="1:14" ht="20.100000000000001" customHeight="1" x14ac:dyDescent="0.2">
      <c r="A63" s="312"/>
      <c r="B63" s="235"/>
      <c r="C63" s="235"/>
      <c r="D63" s="235"/>
      <c r="E63" s="235"/>
      <c r="F63" s="235"/>
      <c r="G63" s="235"/>
      <c r="H63" s="235"/>
      <c r="I63" s="235"/>
      <c r="J63" s="235"/>
      <c r="K63" s="318"/>
      <c r="L63" s="320" t="str">
        <f t="shared" si="3"/>
        <v/>
      </c>
      <c r="M63" s="239" t="str">
        <f t="shared" si="5"/>
        <v/>
      </c>
      <c r="N63" s="311" t="str">
        <f t="shared" si="4"/>
        <v/>
      </c>
    </row>
    <row r="64" spans="1:14" ht="20.100000000000001" customHeight="1" x14ac:dyDescent="0.2">
      <c r="A64" s="313"/>
      <c r="B64" s="235"/>
      <c r="C64" s="235"/>
      <c r="D64" s="235"/>
      <c r="E64" s="235"/>
      <c r="F64" s="235"/>
      <c r="G64" s="235"/>
      <c r="H64" s="235"/>
      <c r="I64" s="235"/>
      <c r="J64" s="235"/>
      <c r="K64" s="318"/>
      <c r="L64" s="320" t="str">
        <f t="shared" si="3"/>
        <v/>
      </c>
      <c r="M64" s="239" t="str">
        <f t="shared" si="5"/>
        <v/>
      </c>
      <c r="N64" s="311" t="str">
        <f>IFERROR(L64-M64,"")</f>
        <v/>
      </c>
    </row>
    <row r="65" spans="1:14" ht="20.100000000000001" customHeight="1" x14ac:dyDescent="0.2">
      <c r="A65" s="313"/>
      <c r="B65" s="235"/>
      <c r="C65" s="235"/>
      <c r="D65" s="235"/>
      <c r="E65" s="235"/>
      <c r="F65" s="235"/>
      <c r="G65" s="235"/>
      <c r="H65" s="235"/>
      <c r="I65" s="235"/>
      <c r="J65" s="235"/>
      <c r="K65" s="318"/>
      <c r="L65" s="320" t="str">
        <f t="shared" si="3"/>
        <v/>
      </c>
      <c r="M65" s="239" t="str">
        <f t="shared" si="5"/>
        <v/>
      </c>
      <c r="N65" s="311" t="str">
        <f>IFERROR(L65-M65,"")</f>
        <v/>
      </c>
    </row>
    <row r="66" spans="1:14" ht="20.100000000000001" customHeight="1" x14ac:dyDescent="0.2">
      <c r="A66" s="313"/>
      <c r="B66" s="235"/>
      <c r="C66" s="235"/>
      <c r="D66" s="235"/>
      <c r="E66" s="235"/>
      <c r="F66" s="235"/>
      <c r="G66" s="235"/>
      <c r="H66" s="235"/>
      <c r="I66" s="235"/>
      <c r="J66" s="235"/>
      <c r="K66" s="318"/>
      <c r="L66" s="320" t="str">
        <f t="shared" si="3"/>
        <v/>
      </c>
      <c r="M66" s="239" t="str">
        <f t="shared" si="5"/>
        <v/>
      </c>
      <c r="N66" s="311" t="str">
        <f>IFERROR(L66-M66,"")</f>
        <v/>
      </c>
    </row>
    <row r="67" spans="1:14" ht="22.5" customHeight="1" thickBot="1" x14ac:dyDescent="0.25">
      <c r="A67" s="314"/>
      <c r="B67" s="315"/>
      <c r="C67" s="315"/>
      <c r="D67" s="315"/>
      <c r="E67" s="315"/>
      <c r="F67" s="315"/>
      <c r="G67" s="315"/>
      <c r="H67" s="315"/>
      <c r="I67" s="315"/>
      <c r="J67" s="315"/>
      <c r="K67" s="319"/>
      <c r="L67" s="321" t="str">
        <f t="shared" si="3"/>
        <v/>
      </c>
      <c r="M67" s="316" t="str">
        <f t="shared" si="5"/>
        <v/>
      </c>
      <c r="N67" s="317" t="str">
        <f>IFERROR(L67-M67,"")</f>
        <v/>
      </c>
    </row>
    <row r="68" spans="1:14" ht="20.100000000000001" customHeight="1" thickBot="1" x14ac:dyDescent="0.25">
      <c r="A68" s="1534"/>
      <c r="B68" s="1535"/>
      <c r="C68" s="1535"/>
      <c r="D68" s="1535"/>
      <c r="E68" s="1535"/>
      <c r="F68" s="1535"/>
      <c r="G68" s="1535"/>
      <c r="H68" s="1535"/>
      <c r="I68" s="1535"/>
      <c r="J68" s="1535"/>
      <c r="K68" s="1535"/>
      <c r="L68" s="1535"/>
      <c r="M68" s="1535"/>
      <c r="N68" s="1536"/>
    </row>
    <row r="69" spans="1:14" ht="20.100000000000001" customHeight="1" thickBot="1" x14ac:dyDescent="0.25">
      <c r="A69" s="1532" t="s">
        <v>739</v>
      </c>
      <c r="B69" s="1533"/>
      <c r="C69" s="1479"/>
      <c r="D69" s="1479"/>
      <c r="E69" s="1479"/>
      <c r="F69" s="1479"/>
      <c r="G69" s="1479"/>
      <c r="H69" s="1479"/>
      <c r="I69" s="1479"/>
      <c r="J69" s="1479"/>
      <c r="K69" s="1479"/>
      <c r="L69" s="1479"/>
      <c r="M69" s="1479"/>
      <c r="N69" s="1480"/>
    </row>
    <row r="70" spans="1:14" ht="39.75" customHeight="1" thickBot="1" x14ac:dyDescent="0.25">
      <c r="A70" s="327" t="s">
        <v>737</v>
      </c>
      <c r="B70" s="328"/>
      <c r="C70" s="328"/>
      <c r="D70" s="328"/>
      <c r="E70" s="328"/>
      <c r="F70" s="328"/>
      <c r="G70" s="328"/>
      <c r="H70" s="328"/>
      <c r="I70" s="328"/>
      <c r="J70" s="328"/>
      <c r="K70" s="329"/>
      <c r="L70" s="330" t="s">
        <v>729</v>
      </c>
      <c r="M70" s="331" t="s">
        <v>730</v>
      </c>
      <c r="N70" s="332" t="s">
        <v>731</v>
      </c>
    </row>
    <row r="71" spans="1:14" ht="20.100000000000001" customHeight="1" x14ac:dyDescent="0.2">
      <c r="A71" s="640"/>
      <c r="B71" s="322"/>
      <c r="C71" s="322"/>
      <c r="D71" s="322"/>
      <c r="E71" s="322"/>
      <c r="F71" s="322"/>
      <c r="G71" s="322"/>
      <c r="H71" s="322"/>
      <c r="I71" s="322"/>
      <c r="J71" s="322"/>
      <c r="K71" s="323"/>
      <c r="L71" s="324" t="str">
        <f>IFERROR(MEDIAN(B71:K71),"")</f>
        <v/>
      </c>
      <c r="M71" s="325" t="str">
        <f>IFERROR(_xlfn.STDEV.P(B71:K71),"")</f>
        <v/>
      </c>
      <c r="N71" s="326" t="str">
        <f>IFERROR(L71-M71,"")</f>
        <v/>
      </c>
    </row>
    <row r="72" spans="1:14" ht="20.100000000000001" customHeight="1" x14ac:dyDescent="0.2">
      <c r="A72" s="312"/>
      <c r="B72" s="235"/>
      <c r="C72" s="235"/>
      <c r="D72" s="235"/>
      <c r="E72" s="235"/>
      <c r="F72" s="235"/>
      <c r="G72" s="235"/>
      <c r="H72" s="235"/>
      <c r="I72" s="235"/>
      <c r="J72" s="235"/>
      <c r="K72" s="318"/>
      <c r="L72" s="320" t="str">
        <f t="shared" ref="L72:L80" si="6">IFERROR(MEDIAN(B72:K72),"")</f>
        <v/>
      </c>
      <c r="M72" s="239" t="str">
        <f>IFERROR(_xlfn.STDEV.P(B72:K72),"")</f>
        <v/>
      </c>
      <c r="N72" s="311" t="str">
        <f t="shared" ref="N72:N80" si="7">IFERROR(L72-M72,"")</f>
        <v/>
      </c>
    </row>
    <row r="73" spans="1:14" ht="20.100000000000001" customHeight="1" x14ac:dyDescent="0.2">
      <c r="A73" s="312"/>
      <c r="B73" s="235"/>
      <c r="C73" s="235"/>
      <c r="D73" s="235"/>
      <c r="E73" s="235"/>
      <c r="F73" s="235"/>
      <c r="G73" s="235"/>
      <c r="H73" s="235"/>
      <c r="I73" s="235"/>
      <c r="J73" s="235"/>
      <c r="K73" s="318"/>
      <c r="L73" s="320" t="str">
        <f t="shared" si="6"/>
        <v/>
      </c>
      <c r="M73" s="239" t="str">
        <f>IFERROR(_xlfn.STDEV.P(B73:K73),"")</f>
        <v/>
      </c>
      <c r="N73" s="311" t="str">
        <f t="shared" si="7"/>
        <v/>
      </c>
    </row>
    <row r="74" spans="1:14" ht="20.100000000000001" customHeight="1" x14ac:dyDescent="0.2">
      <c r="A74" s="312"/>
      <c r="B74" s="235"/>
      <c r="C74" s="235"/>
      <c r="D74" s="235"/>
      <c r="E74" s="235"/>
      <c r="F74" s="235"/>
      <c r="G74" s="235"/>
      <c r="H74" s="235"/>
      <c r="I74" s="235"/>
      <c r="J74" s="235"/>
      <c r="K74" s="318"/>
      <c r="L74" s="320" t="str">
        <f t="shared" si="6"/>
        <v/>
      </c>
      <c r="M74" s="239" t="str">
        <f t="shared" ref="M74:M80" si="8">IFERROR(_xlfn.STDEV.P(B74:K74),"")</f>
        <v/>
      </c>
      <c r="N74" s="311" t="str">
        <f>IFERROR(L74-M74,"")</f>
        <v/>
      </c>
    </row>
    <row r="75" spans="1:14" ht="20.100000000000001" customHeight="1" x14ac:dyDescent="0.2">
      <c r="A75" s="312"/>
      <c r="B75" s="235"/>
      <c r="C75" s="235"/>
      <c r="D75" s="235"/>
      <c r="E75" s="235"/>
      <c r="F75" s="235"/>
      <c r="G75" s="235"/>
      <c r="H75" s="235"/>
      <c r="I75" s="235"/>
      <c r="J75" s="235"/>
      <c r="K75" s="318"/>
      <c r="L75" s="320" t="str">
        <f t="shared" si="6"/>
        <v/>
      </c>
      <c r="M75" s="239" t="str">
        <f t="shared" si="8"/>
        <v/>
      </c>
      <c r="N75" s="311" t="str">
        <f t="shared" si="7"/>
        <v/>
      </c>
    </row>
    <row r="76" spans="1:14" ht="20.100000000000001" customHeight="1" x14ac:dyDescent="0.2">
      <c r="A76" s="312"/>
      <c r="B76" s="235"/>
      <c r="C76" s="235"/>
      <c r="D76" s="235"/>
      <c r="E76" s="235"/>
      <c r="F76" s="235"/>
      <c r="G76" s="235"/>
      <c r="H76" s="235"/>
      <c r="I76" s="235"/>
      <c r="J76" s="235"/>
      <c r="K76" s="318"/>
      <c r="L76" s="320" t="str">
        <f t="shared" si="6"/>
        <v/>
      </c>
      <c r="M76" s="239" t="str">
        <f t="shared" si="8"/>
        <v/>
      </c>
      <c r="N76" s="311" t="str">
        <f t="shared" si="7"/>
        <v/>
      </c>
    </row>
    <row r="77" spans="1:14" ht="20.100000000000001" customHeight="1" x14ac:dyDescent="0.2">
      <c r="A77" s="313"/>
      <c r="B77" s="235"/>
      <c r="C77" s="235"/>
      <c r="D77" s="235"/>
      <c r="E77" s="235"/>
      <c r="F77" s="235"/>
      <c r="G77" s="235"/>
      <c r="H77" s="235"/>
      <c r="I77" s="235"/>
      <c r="J77" s="235"/>
      <c r="K77" s="318"/>
      <c r="L77" s="320" t="str">
        <f t="shared" si="6"/>
        <v/>
      </c>
      <c r="M77" s="239" t="str">
        <f t="shared" si="8"/>
        <v/>
      </c>
      <c r="N77" s="311" t="str">
        <f t="shared" si="7"/>
        <v/>
      </c>
    </row>
    <row r="78" spans="1:14" ht="20.100000000000001" customHeight="1" x14ac:dyDescent="0.2">
      <c r="A78" s="313"/>
      <c r="B78" s="235"/>
      <c r="C78" s="235"/>
      <c r="D78" s="235"/>
      <c r="E78" s="235"/>
      <c r="F78" s="235"/>
      <c r="G78" s="235"/>
      <c r="H78" s="235"/>
      <c r="I78" s="235"/>
      <c r="J78" s="235"/>
      <c r="K78" s="318"/>
      <c r="L78" s="320" t="str">
        <f t="shared" si="6"/>
        <v/>
      </c>
      <c r="M78" s="239" t="str">
        <f t="shared" si="8"/>
        <v/>
      </c>
      <c r="N78" s="311" t="str">
        <f t="shared" si="7"/>
        <v/>
      </c>
    </row>
    <row r="79" spans="1:14" ht="20.100000000000001" customHeight="1" x14ac:dyDescent="0.2">
      <c r="A79" s="313"/>
      <c r="B79" s="235"/>
      <c r="C79" s="235"/>
      <c r="D79" s="235"/>
      <c r="E79" s="235"/>
      <c r="F79" s="235"/>
      <c r="G79" s="235"/>
      <c r="H79" s="235"/>
      <c r="I79" s="235"/>
      <c r="J79" s="235"/>
      <c r="K79" s="318"/>
      <c r="L79" s="320" t="str">
        <f t="shared" si="6"/>
        <v/>
      </c>
      <c r="M79" s="239" t="str">
        <f t="shared" si="8"/>
        <v/>
      </c>
      <c r="N79" s="311" t="str">
        <f t="shared" si="7"/>
        <v/>
      </c>
    </row>
    <row r="80" spans="1:14" ht="20.100000000000001" customHeight="1" thickBot="1" x14ac:dyDescent="0.25">
      <c r="A80" s="314"/>
      <c r="B80" s="315"/>
      <c r="C80" s="315"/>
      <c r="D80" s="315"/>
      <c r="E80" s="315"/>
      <c r="F80" s="315"/>
      <c r="G80" s="315"/>
      <c r="H80" s="315"/>
      <c r="I80" s="315"/>
      <c r="J80" s="315"/>
      <c r="K80" s="319"/>
      <c r="L80" s="321" t="str">
        <f t="shared" si="6"/>
        <v/>
      </c>
      <c r="M80" s="316" t="str">
        <f t="shared" si="8"/>
        <v/>
      </c>
      <c r="N80" s="317" t="str">
        <f t="shared" si="7"/>
        <v/>
      </c>
    </row>
  </sheetData>
  <sheetProtection formatCells="0" formatColumns="0" formatRows="0" insertColumns="0" insertRows="0" insertHyperlinks="0" deleteColumns="0" deleteRows="0" sort="0" autoFilter="0" pivotTables="0"/>
  <mergeCells count="34">
    <mergeCell ref="A69:B69"/>
    <mergeCell ref="C69:N69"/>
    <mergeCell ref="A68:N68"/>
    <mergeCell ref="A55:N55"/>
    <mergeCell ref="A56:B56"/>
    <mergeCell ref="C56:N56"/>
    <mergeCell ref="D8:N8"/>
    <mergeCell ref="D9:N9"/>
    <mergeCell ref="A6:E6"/>
    <mergeCell ref="A5:N5"/>
    <mergeCell ref="A1:D3"/>
    <mergeCell ref="E1:N1"/>
    <mergeCell ref="E2:N2"/>
    <mergeCell ref="J3:N3"/>
    <mergeCell ref="E3:I3"/>
    <mergeCell ref="A7:C7"/>
    <mergeCell ref="A8:C8"/>
    <mergeCell ref="A9:C9"/>
    <mergeCell ref="D7:N7"/>
    <mergeCell ref="A40:B40"/>
    <mergeCell ref="A27:C27"/>
    <mergeCell ref="A54:E54"/>
    <mergeCell ref="A11:C11"/>
    <mergeCell ref="A22:B22"/>
    <mergeCell ref="A23:B23"/>
    <mergeCell ref="A42:N42"/>
    <mergeCell ref="D27:F27"/>
    <mergeCell ref="D38:E38"/>
    <mergeCell ref="D39:E39"/>
    <mergeCell ref="D40:E40"/>
    <mergeCell ref="A26:F26"/>
    <mergeCell ref="A24:B24"/>
    <mergeCell ref="A38:B38"/>
    <mergeCell ref="A39:B39"/>
  </mergeCells>
  <conditionalFormatting sqref="B44:K44">
    <cfRule type="cellIs" dxfId="44" priority="61" operator="lessThan">
      <formula>$N$44</formula>
    </cfRule>
  </conditionalFormatting>
  <conditionalFormatting sqref="B45:K45">
    <cfRule type="cellIs" dxfId="43" priority="60" operator="lessThan">
      <formula>$N$45</formula>
    </cfRule>
  </conditionalFormatting>
  <conditionalFormatting sqref="B46:K46">
    <cfRule type="cellIs" dxfId="42" priority="55" operator="lessThan">
      <formula>$N$46</formula>
    </cfRule>
  </conditionalFormatting>
  <conditionalFormatting sqref="B47:K47">
    <cfRule type="cellIs" dxfId="41" priority="54" operator="lessThan">
      <formula>$N$47</formula>
    </cfRule>
  </conditionalFormatting>
  <conditionalFormatting sqref="B48:K48">
    <cfRule type="cellIs" dxfId="40" priority="53" operator="lessThan">
      <formula>$N$48</formula>
    </cfRule>
  </conditionalFormatting>
  <conditionalFormatting sqref="B49:K49">
    <cfRule type="cellIs" dxfId="39" priority="52" operator="lessThan">
      <formula>$N$49</formula>
    </cfRule>
  </conditionalFormatting>
  <conditionalFormatting sqref="B50:K50">
    <cfRule type="cellIs" dxfId="38" priority="51" operator="lessThan">
      <formula>$N$50</formula>
    </cfRule>
  </conditionalFormatting>
  <conditionalFormatting sqref="B51:K51">
    <cfRule type="cellIs" dxfId="37" priority="50" operator="lessThan">
      <formula>$N$51</formula>
    </cfRule>
  </conditionalFormatting>
  <conditionalFormatting sqref="B52:K52">
    <cfRule type="cellIs" dxfId="36" priority="49" operator="lessThan">
      <formula>$N$52</formula>
    </cfRule>
  </conditionalFormatting>
  <conditionalFormatting sqref="B53:K53">
    <cfRule type="cellIs" dxfId="35" priority="48" operator="lessThan">
      <formula>$N$53</formula>
    </cfRule>
  </conditionalFormatting>
  <conditionalFormatting sqref="B58:K58">
    <cfRule type="cellIs" dxfId="34" priority="37" operator="lessThan">
      <formula>$N$44</formula>
    </cfRule>
  </conditionalFormatting>
  <conditionalFormatting sqref="B59:K59">
    <cfRule type="cellIs" dxfId="33" priority="36" operator="lessThan">
      <formula>$N$45</formula>
    </cfRule>
  </conditionalFormatting>
  <conditionalFormatting sqref="B60:K60">
    <cfRule type="cellIs" dxfId="32" priority="35" operator="lessThan">
      <formula>$N$46</formula>
    </cfRule>
  </conditionalFormatting>
  <conditionalFormatting sqref="B61:K61">
    <cfRule type="cellIs" dxfId="31" priority="16" operator="lessThan">
      <formula>$N$61</formula>
    </cfRule>
  </conditionalFormatting>
  <conditionalFormatting sqref="B62:K62">
    <cfRule type="cellIs" dxfId="30" priority="15" operator="lessThan">
      <formula>$N$62</formula>
    </cfRule>
    <cfRule type="cellIs" dxfId="29" priority="33" operator="lessThan">
      <formula>$N$48</formula>
    </cfRule>
  </conditionalFormatting>
  <conditionalFormatting sqref="B63:K63">
    <cfRule type="cellIs" dxfId="28" priority="14" operator="lessThan">
      <formula>$N$63</formula>
    </cfRule>
    <cfRule type="cellIs" dxfId="27" priority="32" operator="lessThan">
      <formula>$N$49</formula>
    </cfRule>
  </conditionalFormatting>
  <conditionalFormatting sqref="B64:K64">
    <cfRule type="cellIs" dxfId="26" priority="31" operator="lessThan">
      <formula>$N$50</formula>
    </cfRule>
    <cfRule type="cellIs" dxfId="25" priority="12" operator="lessThan">
      <formula>$N$64</formula>
    </cfRule>
  </conditionalFormatting>
  <conditionalFormatting sqref="B65:K65">
    <cfRule type="cellIs" dxfId="24" priority="11" operator="lessThan">
      <formula>$N$65</formula>
    </cfRule>
    <cfRule type="cellIs" dxfId="23" priority="30" operator="lessThan">
      <formula>$N$51</formula>
    </cfRule>
  </conditionalFormatting>
  <conditionalFormatting sqref="B66:K66">
    <cfRule type="cellIs" dxfId="22" priority="10" operator="lessThan">
      <formula>$N$66</formula>
    </cfRule>
    <cfRule type="cellIs" dxfId="21" priority="29" operator="lessThan">
      <formula>$N$52</formula>
    </cfRule>
  </conditionalFormatting>
  <conditionalFormatting sqref="B67:K67">
    <cfRule type="cellIs" dxfId="20" priority="9" operator="lessThan">
      <formula>$N$67</formula>
    </cfRule>
    <cfRule type="cellIs" dxfId="19" priority="28" operator="lessThan">
      <formula>$N$53</formula>
    </cfRule>
  </conditionalFormatting>
  <conditionalFormatting sqref="B71:K71">
    <cfRule type="cellIs" dxfId="18" priority="27" operator="lessThan">
      <formula>$N$44</formula>
    </cfRule>
  </conditionalFormatting>
  <conditionalFormatting sqref="B72:K72">
    <cfRule type="cellIs" dxfId="17" priority="26" operator="lessThan">
      <formula>$N$45</formula>
    </cfRule>
  </conditionalFormatting>
  <conditionalFormatting sqref="B73:K73">
    <cfRule type="cellIs" dxfId="16" priority="25" operator="lessThan">
      <formula>$N$46</formula>
    </cfRule>
  </conditionalFormatting>
  <conditionalFormatting sqref="B74:K74">
    <cfRule type="cellIs" dxfId="15" priority="7" operator="lessThan">
      <formula>$N$74</formula>
    </cfRule>
  </conditionalFormatting>
  <conditionalFormatting sqref="B75:K75">
    <cfRule type="cellIs" dxfId="14" priority="6" operator="lessThan">
      <formula>$N$75</formula>
    </cfRule>
  </conditionalFormatting>
  <conditionalFormatting sqref="B76:K76">
    <cfRule type="cellIs" dxfId="13" priority="5" operator="lessThan">
      <formula>$N$76</formula>
    </cfRule>
  </conditionalFormatting>
  <conditionalFormatting sqref="B77:K77">
    <cfRule type="cellIs" dxfId="12" priority="4" operator="lessThan">
      <formula>$N$77</formula>
    </cfRule>
  </conditionalFormatting>
  <conditionalFormatting sqref="B78:K78">
    <cfRule type="cellIs" dxfId="11" priority="3" operator="lessThan">
      <formula>$N$78</formula>
    </cfRule>
  </conditionalFormatting>
  <conditionalFormatting sqref="B79:K79">
    <cfRule type="cellIs" dxfId="10" priority="2" operator="lessThan">
      <formula>$N$79</formula>
    </cfRule>
  </conditionalFormatting>
  <conditionalFormatting sqref="B80:K80">
    <cfRule type="cellIs" dxfId="9" priority="1" operator="lessThan">
      <formula>$N$80</formula>
    </cfRule>
  </conditionalFormatting>
  <conditionalFormatting sqref="C13:C21">
    <cfRule type="cellIs" dxfId="8" priority="56" operator="lessThan">
      <formula>$C$24</formula>
    </cfRule>
  </conditionalFormatting>
  <conditionalFormatting sqref="C29:C37">
    <cfRule type="cellIs" dxfId="7" priority="63" operator="lessThan">
      <formula>$C$40</formula>
    </cfRule>
  </conditionalFormatting>
  <conditionalFormatting sqref="F29:F37">
    <cfRule type="cellIs" dxfId="6" priority="62" operator="lessThan">
      <formula>$F$40</formula>
    </cfRule>
  </conditionalFormatting>
  <hyperlinks>
    <hyperlink ref="O1" location="ins" display="Instructivo" xr:uid="{00000000-0004-0000-1100-000000000000}"/>
  </hyperlinks>
  <printOptions horizontalCentered="1"/>
  <pageMargins left="0" right="0" top="0" bottom="0" header="0" footer="0"/>
  <pageSetup scale="58" fitToHeight="0" orientation="landscape" horizontalDpi="4294967295" verticalDpi="4294967295"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4">
    <tabColor theme="5" tint="0.39997558519241921"/>
    <pageSetUpPr fitToPage="1"/>
  </sheetPr>
  <dimension ref="A1:H44"/>
  <sheetViews>
    <sheetView showGridLines="0" zoomScaleNormal="100" workbookViewId="0">
      <selection activeCell="A17" sqref="A17:E17"/>
    </sheetView>
  </sheetViews>
  <sheetFormatPr baseColWidth="10" defaultColWidth="12" defaultRowHeight="18" customHeight="1" x14ac:dyDescent="0.2"/>
  <cols>
    <col min="1" max="1" width="33.6640625" style="240" customWidth="1"/>
    <col min="2" max="7" width="22.83203125" style="240" customWidth="1"/>
    <col min="8" max="8" width="15.5" style="240" customWidth="1"/>
    <col min="9" max="16384" width="12" style="240"/>
  </cols>
  <sheetData>
    <row r="1" spans="1:8" ht="18" customHeight="1" x14ac:dyDescent="0.2">
      <c r="A1" s="1319"/>
      <c r="B1" s="1320"/>
      <c r="C1" s="947" t="s">
        <v>0</v>
      </c>
      <c r="D1" s="948"/>
      <c r="E1" s="948"/>
      <c r="F1" s="948"/>
      <c r="G1" s="949"/>
      <c r="H1" s="62"/>
    </row>
    <row r="2" spans="1:8" ht="18" customHeight="1" x14ac:dyDescent="0.2">
      <c r="A2" s="1321"/>
      <c r="B2" s="1322"/>
      <c r="C2" s="950" t="s">
        <v>740</v>
      </c>
      <c r="D2" s="951"/>
      <c r="E2" s="951"/>
      <c r="F2" s="951"/>
      <c r="G2" s="952"/>
    </row>
    <row r="3" spans="1:8" ht="18" customHeight="1" thickBot="1" x14ac:dyDescent="0.25">
      <c r="A3" s="1323"/>
      <c r="B3" s="1324"/>
      <c r="C3" s="953" t="s">
        <v>741</v>
      </c>
      <c r="D3" s="1140"/>
      <c r="E3" s="954"/>
      <c r="F3" s="953" t="str">
        <f>Instructivo!G3</f>
        <v>VERSIÓN: 04</v>
      </c>
      <c r="G3" s="955"/>
    </row>
    <row r="4" spans="1:8" ht="18" customHeight="1" thickBot="1" x14ac:dyDescent="0.25">
      <c r="A4" s="241"/>
      <c r="B4" s="241"/>
      <c r="C4" s="67"/>
      <c r="D4" s="67"/>
      <c r="E4" s="67"/>
      <c r="F4" s="67"/>
      <c r="G4" s="67"/>
    </row>
    <row r="5" spans="1:8" ht="18" customHeight="1" thickBot="1" x14ac:dyDescent="0.25">
      <c r="A5" s="1092" t="s">
        <v>662</v>
      </c>
      <c r="B5" s="1093"/>
      <c r="C5" s="1325"/>
      <c r="D5" s="970"/>
      <c r="E5" s="971"/>
      <c r="F5" s="971"/>
      <c r="G5" s="972"/>
      <c r="H5" s="339" t="s">
        <v>104</v>
      </c>
    </row>
    <row r="6" spans="1:8" ht="18" customHeight="1" thickBot="1" x14ac:dyDescent="0.25">
      <c r="A6" s="1092" t="s">
        <v>106</v>
      </c>
      <c r="B6" s="1093"/>
      <c r="C6" s="1325"/>
      <c r="D6" s="970"/>
      <c r="E6" s="971"/>
      <c r="F6" s="971"/>
      <c r="G6" s="972"/>
    </row>
    <row r="7" spans="1:8" ht="28.5" customHeight="1" thickBot="1" x14ac:dyDescent="0.25">
      <c r="A7" s="1092" t="s">
        <v>108</v>
      </c>
      <c r="B7" s="1093"/>
      <c r="C7" s="1325"/>
      <c r="D7" s="970"/>
      <c r="E7" s="971"/>
      <c r="F7" s="971"/>
      <c r="G7" s="972"/>
    </row>
    <row r="8" spans="1:8" ht="18" customHeight="1" x14ac:dyDescent="0.2">
      <c r="A8" s="242"/>
      <c r="B8" s="243"/>
      <c r="C8" s="243"/>
      <c r="D8" s="243"/>
      <c r="E8" s="67"/>
      <c r="F8" s="67"/>
      <c r="G8" s="67"/>
    </row>
    <row r="9" spans="1:8" ht="18" customHeight="1" x14ac:dyDescent="0.2">
      <c r="A9" s="244" t="s">
        <v>742</v>
      </c>
      <c r="B9" s="243"/>
      <c r="C9" s="243"/>
      <c r="D9" s="243"/>
      <c r="E9" s="67"/>
      <c r="F9" s="67"/>
      <c r="G9" s="67"/>
    </row>
    <row r="10" spans="1:8" ht="18" customHeight="1" x14ac:dyDescent="0.2">
      <c r="A10" s="245" t="s">
        <v>743</v>
      </c>
      <c r="B10" s="243"/>
      <c r="C10" s="243"/>
      <c r="D10" s="243"/>
      <c r="E10" s="67"/>
      <c r="F10" s="67"/>
      <c r="G10" s="67"/>
    </row>
    <row r="11" spans="1:8" ht="18" customHeight="1" x14ac:dyDescent="0.2">
      <c r="A11" s="245" t="s">
        <v>744</v>
      </c>
      <c r="B11" s="243"/>
      <c r="C11" s="243"/>
      <c r="D11" s="243"/>
      <c r="E11" s="67"/>
      <c r="F11" s="67"/>
      <c r="G11" s="67"/>
    </row>
    <row r="12" spans="1:8" ht="18" customHeight="1" x14ac:dyDescent="0.2">
      <c r="A12" s="244"/>
    </row>
    <row r="13" spans="1:8" ht="18" customHeight="1" x14ac:dyDescent="0.2">
      <c r="A13" s="1540" t="s">
        <v>745</v>
      </c>
      <c r="B13" s="1540"/>
      <c r="C13" s="1540"/>
      <c r="D13" s="1540"/>
      <c r="E13" s="1540"/>
      <c r="F13" s="1540"/>
      <c r="G13" s="1540"/>
    </row>
    <row r="14" spans="1:8" ht="18" customHeight="1" x14ac:dyDescent="0.2">
      <c r="A14" s="1541" t="s">
        <v>746</v>
      </c>
      <c r="B14" s="1541" t="s">
        <v>747</v>
      </c>
      <c r="C14" s="1541"/>
      <c r="D14" s="1541" t="s">
        <v>748</v>
      </c>
      <c r="E14" s="1541"/>
      <c r="F14" s="1541" t="s">
        <v>749</v>
      </c>
      <c r="G14" s="1541"/>
    </row>
    <row r="15" spans="1:8" ht="27" customHeight="1" x14ac:dyDescent="0.2">
      <c r="A15" s="1541"/>
      <c r="B15" s="246" t="s">
        <v>750</v>
      </c>
      <c r="C15" s="247" t="s">
        <v>751</v>
      </c>
      <c r="D15" s="246" t="s">
        <v>750</v>
      </c>
      <c r="E15" s="247" t="s">
        <v>751</v>
      </c>
      <c r="F15" s="246" t="s">
        <v>750</v>
      </c>
      <c r="G15" s="247" t="s">
        <v>751</v>
      </c>
    </row>
    <row r="16" spans="1:8" ht="21" customHeight="1" x14ac:dyDescent="0.2">
      <c r="A16" s="248"/>
      <c r="B16" s="249"/>
      <c r="C16" s="253" t="str">
        <f>IF(B16="Habilitado","Cumple",(IF(B16="No habilitado","No cumple",(IF(B16="Pendiente","La habilitación queda supeditada a la verificación de la entrega de la póliza dentro del sobre económico","")))))</f>
        <v/>
      </c>
      <c r="D16" s="249"/>
      <c r="E16" s="253" t="str">
        <f>IF(D16="Habilitado","Cumple",(IF(D16="No habilitado","No cumple",(IF(D16="Pendiente","La habilitación queda supeditada a la verificación de la entrega de la póliza dentro del sobre económico","")))))</f>
        <v/>
      </c>
      <c r="F16" s="249"/>
      <c r="G16" s="253" t="str">
        <f>IF(F16="Habilitado","Cumple",(IF(F16="No habilitado","No cumple",(IF(F16="Pendiente","La habilitación queda supeditada a la verificación de la entrega de la póliza dentro del sobre económico","")))))</f>
        <v/>
      </c>
    </row>
    <row r="17" spans="1:7" ht="18" customHeight="1" x14ac:dyDescent="0.2">
      <c r="A17" s="250"/>
      <c r="B17" s="249"/>
      <c r="C17" s="253" t="str">
        <f t="shared" ref="C17:E22" si="0">IF(B17="Habilitado","Cumple",(IF(B17="No habilitado","No cumple",(IF(B17="Pendiente","La habilitación queda supeditada a la verificación de la entrega de la póliza dentro del sobre económico","")))))</f>
        <v/>
      </c>
      <c r="D17" s="249"/>
      <c r="E17" s="253" t="str">
        <f t="shared" si="0"/>
        <v/>
      </c>
      <c r="F17" s="249"/>
      <c r="G17" s="253" t="str">
        <f t="shared" ref="G17" si="1">IF(F17="Habilitado","Cumple",(IF(F17="No habilitado","No cumple",(IF(F17="Pendiente","La habilitación queda supeditada a la verificación de la entrega de la póliza dentro del sobre económico","")))))</f>
        <v/>
      </c>
    </row>
    <row r="18" spans="1:7" ht="18" customHeight="1" x14ac:dyDescent="0.2">
      <c r="A18" s="251"/>
      <c r="B18" s="249"/>
      <c r="C18" s="253" t="str">
        <f t="shared" si="0"/>
        <v/>
      </c>
      <c r="D18" s="249"/>
      <c r="E18" s="253" t="str">
        <f t="shared" si="0"/>
        <v/>
      </c>
      <c r="F18" s="249"/>
      <c r="G18" s="253" t="str">
        <f t="shared" ref="G18" si="2">IF(F18="Habilitado","Cumple",(IF(F18="No habilitado","No cumple",(IF(F18="Pendiente","La habilitación queda supeditada a la verificación de la entrega de la póliza dentro del sobre económico","")))))</f>
        <v/>
      </c>
    </row>
    <row r="19" spans="1:7" ht="18" customHeight="1" x14ac:dyDescent="0.2">
      <c r="A19" s="248"/>
      <c r="B19" s="249"/>
      <c r="C19" s="253" t="str">
        <f t="shared" si="0"/>
        <v/>
      </c>
      <c r="D19" s="249"/>
      <c r="E19" s="253" t="str">
        <f t="shared" si="0"/>
        <v/>
      </c>
      <c r="F19" s="249"/>
      <c r="G19" s="253" t="str">
        <f t="shared" ref="G19" si="3">IF(F19="Habilitado","Cumple",(IF(F19="No habilitado","No cumple",(IF(F19="Pendiente","La habilitación queda supeditada a la verificación de la entrega de la póliza dentro del sobre económico","")))))</f>
        <v/>
      </c>
    </row>
    <row r="20" spans="1:7" ht="18" customHeight="1" x14ac:dyDescent="0.2">
      <c r="A20" s="251"/>
      <c r="B20" s="249"/>
      <c r="C20" s="253" t="str">
        <f t="shared" si="0"/>
        <v/>
      </c>
      <c r="D20" s="249"/>
      <c r="E20" s="253" t="str">
        <f t="shared" si="0"/>
        <v/>
      </c>
      <c r="F20" s="249"/>
      <c r="G20" s="253" t="str">
        <f t="shared" ref="G20" si="4">IF(F20="Habilitado","Cumple",(IF(F20="No habilitado","No cumple",(IF(F20="Pendiente","La habilitación queda supeditada a la verificación de la entrega de la póliza dentro del sobre económico","")))))</f>
        <v/>
      </c>
    </row>
    <row r="21" spans="1:7" ht="18" customHeight="1" x14ac:dyDescent="0.2">
      <c r="A21" s="248"/>
      <c r="B21" s="249"/>
      <c r="C21" s="253" t="str">
        <f t="shared" si="0"/>
        <v/>
      </c>
      <c r="D21" s="249"/>
      <c r="E21" s="253" t="str">
        <f t="shared" si="0"/>
        <v/>
      </c>
      <c r="F21" s="249"/>
      <c r="G21" s="253" t="str">
        <f t="shared" ref="G21" si="5">IF(F21="Habilitado","Cumple",(IF(F21="No habilitado","No cumple",(IF(F21="Pendiente","La habilitación queda supeditada a la verificación de la entrega de la póliza dentro del sobre económico","")))))</f>
        <v/>
      </c>
    </row>
    <row r="22" spans="1:7" ht="18" customHeight="1" x14ac:dyDescent="0.2">
      <c r="A22" s="250"/>
      <c r="B22" s="249"/>
      <c r="C22" s="253" t="str">
        <f t="shared" si="0"/>
        <v/>
      </c>
      <c r="D22" s="249"/>
      <c r="E22" s="253" t="str">
        <f t="shared" si="0"/>
        <v/>
      </c>
      <c r="F22" s="249"/>
      <c r="G22" s="253" t="str">
        <f t="shared" ref="G22" si="6">IF(F22="Habilitado","Cumple",(IF(F22="No habilitado","No cumple",(IF(F22="Pendiente","La habilitación queda supeditada a la verificación de la entrega de la póliza dentro del sobre económico","")))))</f>
        <v/>
      </c>
    </row>
    <row r="23" spans="1:7" ht="18" customHeight="1" x14ac:dyDescent="0.2">
      <c r="A23" s="252"/>
    </row>
    <row r="24" spans="1:7" ht="18" customHeight="1" x14ac:dyDescent="0.2">
      <c r="A24" s="1540" t="s">
        <v>752</v>
      </c>
      <c r="B24" s="1540"/>
      <c r="C24" s="1540"/>
      <c r="D24" s="1540"/>
      <c r="E24" s="1540"/>
      <c r="F24" s="1540"/>
      <c r="G24" s="1540"/>
    </row>
    <row r="25" spans="1:7" ht="18" customHeight="1" x14ac:dyDescent="0.2">
      <c r="A25" s="1541" t="s">
        <v>746</v>
      </c>
      <c r="B25" s="1541" t="s">
        <v>747</v>
      </c>
      <c r="C25" s="1541"/>
      <c r="D25" s="1541" t="s">
        <v>748</v>
      </c>
      <c r="E25" s="1541"/>
      <c r="F25" s="1541" t="s">
        <v>749</v>
      </c>
      <c r="G25" s="1541"/>
    </row>
    <row r="26" spans="1:7" ht="27.75" customHeight="1" x14ac:dyDescent="0.2">
      <c r="A26" s="1541"/>
      <c r="B26" s="246" t="s">
        <v>750</v>
      </c>
      <c r="C26" s="247" t="s">
        <v>751</v>
      </c>
      <c r="D26" s="246" t="s">
        <v>750</v>
      </c>
      <c r="E26" s="247" t="s">
        <v>751</v>
      </c>
      <c r="F26" s="246" t="s">
        <v>750</v>
      </c>
      <c r="G26" s="247" t="s">
        <v>751</v>
      </c>
    </row>
    <row r="27" spans="1:7" ht="18" customHeight="1" x14ac:dyDescent="0.2">
      <c r="A27" s="248"/>
      <c r="B27" s="249"/>
      <c r="C27" s="253" t="str">
        <f>IF(B27="Habilitado","Cumple",(IF(B27="No habilitado","No cumple",(IF(B27="Pendiente","La habilitación queda supeditada a la verificación de la entrega de la póliza dentro del sobre económico","")))))</f>
        <v/>
      </c>
      <c r="D27" s="249"/>
      <c r="E27" s="253" t="str">
        <f>IF(D27="Habilitado","Cumple",(IF(D27="No habilitado","No cumple",(IF(D27="Pendiente","La habilitación queda supeditada a la verificación de la entrega de la póliza dentro del sobre económico","")))))</f>
        <v/>
      </c>
      <c r="F27" s="249"/>
      <c r="G27" s="253" t="str">
        <f>IF(F27="Habilitado","Cumple",(IF(F27="No habilitado","No cumple",(IF(F27="Pendiente","La habilitación queda supeditada a la verificación de la entrega de la póliza dentro del sobre económico","")))))</f>
        <v/>
      </c>
    </row>
    <row r="28" spans="1:7" ht="18" customHeight="1" x14ac:dyDescent="0.2">
      <c r="A28" s="250"/>
      <c r="B28" s="249"/>
      <c r="C28" s="253" t="str">
        <f t="shared" ref="C28" si="7">IF(B28="Habilitado","Cumple",(IF(B28="No habilitado","No cumple",(IF(B28="Pendiente","La habilitación queda supeditada a la verificación de la entrega de la póliza dentro del sobre económico","")))))</f>
        <v/>
      </c>
      <c r="D28" s="249"/>
      <c r="E28" s="253" t="str">
        <f t="shared" ref="E28" si="8">IF(D28="Habilitado","Cumple",(IF(D28="No habilitado","No cumple",(IF(D28="Pendiente","La habilitación queda supeditada a la verificación de la entrega de la póliza dentro del sobre económico","")))))</f>
        <v/>
      </c>
      <c r="F28" s="249"/>
      <c r="G28" s="253" t="str">
        <f t="shared" ref="G28:G33" si="9">IF(F28="Habilitado","Cumple",(IF(F28="No habilitado","No cumple",(IF(F28="Pendiente","La habilitación queda supeditada a la verificación de la entrega de la póliza dentro del sobre económico","")))))</f>
        <v/>
      </c>
    </row>
    <row r="29" spans="1:7" ht="18" customHeight="1" x14ac:dyDescent="0.2">
      <c r="A29" s="251"/>
      <c r="B29" s="249"/>
      <c r="C29" s="253" t="str">
        <f t="shared" ref="C29" si="10">IF(B29="Habilitado","Cumple",(IF(B29="No habilitado","No cumple",(IF(B29="Pendiente","La habilitación queda supeditada a la verificación de la entrega de la póliza dentro del sobre económico","")))))</f>
        <v/>
      </c>
      <c r="D29" s="249"/>
      <c r="E29" s="253" t="str">
        <f t="shared" ref="E29" si="11">IF(D29="Habilitado","Cumple",(IF(D29="No habilitado","No cumple",(IF(D29="Pendiente","La habilitación queda supeditada a la verificación de la entrega de la póliza dentro del sobre económico","")))))</f>
        <v/>
      </c>
      <c r="F29" s="249"/>
      <c r="G29" s="253" t="str">
        <f t="shared" si="9"/>
        <v/>
      </c>
    </row>
    <row r="30" spans="1:7" ht="18" customHeight="1" x14ac:dyDescent="0.2">
      <c r="A30" s="248"/>
      <c r="B30" s="249"/>
      <c r="C30" s="253" t="str">
        <f t="shared" ref="C30" si="12">IF(B30="Habilitado","Cumple",(IF(B30="No habilitado","No cumple",(IF(B30="Pendiente","La habilitación queda supeditada a la verificación de la entrega de la póliza dentro del sobre económico","")))))</f>
        <v/>
      </c>
      <c r="D30" s="249"/>
      <c r="E30" s="253" t="str">
        <f t="shared" ref="E30" si="13">IF(D30="Habilitado","Cumple",(IF(D30="No habilitado","No cumple",(IF(D30="Pendiente","La habilitación queda supeditada a la verificación de la entrega de la póliza dentro del sobre económico","")))))</f>
        <v/>
      </c>
      <c r="F30" s="249"/>
      <c r="G30" s="253" t="str">
        <f t="shared" si="9"/>
        <v/>
      </c>
    </row>
    <row r="31" spans="1:7" ht="18" customHeight="1" x14ac:dyDescent="0.2">
      <c r="A31" s="251"/>
      <c r="B31" s="249"/>
      <c r="C31" s="253" t="str">
        <f t="shared" ref="C31" si="14">IF(B31="Habilitado","Cumple",(IF(B31="No habilitado","No cumple",(IF(B31="Pendiente","La habilitación queda supeditada a la verificación de la entrega de la póliza dentro del sobre económico","")))))</f>
        <v/>
      </c>
      <c r="D31" s="249"/>
      <c r="E31" s="253" t="str">
        <f t="shared" ref="E31" si="15">IF(D31="Habilitado","Cumple",(IF(D31="No habilitado","No cumple",(IF(D31="Pendiente","La habilitación queda supeditada a la verificación de la entrega de la póliza dentro del sobre económico","")))))</f>
        <v/>
      </c>
      <c r="F31" s="249"/>
      <c r="G31" s="253" t="str">
        <f t="shared" si="9"/>
        <v/>
      </c>
    </row>
    <row r="32" spans="1:7" ht="18" customHeight="1" x14ac:dyDescent="0.2">
      <c r="A32" s="248"/>
      <c r="B32" s="249"/>
      <c r="C32" s="253" t="str">
        <f t="shared" ref="C32" si="16">IF(B32="Habilitado","Cumple",(IF(B32="No habilitado","No cumple",(IF(B32="Pendiente","La habilitación queda supeditada a la verificación de la entrega de la póliza dentro del sobre económico","")))))</f>
        <v/>
      </c>
      <c r="D32" s="249"/>
      <c r="E32" s="253" t="str">
        <f t="shared" ref="E32" si="17">IF(D32="Habilitado","Cumple",(IF(D32="No habilitado","No cumple",(IF(D32="Pendiente","La habilitación queda supeditada a la verificación de la entrega de la póliza dentro del sobre económico","")))))</f>
        <v/>
      </c>
      <c r="F32" s="249"/>
      <c r="G32" s="253" t="str">
        <f t="shared" si="9"/>
        <v/>
      </c>
    </row>
    <row r="33" spans="1:7" ht="18" customHeight="1" x14ac:dyDescent="0.2">
      <c r="A33" s="250"/>
      <c r="B33" s="249"/>
      <c r="C33" s="253" t="str">
        <f t="shared" ref="C33" si="18">IF(B33="Habilitado","Cumple",(IF(B33="No habilitado","No cumple",(IF(B33="Pendiente","La habilitación queda supeditada a la verificación de la entrega de la póliza dentro del sobre económico","")))))</f>
        <v/>
      </c>
      <c r="D33" s="249"/>
      <c r="E33" s="253" t="str">
        <f t="shared" ref="E33" si="19">IF(D33="Habilitado","Cumple",(IF(D33="No habilitado","No cumple",(IF(D33="Pendiente","La habilitación queda supeditada a la verificación de la entrega de la póliza dentro del sobre económico","")))))</f>
        <v/>
      </c>
      <c r="F33" s="249"/>
      <c r="G33" s="253" t="str">
        <f t="shared" si="9"/>
        <v/>
      </c>
    </row>
    <row r="35" spans="1:7" ht="18" customHeight="1" x14ac:dyDescent="0.2">
      <c r="A35" s="1540" t="s">
        <v>753</v>
      </c>
      <c r="B35" s="1540"/>
      <c r="C35" s="1540"/>
      <c r="D35" s="1540"/>
      <c r="E35" s="1540"/>
      <c r="F35" s="1540"/>
      <c r="G35" s="1540"/>
    </row>
    <row r="36" spans="1:7" ht="18" customHeight="1" x14ac:dyDescent="0.2">
      <c r="A36" s="1541" t="s">
        <v>746</v>
      </c>
      <c r="B36" s="1541" t="s">
        <v>747</v>
      </c>
      <c r="C36" s="1541"/>
      <c r="D36" s="1541" t="s">
        <v>748</v>
      </c>
      <c r="E36" s="1541"/>
      <c r="F36" s="1541" t="s">
        <v>749</v>
      </c>
      <c r="G36" s="1541"/>
    </row>
    <row r="37" spans="1:7" ht="29.25" customHeight="1" x14ac:dyDescent="0.2">
      <c r="A37" s="1541"/>
      <c r="B37" s="246" t="s">
        <v>750</v>
      </c>
      <c r="C37" s="247" t="s">
        <v>751</v>
      </c>
      <c r="D37" s="246" t="s">
        <v>750</v>
      </c>
      <c r="E37" s="247" t="s">
        <v>751</v>
      </c>
      <c r="F37" s="246" t="s">
        <v>750</v>
      </c>
      <c r="G37" s="247" t="s">
        <v>751</v>
      </c>
    </row>
    <row r="38" spans="1:7" ht="18" customHeight="1" x14ac:dyDescent="0.2">
      <c r="A38" s="248"/>
      <c r="B38" s="249"/>
      <c r="C38" s="253" t="str">
        <f>IF(B38="Habilitado","Cumple",(IF(B38="No habilitado","No cumple",(IF(B38="Pendiente","La habilitación queda supeditada a la verificación de la entrega de la póliza dentro del sobre económico","")))))</f>
        <v/>
      </c>
      <c r="D38" s="249"/>
      <c r="E38" s="253" t="str">
        <f>IF(D38="Habilitado","Cumple",(IF(D38="No habilitado","No cumple",(IF(D38="Pendiente","La habilitación queda supeditada a la verificación de la entrega de la póliza dentro del sobre económico","")))))</f>
        <v/>
      </c>
      <c r="F38" s="249"/>
      <c r="G38" s="253" t="str">
        <f>IF(F38="Habilitado","Cumple",(IF(F38="No habilitado","No cumple",(IF(F38="Pendiente","La habilitación queda supeditada a la verificación de la entrega de la póliza dentro del sobre económico","")))))</f>
        <v/>
      </c>
    </row>
    <row r="39" spans="1:7" ht="18" customHeight="1" x14ac:dyDescent="0.2">
      <c r="A39" s="250"/>
      <c r="B39" s="249"/>
      <c r="C39" s="253" t="str">
        <f t="shared" ref="C39" si="20">IF(B39="Habilitado","Cumple",(IF(B39="No habilitado","No cumple",(IF(B39="Pendiente","La habilitación queda supeditada a la verificación de la entrega de la póliza dentro del sobre económico","")))))</f>
        <v/>
      </c>
      <c r="D39" s="249"/>
      <c r="E39" s="253" t="str">
        <f t="shared" ref="E39" si="21">IF(D39="Habilitado","Cumple",(IF(D39="No habilitado","No cumple",(IF(D39="Pendiente","La habilitación queda supeditada a la verificación de la entrega de la póliza dentro del sobre económico","")))))</f>
        <v/>
      </c>
      <c r="F39" s="249"/>
      <c r="G39" s="253" t="str">
        <f t="shared" ref="G39:G44" si="22">IF(F39="Habilitado","Cumple",(IF(F39="No habilitado","No cumple",(IF(F39="Pendiente","La habilitación queda supeditada a la verificación de la entrega de la póliza dentro del sobre económico","")))))</f>
        <v/>
      </c>
    </row>
    <row r="40" spans="1:7" ht="18" customHeight="1" x14ac:dyDescent="0.2">
      <c r="A40" s="251"/>
      <c r="B40" s="249"/>
      <c r="C40" s="253" t="str">
        <f t="shared" ref="C40" si="23">IF(B40="Habilitado","Cumple",(IF(B40="No habilitado","No cumple",(IF(B40="Pendiente","La habilitación queda supeditada a la verificación de la entrega de la póliza dentro del sobre económico","")))))</f>
        <v/>
      </c>
      <c r="D40" s="249"/>
      <c r="E40" s="253" t="str">
        <f t="shared" ref="E40" si="24">IF(D40="Habilitado","Cumple",(IF(D40="No habilitado","No cumple",(IF(D40="Pendiente","La habilitación queda supeditada a la verificación de la entrega de la póliza dentro del sobre económico","")))))</f>
        <v/>
      </c>
      <c r="F40" s="249"/>
      <c r="G40" s="253" t="str">
        <f t="shared" si="22"/>
        <v/>
      </c>
    </row>
    <row r="41" spans="1:7" ht="18" customHeight="1" x14ac:dyDescent="0.2">
      <c r="A41" s="248"/>
      <c r="B41" s="249"/>
      <c r="C41" s="253" t="str">
        <f t="shared" ref="C41" si="25">IF(B41="Habilitado","Cumple",(IF(B41="No habilitado","No cumple",(IF(B41="Pendiente","La habilitación queda supeditada a la verificación de la entrega de la póliza dentro del sobre económico","")))))</f>
        <v/>
      </c>
      <c r="D41" s="249"/>
      <c r="E41" s="253" t="str">
        <f t="shared" ref="E41" si="26">IF(D41="Habilitado","Cumple",(IF(D41="No habilitado","No cumple",(IF(D41="Pendiente","La habilitación queda supeditada a la verificación de la entrega de la póliza dentro del sobre económico","")))))</f>
        <v/>
      </c>
      <c r="F41" s="249"/>
      <c r="G41" s="253" t="str">
        <f t="shared" si="22"/>
        <v/>
      </c>
    </row>
    <row r="42" spans="1:7" ht="18" customHeight="1" x14ac:dyDescent="0.2">
      <c r="A42" s="251"/>
      <c r="B42" s="249"/>
      <c r="C42" s="253" t="str">
        <f t="shared" ref="C42" si="27">IF(B42="Habilitado","Cumple",(IF(B42="No habilitado","No cumple",(IF(B42="Pendiente","La habilitación queda supeditada a la verificación de la entrega de la póliza dentro del sobre económico","")))))</f>
        <v/>
      </c>
      <c r="D42" s="249"/>
      <c r="E42" s="253" t="str">
        <f t="shared" ref="E42" si="28">IF(D42="Habilitado","Cumple",(IF(D42="No habilitado","No cumple",(IF(D42="Pendiente","La habilitación queda supeditada a la verificación de la entrega de la póliza dentro del sobre económico","")))))</f>
        <v/>
      </c>
      <c r="F42" s="249"/>
      <c r="G42" s="253" t="str">
        <f t="shared" si="22"/>
        <v/>
      </c>
    </row>
    <row r="43" spans="1:7" ht="18" customHeight="1" x14ac:dyDescent="0.2">
      <c r="A43" s="248"/>
      <c r="B43" s="249"/>
      <c r="C43" s="253" t="str">
        <f t="shared" ref="C43" si="29">IF(B43="Habilitado","Cumple",(IF(B43="No habilitado","No cumple",(IF(B43="Pendiente","La habilitación queda supeditada a la verificación de la entrega de la póliza dentro del sobre económico","")))))</f>
        <v/>
      </c>
      <c r="D43" s="249"/>
      <c r="E43" s="253" t="str">
        <f t="shared" ref="E43" si="30">IF(D43="Habilitado","Cumple",(IF(D43="No habilitado","No cumple",(IF(D43="Pendiente","La habilitación queda supeditada a la verificación de la entrega de la póliza dentro del sobre económico","")))))</f>
        <v/>
      </c>
      <c r="F43" s="249"/>
      <c r="G43" s="253" t="str">
        <f t="shared" si="22"/>
        <v/>
      </c>
    </row>
    <row r="44" spans="1:7" ht="18" customHeight="1" x14ac:dyDescent="0.2">
      <c r="A44" s="250"/>
      <c r="B44" s="249"/>
      <c r="C44" s="253" t="str">
        <f t="shared" ref="C44" si="31">IF(B44="Habilitado","Cumple",(IF(B44="No habilitado","No cumple",(IF(B44="Pendiente","La habilitación queda supeditada a la verificación de la entrega de la póliza dentro del sobre económico","")))))</f>
        <v/>
      </c>
      <c r="D44" s="249"/>
      <c r="E44" s="253" t="str">
        <f t="shared" ref="E44" si="32">IF(D44="Habilitado","Cumple",(IF(D44="No habilitado","No cumple",(IF(D44="Pendiente","La habilitación queda supeditada a la verificación de la entrega de la póliza dentro del sobre económico","")))))</f>
        <v/>
      </c>
      <c r="F44" s="249"/>
      <c r="G44" s="253" t="str">
        <f t="shared" si="22"/>
        <v/>
      </c>
    </row>
  </sheetData>
  <sheetProtection formatCells="0" formatColumns="0" formatRows="0" insertColumns="0" insertRows="0" insertHyperlinks="0" deleteColumns="0" deleteRows="0" sort="0" autoFilter="0" pivotTables="0"/>
  <mergeCells count="26">
    <mergeCell ref="A36:A37"/>
    <mergeCell ref="B36:C36"/>
    <mergeCell ref="D36:E36"/>
    <mergeCell ref="F36:G36"/>
    <mergeCell ref="A1:B3"/>
    <mergeCell ref="A25:A26"/>
    <mergeCell ref="B25:C25"/>
    <mergeCell ref="D25:E25"/>
    <mergeCell ref="F25:G25"/>
    <mergeCell ref="A35:G35"/>
    <mergeCell ref="C1:G1"/>
    <mergeCell ref="A5:C5"/>
    <mergeCell ref="F14:G14"/>
    <mergeCell ref="B14:C14"/>
    <mergeCell ref="A14:A15"/>
    <mergeCell ref="D5:G5"/>
    <mergeCell ref="A24:G24"/>
    <mergeCell ref="F3:G3"/>
    <mergeCell ref="C3:E3"/>
    <mergeCell ref="C2:G2"/>
    <mergeCell ref="D6:G6"/>
    <mergeCell ref="D7:G7"/>
    <mergeCell ref="A6:C6"/>
    <mergeCell ref="A7:C7"/>
    <mergeCell ref="D14:E14"/>
    <mergeCell ref="A13:G13"/>
  </mergeCells>
  <conditionalFormatting sqref="B16:G22">
    <cfRule type="containsText" dxfId="5" priority="23" operator="containsText" text="Pendiente">
      <formula>NOT(ISERROR(SEARCH("Pendiente",B16)))</formula>
    </cfRule>
    <cfRule type="containsText" dxfId="4" priority="25" operator="containsText" text="No habilitado">
      <formula>NOT(ISERROR(SEARCH("No habilitado",B16)))</formula>
    </cfRule>
  </conditionalFormatting>
  <conditionalFormatting sqref="B27:G33">
    <cfRule type="containsText" dxfId="3" priority="7" operator="containsText" text="Pendiente">
      <formula>NOT(ISERROR(SEARCH("Pendiente",B27)))</formula>
    </cfRule>
    <cfRule type="containsText" dxfId="2" priority="8" operator="containsText" text="No habilitado">
      <formula>NOT(ISERROR(SEARCH("No habilitado",B27)))</formula>
    </cfRule>
  </conditionalFormatting>
  <conditionalFormatting sqref="B38:G44">
    <cfRule type="containsText" dxfId="1" priority="1" operator="containsText" text="Pendiente">
      <formula>NOT(ISERROR(SEARCH("Pendiente",B38)))</formula>
    </cfRule>
    <cfRule type="containsText" dxfId="0" priority="2" operator="containsText" text="No habilitado">
      <formula>NOT(ISERROR(SEARCH("No habilitado",B38)))</formula>
    </cfRule>
  </conditionalFormatting>
  <dataValidations count="1">
    <dataValidation type="list" allowBlank="1" showInputMessage="1" showErrorMessage="1" sqref="B16:B22 D38:D44 D16:D22 D27:D33 F16:F22 B27:B33 B38:B44 F27:F33 F38:F44" xr:uid="{00000000-0002-0000-1200-000000000000}">
      <formula1>"Habilitado, No habilitado, Pendiente"</formula1>
    </dataValidation>
  </dataValidations>
  <hyperlinks>
    <hyperlink ref="H5" location="ins" display="Instructivo" xr:uid="{00000000-0004-0000-1200-000000000000}"/>
  </hyperlinks>
  <printOptions horizontalCentered="1"/>
  <pageMargins left="0" right="0" top="0" bottom="0" header="0" footer="0"/>
  <pageSetup scale="89" fitToHeight="0" orientation="landscape" verticalDpi="0"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13">
    <tabColor theme="5" tint="0.39997558519241921"/>
    <pageSetUpPr fitToPage="1"/>
  </sheetPr>
  <dimension ref="A1:F95"/>
  <sheetViews>
    <sheetView showGridLines="0" zoomScaleNormal="100" workbookViewId="0">
      <selection activeCell="A17" sqref="A17:E17"/>
    </sheetView>
  </sheetViews>
  <sheetFormatPr baseColWidth="10" defaultColWidth="18.83203125" defaultRowHeight="18" customHeight="1" x14ac:dyDescent="0.2"/>
  <cols>
    <col min="1" max="1" width="43.6640625" style="16" customWidth="1"/>
    <col min="2" max="2" width="24.33203125" style="16" customWidth="1"/>
    <col min="3" max="3" width="23.83203125" style="16" customWidth="1"/>
    <col min="4" max="4" width="28.83203125" style="16" customWidth="1"/>
    <col min="5" max="16384" width="18.83203125" style="16"/>
  </cols>
  <sheetData>
    <row r="1" spans="1:6" ht="18" customHeight="1" x14ac:dyDescent="0.2">
      <c r="A1" s="1546"/>
      <c r="B1" s="1549" t="s">
        <v>0</v>
      </c>
      <c r="C1" s="1550"/>
      <c r="D1" s="1551"/>
      <c r="E1" s="339" t="s">
        <v>104</v>
      </c>
      <c r="F1" s="2"/>
    </row>
    <row r="2" spans="1:6" ht="18" customHeight="1" x14ac:dyDescent="0.2">
      <c r="A2" s="1547"/>
      <c r="B2" s="1554" t="s">
        <v>754</v>
      </c>
      <c r="C2" s="1555"/>
      <c r="D2" s="1556"/>
    </row>
    <row r="3" spans="1:6" ht="18" customHeight="1" thickBot="1" x14ac:dyDescent="0.25">
      <c r="A3" s="1548"/>
      <c r="B3" s="1552" t="s">
        <v>2</v>
      </c>
      <c r="C3" s="1553"/>
      <c r="D3" s="717" t="str">
        <f>Instructivo!G3</f>
        <v>VERSIÓN: 04</v>
      </c>
    </row>
    <row r="4" spans="1:6" ht="18" customHeight="1" thickBot="1" x14ac:dyDescent="0.25">
      <c r="A4" s="42"/>
      <c r="B4" s="39"/>
      <c r="C4" s="39"/>
      <c r="D4" s="39"/>
    </row>
    <row r="5" spans="1:6" ht="18" customHeight="1" thickBot="1" x14ac:dyDescent="0.25">
      <c r="A5" s="41" t="s">
        <v>755</v>
      </c>
      <c r="B5" s="1542" t="s">
        <v>756</v>
      </c>
      <c r="C5" s="1543"/>
      <c r="D5" s="1544"/>
    </row>
    <row r="6" spans="1:6" ht="18" customHeight="1" thickBot="1" x14ac:dyDescent="0.25">
      <c r="A6" s="41" t="s">
        <v>662</v>
      </c>
      <c r="B6" s="1542"/>
      <c r="C6" s="1543"/>
      <c r="D6" s="1544"/>
    </row>
    <row r="7" spans="1:6" ht="18" customHeight="1" thickBot="1" x14ac:dyDescent="0.25">
      <c r="A7" s="41" t="s">
        <v>106</v>
      </c>
      <c r="B7" s="1542"/>
      <c r="C7" s="1543"/>
      <c r="D7" s="1544"/>
    </row>
    <row r="8" spans="1:6" ht="39.75" customHeight="1" thickBot="1" x14ac:dyDescent="0.25">
      <c r="A8" s="41" t="s">
        <v>108</v>
      </c>
      <c r="B8" s="1542"/>
      <c r="C8" s="1543"/>
      <c r="D8" s="1544"/>
    </row>
    <row r="9" spans="1:6" ht="18" customHeight="1" thickBot="1" x14ac:dyDescent="0.25">
      <c r="A9" s="41" t="s">
        <v>757</v>
      </c>
      <c r="B9" s="1542"/>
      <c r="C9" s="1543"/>
      <c r="D9" s="1544"/>
    </row>
    <row r="10" spans="1:6" ht="27.75" customHeight="1" thickBot="1" x14ac:dyDescent="0.25">
      <c r="A10" s="41" t="s">
        <v>758</v>
      </c>
      <c r="B10" s="705">
        <v>0.02</v>
      </c>
      <c r="C10" s="43" t="s">
        <v>759</v>
      </c>
      <c r="D10" s="706"/>
    </row>
    <row r="12" spans="1:6" ht="18" customHeight="1" x14ac:dyDescent="0.2">
      <c r="A12" s="1545" t="s">
        <v>760</v>
      </c>
      <c r="B12" s="1545"/>
      <c r="C12" s="1545"/>
      <c r="D12" s="1545"/>
    </row>
    <row r="13" spans="1:6" ht="18" customHeight="1" x14ac:dyDescent="0.2">
      <c r="A13" s="1557" t="s">
        <v>761</v>
      </c>
      <c r="B13" s="1558"/>
      <c r="C13" s="1559"/>
      <c r="D13" s="44">
        <v>0</v>
      </c>
    </row>
    <row r="14" spans="1:6" ht="18" customHeight="1" x14ac:dyDescent="0.2">
      <c r="A14" s="1557" t="s">
        <v>762</v>
      </c>
      <c r="B14" s="1558"/>
      <c r="C14" s="1559"/>
      <c r="D14" s="19">
        <f>D13*$B$10</f>
        <v>0</v>
      </c>
    </row>
    <row r="15" spans="1:6" ht="18" customHeight="1" x14ac:dyDescent="0.2">
      <c r="A15" s="1557" t="s">
        <v>763</v>
      </c>
      <c r="B15" s="1558"/>
      <c r="C15" s="1559"/>
      <c r="D15" s="44">
        <f>D13-D14</f>
        <v>0</v>
      </c>
    </row>
    <row r="16" spans="1:6" ht="18" customHeight="1" x14ac:dyDescent="0.2">
      <c r="A16" s="17"/>
      <c r="B16" s="17"/>
      <c r="C16" s="17"/>
      <c r="D16" s="18"/>
    </row>
    <row r="17" spans="1:4" ht="18" customHeight="1" x14ac:dyDescent="0.2">
      <c r="A17" s="1557" t="s">
        <v>764</v>
      </c>
      <c r="B17" s="1558"/>
      <c r="C17" s="1559"/>
      <c r="D17" s="44">
        <v>0</v>
      </c>
    </row>
    <row r="18" spans="1:4" ht="18" customHeight="1" x14ac:dyDescent="0.2">
      <c r="A18" s="1557" t="s">
        <v>762</v>
      </c>
      <c r="B18" s="1558"/>
      <c r="C18" s="1559"/>
      <c r="D18" s="19">
        <f>D17*$B$10</f>
        <v>0</v>
      </c>
    </row>
    <row r="19" spans="1:4" ht="18" customHeight="1" x14ac:dyDescent="0.2">
      <c r="A19" s="1557" t="s">
        <v>765</v>
      </c>
      <c r="B19" s="1558"/>
      <c r="C19" s="1559"/>
      <c r="D19" s="44">
        <f>+D17-D18</f>
        <v>0</v>
      </c>
    </row>
    <row r="20" spans="1:4" ht="18" customHeight="1" x14ac:dyDescent="0.2">
      <c r="A20" s="17"/>
      <c r="B20" s="17"/>
      <c r="C20" s="17"/>
      <c r="D20" s="14"/>
    </row>
    <row r="21" spans="1:4" ht="18" customHeight="1" x14ac:dyDescent="0.2">
      <c r="A21" s="1557" t="s">
        <v>766</v>
      </c>
      <c r="B21" s="1558"/>
      <c r="C21" s="1559"/>
      <c r="D21" s="44">
        <v>0</v>
      </c>
    </row>
    <row r="22" spans="1:4" ht="18" customHeight="1" x14ac:dyDescent="0.2">
      <c r="A22" s="1557" t="s">
        <v>762</v>
      </c>
      <c r="B22" s="1558"/>
      <c r="C22" s="1559"/>
      <c r="D22" s="19">
        <f>D21*$B$10</f>
        <v>0</v>
      </c>
    </row>
    <row r="23" spans="1:4" ht="18" customHeight="1" x14ac:dyDescent="0.2">
      <c r="A23" s="1557" t="s">
        <v>767</v>
      </c>
      <c r="B23" s="1558"/>
      <c r="C23" s="1559"/>
      <c r="D23" s="44">
        <f>+D21-D22</f>
        <v>0</v>
      </c>
    </row>
    <row r="24" spans="1:4" ht="18" customHeight="1" x14ac:dyDescent="0.2">
      <c r="A24" s="17"/>
      <c r="B24" s="17"/>
      <c r="C24" s="17"/>
      <c r="D24" s="14"/>
    </row>
    <row r="25" spans="1:4" ht="18" customHeight="1" x14ac:dyDescent="0.2">
      <c r="A25" s="1557" t="s">
        <v>768</v>
      </c>
      <c r="B25" s="1558"/>
      <c r="C25" s="1559"/>
      <c r="D25" s="44">
        <v>0</v>
      </c>
    </row>
    <row r="26" spans="1:4" ht="18" customHeight="1" x14ac:dyDescent="0.2">
      <c r="A26" s="1557" t="s">
        <v>762</v>
      </c>
      <c r="B26" s="1558"/>
      <c r="C26" s="1559"/>
      <c r="D26" s="19">
        <f>D25*$B$10</f>
        <v>0</v>
      </c>
    </row>
    <row r="27" spans="1:4" ht="18" customHeight="1" x14ac:dyDescent="0.2">
      <c r="A27" s="1557" t="s">
        <v>769</v>
      </c>
      <c r="B27" s="1558"/>
      <c r="C27" s="1559"/>
      <c r="D27" s="44">
        <f>+D25-D26</f>
        <v>0</v>
      </c>
    </row>
    <row r="28" spans="1:4" ht="18" customHeight="1" x14ac:dyDescent="0.2">
      <c r="A28" s="17"/>
      <c r="B28" s="17"/>
      <c r="C28" s="17"/>
      <c r="D28" s="14"/>
    </row>
    <row r="29" spans="1:4" ht="18" customHeight="1" x14ac:dyDescent="0.2">
      <c r="A29" s="1557" t="s">
        <v>770</v>
      </c>
      <c r="B29" s="1558"/>
      <c r="C29" s="1559"/>
      <c r="D29" s="44">
        <v>0</v>
      </c>
    </row>
    <row r="30" spans="1:4" ht="18" customHeight="1" x14ac:dyDescent="0.2">
      <c r="A30" s="1557" t="s">
        <v>762</v>
      </c>
      <c r="B30" s="1558"/>
      <c r="C30" s="1559"/>
      <c r="D30" s="19">
        <f>D29*$B$10</f>
        <v>0</v>
      </c>
    </row>
    <row r="31" spans="1:4" ht="18" customHeight="1" x14ac:dyDescent="0.2">
      <c r="A31" s="1557" t="s">
        <v>771</v>
      </c>
      <c r="B31" s="1558"/>
      <c r="C31" s="1559"/>
      <c r="D31" s="44">
        <f>+D29-D30</f>
        <v>0</v>
      </c>
    </row>
    <row r="32" spans="1:4" ht="18" customHeight="1" x14ac:dyDescent="0.2">
      <c r="A32" s="17"/>
      <c r="B32" s="17"/>
      <c r="C32" s="17"/>
      <c r="D32" s="14"/>
    </row>
    <row r="33" spans="1:4" ht="18" customHeight="1" x14ac:dyDescent="0.2">
      <c r="A33" s="1557" t="s">
        <v>772</v>
      </c>
      <c r="B33" s="1558"/>
      <c r="C33" s="1559"/>
      <c r="D33" s="44">
        <v>0</v>
      </c>
    </row>
    <row r="34" spans="1:4" ht="18" customHeight="1" x14ac:dyDescent="0.2">
      <c r="A34" s="1557" t="s">
        <v>762</v>
      </c>
      <c r="B34" s="1558"/>
      <c r="C34" s="1559"/>
      <c r="D34" s="19">
        <f>D33*$B$10</f>
        <v>0</v>
      </c>
    </row>
    <row r="35" spans="1:4" ht="18" customHeight="1" x14ac:dyDescent="0.2">
      <c r="A35" s="1557" t="s">
        <v>773</v>
      </c>
      <c r="B35" s="1558"/>
      <c r="C35" s="1559"/>
      <c r="D35" s="44">
        <f>+D33-D34</f>
        <v>0</v>
      </c>
    </row>
    <row r="36" spans="1:4" ht="18" customHeight="1" x14ac:dyDescent="0.2">
      <c r="A36" s="17"/>
      <c r="B36" s="17"/>
      <c r="C36" s="17"/>
      <c r="D36" s="14"/>
    </row>
    <row r="37" spans="1:4" ht="18" customHeight="1" x14ac:dyDescent="0.2">
      <c r="A37" s="1557" t="s">
        <v>774</v>
      </c>
      <c r="B37" s="1558"/>
      <c r="C37" s="1559"/>
      <c r="D37" s="44">
        <v>0</v>
      </c>
    </row>
    <row r="38" spans="1:4" ht="18" customHeight="1" x14ac:dyDescent="0.2">
      <c r="A38" s="1557" t="s">
        <v>762</v>
      </c>
      <c r="B38" s="1558"/>
      <c r="C38" s="1559"/>
      <c r="D38" s="19">
        <f>D37*$B$10</f>
        <v>0</v>
      </c>
    </row>
    <row r="39" spans="1:4" ht="18" customHeight="1" x14ac:dyDescent="0.2">
      <c r="A39" s="1557" t="s">
        <v>775</v>
      </c>
      <c r="B39" s="1558"/>
      <c r="C39" s="1559"/>
      <c r="D39" s="44">
        <f>+D37-D38</f>
        <v>0</v>
      </c>
    </row>
    <row r="40" spans="1:4" ht="18" customHeight="1" x14ac:dyDescent="0.2">
      <c r="A40" s="17"/>
      <c r="B40" s="17"/>
      <c r="C40" s="17"/>
      <c r="D40" s="14"/>
    </row>
    <row r="41" spans="1:4" ht="18" customHeight="1" x14ac:dyDescent="0.2">
      <c r="A41" s="1557" t="s">
        <v>776</v>
      </c>
      <c r="B41" s="1558"/>
      <c r="C41" s="1559"/>
      <c r="D41" s="44">
        <v>0</v>
      </c>
    </row>
    <row r="42" spans="1:4" ht="18" customHeight="1" x14ac:dyDescent="0.2">
      <c r="A42" s="1557" t="s">
        <v>762</v>
      </c>
      <c r="B42" s="1558"/>
      <c r="C42" s="1559"/>
      <c r="D42" s="19">
        <f>D41*$B$10</f>
        <v>0</v>
      </c>
    </row>
    <row r="43" spans="1:4" ht="18" customHeight="1" x14ac:dyDescent="0.2">
      <c r="A43" s="1557" t="s">
        <v>777</v>
      </c>
      <c r="B43" s="1558"/>
      <c r="C43" s="1559"/>
      <c r="D43" s="44">
        <f>+D41-D42</f>
        <v>0</v>
      </c>
    </row>
    <row r="44" spans="1:4" ht="18" customHeight="1" x14ac:dyDescent="0.2">
      <c r="A44" s="17"/>
      <c r="B44" s="17"/>
      <c r="C44" s="17"/>
      <c r="D44" s="14"/>
    </row>
    <row r="45" spans="1:4" ht="18" customHeight="1" x14ac:dyDescent="0.2">
      <c r="A45" s="1557" t="s">
        <v>778</v>
      </c>
      <c r="B45" s="1558"/>
      <c r="C45" s="1559"/>
      <c r="D45" s="44">
        <v>0</v>
      </c>
    </row>
    <row r="46" spans="1:4" ht="18" customHeight="1" x14ac:dyDescent="0.2">
      <c r="A46" s="1557" t="s">
        <v>762</v>
      </c>
      <c r="B46" s="1558"/>
      <c r="C46" s="1559"/>
      <c r="D46" s="19">
        <f>D45*$B$10</f>
        <v>0</v>
      </c>
    </row>
    <row r="47" spans="1:4" ht="18" customHeight="1" x14ac:dyDescent="0.2">
      <c r="A47" s="1557" t="s">
        <v>779</v>
      </c>
      <c r="B47" s="1558"/>
      <c r="C47" s="1559"/>
      <c r="D47" s="44">
        <f>+D45-D46</f>
        <v>0</v>
      </c>
    </row>
    <row r="48" spans="1:4" ht="18" customHeight="1" x14ac:dyDescent="0.2">
      <c r="A48" s="17"/>
      <c r="B48" s="17"/>
      <c r="C48" s="17"/>
      <c r="D48" s="14"/>
    </row>
    <row r="49" spans="1:4" ht="18" customHeight="1" x14ac:dyDescent="0.2">
      <c r="A49" s="1557" t="s">
        <v>780</v>
      </c>
      <c r="B49" s="1558"/>
      <c r="C49" s="1559"/>
      <c r="D49" s="44">
        <v>0</v>
      </c>
    </row>
    <row r="50" spans="1:4" ht="18" customHeight="1" x14ac:dyDescent="0.2">
      <c r="A50" s="1557" t="s">
        <v>762</v>
      </c>
      <c r="B50" s="1558"/>
      <c r="C50" s="1559"/>
      <c r="D50" s="19">
        <f>D49*$B$10</f>
        <v>0</v>
      </c>
    </row>
    <row r="51" spans="1:4" ht="18" customHeight="1" x14ac:dyDescent="0.2">
      <c r="A51" s="1557" t="s">
        <v>781</v>
      </c>
      <c r="B51" s="1558"/>
      <c r="C51" s="1559"/>
      <c r="D51" s="44">
        <f>+D49-D50</f>
        <v>0</v>
      </c>
    </row>
    <row r="52" spans="1:4" ht="18" customHeight="1" x14ac:dyDescent="0.2">
      <c r="A52" s="17"/>
      <c r="B52" s="17"/>
      <c r="C52" s="17"/>
      <c r="D52" s="14"/>
    </row>
    <row r="53" spans="1:4" ht="18" customHeight="1" x14ac:dyDescent="0.2">
      <c r="A53" s="1557" t="s">
        <v>782</v>
      </c>
      <c r="B53" s="1558"/>
      <c r="C53" s="1559"/>
      <c r="D53" s="44">
        <v>0</v>
      </c>
    </row>
    <row r="54" spans="1:4" ht="18" customHeight="1" x14ac:dyDescent="0.2">
      <c r="A54" s="1557" t="s">
        <v>762</v>
      </c>
      <c r="B54" s="1558"/>
      <c r="C54" s="1559"/>
      <c r="D54" s="19">
        <f>D53*$B$10</f>
        <v>0</v>
      </c>
    </row>
    <row r="55" spans="1:4" ht="18" customHeight="1" x14ac:dyDescent="0.2">
      <c r="A55" s="1557" t="s">
        <v>783</v>
      </c>
      <c r="B55" s="1558"/>
      <c r="C55" s="1559"/>
      <c r="D55" s="44">
        <f>+D53-D54</f>
        <v>0</v>
      </c>
    </row>
    <row r="56" spans="1:4" ht="18" customHeight="1" x14ac:dyDescent="0.2">
      <c r="A56" s="17"/>
      <c r="B56" s="17"/>
      <c r="C56" s="17"/>
      <c r="D56" s="14"/>
    </row>
    <row r="57" spans="1:4" ht="18" customHeight="1" x14ac:dyDescent="0.2">
      <c r="A57" s="1557" t="s">
        <v>784</v>
      </c>
      <c r="B57" s="1558"/>
      <c r="C57" s="1559"/>
      <c r="D57" s="44">
        <v>0</v>
      </c>
    </row>
    <row r="58" spans="1:4" ht="18" customHeight="1" x14ac:dyDescent="0.2">
      <c r="A58" s="1557" t="s">
        <v>762</v>
      </c>
      <c r="B58" s="1558"/>
      <c r="C58" s="1559"/>
      <c r="D58" s="19">
        <f>D57*$B$10</f>
        <v>0</v>
      </c>
    </row>
    <row r="59" spans="1:4" ht="18" customHeight="1" x14ac:dyDescent="0.2">
      <c r="A59" s="1557" t="s">
        <v>785</v>
      </c>
      <c r="B59" s="1558"/>
      <c r="C59" s="1559"/>
      <c r="D59" s="44">
        <f>+D57-D58</f>
        <v>0</v>
      </c>
    </row>
    <row r="60" spans="1:4" ht="18" customHeight="1" x14ac:dyDescent="0.2">
      <c r="A60" s="17"/>
      <c r="B60" s="17"/>
      <c r="C60" s="17"/>
      <c r="D60" s="14"/>
    </row>
    <row r="61" spans="1:4" ht="18" customHeight="1" x14ac:dyDescent="0.2">
      <c r="A61" s="1557" t="s">
        <v>786</v>
      </c>
      <c r="B61" s="1558"/>
      <c r="C61" s="1559"/>
      <c r="D61" s="44">
        <v>0</v>
      </c>
    </row>
    <row r="62" spans="1:4" ht="18" customHeight="1" x14ac:dyDescent="0.2">
      <c r="A62" s="1557" t="s">
        <v>762</v>
      </c>
      <c r="B62" s="1558"/>
      <c r="C62" s="1559"/>
      <c r="D62" s="19">
        <f>D61*$B$10</f>
        <v>0</v>
      </c>
    </row>
    <row r="63" spans="1:4" ht="18" customHeight="1" x14ac:dyDescent="0.2">
      <c r="A63" s="1557" t="s">
        <v>787</v>
      </c>
      <c r="B63" s="1558"/>
      <c r="C63" s="1559"/>
      <c r="D63" s="44">
        <f>+D61-D62</f>
        <v>0</v>
      </c>
    </row>
    <row r="64" spans="1:4" ht="18" customHeight="1" x14ac:dyDescent="0.2">
      <c r="D64" s="15"/>
    </row>
    <row r="65" spans="1:4" ht="18" customHeight="1" x14ac:dyDescent="0.2">
      <c r="A65" s="1557" t="s">
        <v>788</v>
      </c>
      <c r="B65" s="1558"/>
      <c r="C65" s="1559"/>
      <c r="D65" s="44">
        <v>0</v>
      </c>
    </row>
    <row r="66" spans="1:4" ht="18" customHeight="1" x14ac:dyDescent="0.2">
      <c r="A66" s="1557" t="s">
        <v>762</v>
      </c>
      <c r="B66" s="1558"/>
      <c r="C66" s="1559"/>
      <c r="D66" s="19">
        <f>D65*$B$10</f>
        <v>0</v>
      </c>
    </row>
    <row r="67" spans="1:4" ht="18" customHeight="1" x14ac:dyDescent="0.2">
      <c r="A67" s="1557" t="s">
        <v>789</v>
      </c>
      <c r="B67" s="1558"/>
      <c r="C67" s="1559"/>
      <c r="D67" s="44">
        <f>+D65-D66</f>
        <v>0</v>
      </c>
    </row>
    <row r="68" spans="1:4" ht="18" customHeight="1" x14ac:dyDescent="0.2">
      <c r="A68" s="17"/>
      <c r="B68" s="17"/>
      <c r="C68" s="17"/>
      <c r="D68" s="14"/>
    </row>
    <row r="69" spans="1:4" ht="18" customHeight="1" x14ac:dyDescent="0.2">
      <c r="A69" s="1557" t="s">
        <v>790</v>
      </c>
      <c r="B69" s="1558"/>
      <c r="C69" s="1559"/>
      <c r="D69" s="44">
        <v>0</v>
      </c>
    </row>
    <row r="70" spans="1:4" ht="18" customHeight="1" x14ac:dyDescent="0.2">
      <c r="A70" s="1557" t="s">
        <v>762</v>
      </c>
      <c r="B70" s="1558"/>
      <c r="C70" s="1559"/>
      <c r="D70" s="19">
        <f>D69*$B$10</f>
        <v>0</v>
      </c>
    </row>
    <row r="71" spans="1:4" ht="18" customHeight="1" x14ac:dyDescent="0.2">
      <c r="A71" s="1557" t="s">
        <v>791</v>
      </c>
      <c r="B71" s="1558"/>
      <c r="C71" s="1559"/>
      <c r="D71" s="44">
        <f>+D69-D70</f>
        <v>0</v>
      </c>
    </row>
    <row r="72" spans="1:4" ht="18" customHeight="1" x14ac:dyDescent="0.2">
      <c r="A72" s="17"/>
      <c r="B72" s="17"/>
      <c r="C72" s="17"/>
      <c r="D72" s="14"/>
    </row>
    <row r="73" spans="1:4" ht="18" customHeight="1" x14ac:dyDescent="0.2">
      <c r="A73" s="1557" t="s">
        <v>792</v>
      </c>
      <c r="B73" s="1558"/>
      <c r="C73" s="1559"/>
      <c r="D73" s="44">
        <v>0</v>
      </c>
    </row>
    <row r="74" spans="1:4" ht="18" customHeight="1" x14ac:dyDescent="0.2">
      <c r="A74" s="1557" t="s">
        <v>762</v>
      </c>
      <c r="B74" s="1558"/>
      <c r="C74" s="1559"/>
      <c r="D74" s="19">
        <f>D73*$B$10</f>
        <v>0</v>
      </c>
    </row>
    <row r="75" spans="1:4" ht="18" customHeight="1" x14ac:dyDescent="0.2">
      <c r="A75" s="1557" t="s">
        <v>793</v>
      </c>
      <c r="B75" s="1558"/>
      <c r="C75" s="1559"/>
      <c r="D75" s="44">
        <f>+D73-D74</f>
        <v>0</v>
      </c>
    </row>
    <row r="76" spans="1:4" ht="18" customHeight="1" x14ac:dyDescent="0.2">
      <c r="A76" s="17"/>
      <c r="B76" s="17"/>
      <c r="C76" s="17"/>
      <c r="D76" s="14"/>
    </row>
    <row r="77" spans="1:4" ht="18" customHeight="1" x14ac:dyDescent="0.2">
      <c r="A77" s="1557" t="s">
        <v>794</v>
      </c>
      <c r="B77" s="1558"/>
      <c r="C77" s="1559"/>
      <c r="D77" s="44">
        <v>0</v>
      </c>
    </row>
    <row r="78" spans="1:4" ht="18" customHeight="1" x14ac:dyDescent="0.2">
      <c r="A78" s="1557" t="s">
        <v>762</v>
      </c>
      <c r="B78" s="1558"/>
      <c r="C78" s="1559"/>
      <c r="D78" s="19">
        <f>D77*$B$10</f>
        <v>0</v>
      </c>
    </row>
    <row r="79" spans="1:4" ht="18" customHeight="1" x14ac:dyDescent="0.2">
      <c r="A79" s="1557" t="s">
        <v>795</v>
      </c>
      <c r="B79" s="1558"/>
      <c r="C79" s="1559"/>
      <c r="D79" s="44">
        <f>+D77-D78</f>
        <v>0</v>
      </c>
    </row>
    <row r="80" spans="1:4" ht="18" customHeight="1" x14ac:dyDescent="0.2">
      <c r="A80" s="17"/>
      <c r="B80" s="17"/>
      <c r="C80" s="17"/>
      <c r="D80" s="14"/>
    </row>
    <row r="81" spans="1:4" ht="18" customHeight="1" x14ac:dyDescent="0.2">
      <c r="A81" s="1557" t="s">
        <v>796</v>
      </c>
      <c r="B81" s="1558"/>
      <c r="C81" s="1559"/>
      <c r="D81" s="44">
        <v>0</v>
      </c>
    </row>
    <row r="82" spans="1:4" ht="18" customHeight="1" x14ac:dyDescent="0.2">
      <c r="A82" s="1557" t="s">
        <v>762</v>
      </c>
      <c r="B82" s="1558"/>
      <c r="C82" s="1559"/>
      <c r="D82" s="19">
        <f>D81*$B$10</f>
        <v>0</v>
      </c>
    </row>
    <row r="83" spans="1:4" ht="18" customHeight="1" x14ac:dyDescent="0.2">
      <c r="A83" s="1557" t="s">
        <v>797</v>
      </c>
      <c r="B83" s="1558"/>
      <c r="C83" s="1559"/>
      <c r="D83" s="44">
        <f>+D81-D82</f>
        <v>0</v>
      </c>
    </row>
    <row r="84" spans="1:4" ht="18" customHeight="1" x14ac:dyDescent="0.2">
      <c r="D84" s="15"/>
    </row>
    <row r="85" spans="1:4" ht="18" customHeight="1" x14ac:dyDescent="0.2">
      <c r="A85" s="1557" t="s">
        <v>798</v>
      </c>
      <c r="B85" s="1558"/>
      <c r="C85" s="1559"/>
      <c r="D85" s="44">
        <v>0</v>
      </c>
    </row>
    <row r="86" spans="1:4" ht="18" customHeight="1" x14ac:dyDescent="0.2">
      <c r="A86" s="1557" t="s">
        <v>762</v>
      </c>
      <c r="B86" s="1558"/>
      <c r="C86" s="1559"/>
      <c r="D86" s="19">
        <f>D85*$B$10</f>
        <v>0</v>
      </c>
    </row>
    <row r="87" spans="1:4" ht="18" customHeight="1" x14ac:dyDescent="0.2">
      <c r="A87" s="1557" t="s">
        <v>799</v>
      </c>
      <c r="B87" s="1558"/>
      <c r="C87" s="1559"/>
      <c r="D87" s="44">
        <f>+D85-D86</f>
        <v>0</v>
      </c>
    </row>
    <row r="88" spans="1:4" ht="18" customHeight="1" x14ac:dyDescent="0.2">
      <c r="A88" s="17"/>
      <c r="B88" s="17"/>
      <c r="C88" s="17"/>
      <c r="D88" s="14"/>
    </row>
    <row r="89" spans="1:4" ht="18" customHeight="1" x14ac:dyDescent="0.2">
      <c r="A89" s="1557" t="s">
        <v>800</v>
      </c>
      <c r="B89" s="1558"/>
      <c r="C89" s="1559"/>
      <c r="D89" s="44">
        <v>0</v>
      </c>
    </row>
    <row r="90" spans="1:4" ht="18" customHeight="1" x14ac:dyDescent="0.2">
      <c r="A90" s="1557" t="s">
        <v>762</v>
      </c>
      <c r="B90" s="1558"/>
      <c r="C90" s="1559"/>
      <c r="D90" s="19">
        <f>D89*$B$10</f>
        <v>0</v>
      </c>
    </row>
    <row r="91" spans="1:4" ht="18" customHeight="1" x14ac:dyDescent="0.2">
      <c r="A91" s="1557" t="s">
        <v>801</v>
      </c>
      <c r="B91" s="1558"/>
      <c r="C91" s="1559"/>
      <c r="D91" s="44">
        <f>+D89-D90</f>
        <v>0</v>
      </c>
    </row>
    <row r="92" spans="1:4" ht="18" customHeight="1" x14ac:dyDescent="0.2">
      <c r="A92" s="17"/>
      <c r="B92" s="17"/>
      <c r="C92" s="17"/>
      <c r="D92" s="14"/>
    </row>
    <row r="93" spans="1:4" ht="18" customHeight="1" x14ac:dyDescent="0.2">
      <c r="A93" s="1557" t="s">
        <v>802</v>
      </c>
      <c r="B93" s="1558"/>
      <c r="C93" s="1559"/>
      <c r="D93" s="44">
        <v>0</v>
      </c>
    </row>
    <row r="94" spans="1:4" ht="18" customHeight="1" x14ac:dyDescent="0.2">
      <c r="A94" s="1557" t="s">
        <v>762</v>
      </c>
      <c r="B94" s="1558"/>
      <c r="C94" s="1559"/>
      <c r="D94" s="19">
        <f>D93*$B$10</f>
        <v>0</v>
      </c>
    </row>
    <row r="95" spans="1:4" ht="18" customHeight="1" x14ac:dyDescent="0.2">
      <c r="A95" s="1557" t="s">
        <v>803</v>
      </c>
      <c r="B95" s="1558"/>
      <c r="C95" s="1559"/>
      <c r="D95" s="44">
        <f>+D93-D94</f>
        <v>0</v>
      </c>
    </row>
  </sheetData>
  <mergeCells count="73">
    <mergeCell ref="A93:C93"/>
    <mergeCell ref="A94:C94"/>
    <mergeCell ref="A95:C95"/>
    <mergeCell ref="A85:C85"/>
    <mergeCell ref="A86:C86"/>
    <mergeCell ref="A87:C87"/>
    <mergeCell ref="A89:C89"/>
    <mergeCell ref="A90:C90"/>
    <mergeCell ref="A91:C91"/>
    <mergeCell ref="A83:C83"/>
    <mergeCell ref="A69:C69"/>
    <mergeCell ref="A70:C70"/>
    <mergeCell ref="A71:C71"/>
    <mergeCell ref="A73:C73"/>
    <mergeCell ref="A74:C74"/>
    <mergeCell ref="A75:C75"/>
    <mergeCell ref="A77:C77"/>
    <mergeCell ref="A78:C78"/>
    <mergeCell ref="A79:C79"/>
    <mergeCell ref="A81:C81"/>
    <mergeCell ref="A82:C82"/>
    <mergeCell ref="A67:C67"/>
    <mergeCell ref="A53:C53"/>
    <mergeCell ref="A54:C54"/>
    <mergeCell ref="A55:C55"/>
    <mergeCell ref="A57:C57"/>
    <mergeCell ref="A58:C58"/>
    <mergeCell ref="A59:C59"/>
    <mergeCell ref="A61:C61"/>
    <mergeCell ref="A62:C62"/>
    <mergeCell ref="A63:C63"/>
    <mergeCell ref="A65:C65"/>
    <mergeCell ref="A66:C66"/>
    <mergeCell ref="A51:C51"/>
    <mergeCell ref="A37:C37"/>
    <mergeCell ref="A38:C38"/>
    <mergeCell ref="A39:C39"/>
    <mergeCell ref="A41:C41"/>
    <mergeCell ref="A42:C42"/>
    <mergeCell ref="A43:C43"/>
    <mergeCell ref="A45:C45"/>
    <mergeCell ref="A46:C46"/>
    <mergeCell ref="A47:C47"/>
    <mergeCell ref="A49:C49"/>
    <mergeCell ref="A50:C50"/>
    <mergeCell ref="A35:C35"/>
    <mergeCell ref="A21:C21"/>
    <mergeCell ref="A22:C22"/>
    <mergeCell ref="A23:C23"/>
    <mergeCell ref="A25:C25"/>
    <mergeCell ref="A26:C26"/>
    <mergeCell ref="A27:C27"/>
    <mergeCell ref="A29:C29"/>
    <mergeCell ref="A30:C30"/>
    <mergeCell ref="A31:C31"/>
    <mergeCell ref="A33:C33"/>
    <mergeCell ref="A34:C34"/>
    <mergeCell ref="A19:C19"/>
    <mergeCell ref="A13:C13"/>
    <mergeCell ref="A15:C15"/>
    <mergeCell ref="A17:C17"/>
    <mergeCell ref="A18:C18"/>
    <mergeCell ref="A14:C14"/>
    <mergeCell ref="B7:D7"/>
    <mergeCell ref="B8:D8"/>
    <mergeCell ref="B9:D9"/>
    <mergeCell ref="A12:D12"/>
    <mergeCell ref="A1:A3"/>
    <mergeCell ref="B1:D1"/>
    <mergeCell ref="B5:D5"/>
    <mergeCell ref="B3:C3"/>
    <mergeCell ref="B2:D2"/>
    <mergeCell ref="B6:D6"/>
  </mergeCells>
  <hyperlinks>
    <hyperlink ref="E1" location="ins" display="Instructivo" xr:uid="{00000000-0004-0000-1300-000000000000}"/>
  </hyperlinks>
  <printOptions horizontalCentered="1"/>
  <pageMargins left="0" right="0" top="0" bottom="0" header="0" footer="0"/>
  <pageSetup fitToHeight="0" orientation="landscape" horizontalDpi="4294967294" verticalDpi="4294967294" r:id="rId1"/>
  <drawing r:id="rId2"/>
  <legacy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Hoja15">
    <tabColor theme="5" tint="0.39997558519241921"/>
    <pageSetUpPr fitToPage="1"/>
  </sheetPr>
  <dimension ref="A1:I48"/>
  <sheetViews>
    <sheetView showGridLines="0" zoomScaleNormal="100" workbookViewId="0">
      <selection activeCell="A17" sqref="A17:E17"/>
    </sheetView>
  </sheetViews>
  <sheetFormatPr baseColWidth="10" defaultColWidth="18.83203125" defaultRowHeight="18" customHeight="1" x14ac:dyDescent="0.2"/>
  <cols>
    <col min="1" max="1" width="10.83203125" style="16" customWidth="1"/>
    <col min="2" max="2" width="26.6640625" style="16" customWidth="1"/>
    <col min="3" max="7" width="18.83203125" style="16"/>
    <col min="8" max="8" width="10.83203125" style="16" customWidth="1"/>
    <col min="9" max="16384" width="18.83203125" style="16"/>
  </cols>
  <sheetData>
    <row r="1" spans="1:9" ht="18" customHeight="1" x14ac:dyDescent="0.2">
      <c r="A1" s="1546"/>
      <c r="B1" s="1564"/>
      <c r="C1" s="1567" t="s">
        <v>0</v>
      </c>
      <c r="D1" s="1567"/>
      <c r="E1" s="1567"/>
      <c r="F1" s="1567"/>
      <c r="G1" s="1567"/>
      <c r="H1" s="1568"/>
      <c r="I1" s="339" t="s">
        <v>104</v>
      </c>
    </row>
    <row r="2" spans="1:9" ht="18" customHeight="1" x14ac:dyDescent="0.2">
      <c r="A2" s="1547"/>
      <c r="B2" s="1565"/>
      <c r="C2" s="1569" t="s">
        <v>804</v>
      </c>
      <c r="D2" s="1569"/>
      <c r="E2" s="1569"/>
      <c r="F2" s="1569"/>
      <c r="G2" s="1569"/>
      <c r="H2" s="1570"/>
    </row>
    <row r="3" spans="1:9" ht="18" customHeight="1" thickBot="1" x14ac:dyDescent="0.25">
      <c r="A3" s="1548"/>
      <c r="B3" s="1566"/>
      <c r="C3" s="1571" t="s">
        <v>2</v>
      </c>
      <c r="D3" s="1571"/>
      <c r="E3" s="1571"/>
      <c r="F3" s="1571"/>
      <c r="G3" s="1571" t="str">
        <f>Instructivo!G3</f>
        <v>VERSIÓN: 04</v>
      </c>
      <c r="H3" s="1572"/>
    </row>
    <row r="4" spans="1:9" ht="18" customHeight="1" x14ac:dyDescent="0.2">
      <c r="A4" s="42"/>
      <c r="B4" s="42"/>
      <c r="C4" s="39"/>
      <c r="D4" s="39"/>
      <c r="E4" s="39"/>
      <c r="F4" s="39"/>
      <c r="G4" s="39"/>
      <c r="H4" s="39"/>
    </row>
    <row r="5" spans="1:9" ht="18" customHeight="1" x14ac:dyDescent="0.2">
      <c r="A5" s="42"/>
      <c r="B5" s="42"/>
      <c r="C5" s="39"/>
      <c r="D5" s="39"/>
      <c r="E5" s="39"/>
      <c r="F5" s="39"/>
      <c r="G5" s="39"/>
      <c r="H5" s="39"/>
    </row>
    <row r="6" spans="1:9" ht="18" customHeight="1" thickBot="1" x14ac:dyDescent="0.25"/>
    <row r="7" spans="1:9" ht="18" customHeight="1" x14ac:dyDescent="0.2">
      <c r="A7" s="20"/>
      <c r="B7" s="21"/>
      <c r="C7" s="21"/>
      <c r="D7" s="21"/>
      <c r="E7" s="21"/>
      <c r="F7" s="21"/>
      <c r="G7" s="21"/>
      <c r="H7" s="22"/>
    </row>
    <row r="8" spans="1:9" ht="18" customHeight="1" x14ac:dyDescent="0.2">
      <c r="A8" s="23"/>
      <c r="B8" s="1561" t="s">
        <v>405</v>
      </c>
      <c r="C8" s="1561"/>
      <c r="D8" s="1561"/>
      <c r="E8" s="1561"/>
      <c r="F8" s="1561"/>
      <c r="G8" s="1561"/>
      <c r="H8" s="24"/>
    </row>
    <row r="9" spans="1:9" ht="26.25" customHeight="1" x14ac:dyDescent="0.2">
      <c r="A9" s="23"/>
      <c r="B9" s="1560" t="s">
        <v>805</v>
      </c>
      <c r="C9" s="1561"/>
      <c r="D9" s="1561"/>
      <c r="E9" s="1561"/>
      <c r="F9" s="1561"/>
      <c r="G9" s="1561"/>
      <c r="H9" s="24"/>
    </row>
    <row r="10" spans="1:9" ht="18" customHeight="1" x14ac:dyDescent="0.2">
      <c r="A10" s="23"/>
      <c r="H10" s="24"/>
    </row>
    <row r="11" spans="1:9" ht="18" customHeight="1" x14ac:dyDescent="0.2">
      <c r="A11" s="23"/>
      <c r="B11" s="25" t="s">
        <v>806</v>
      </c>
      <c r="C11" s="1562" t="s">
        <v>807</v>
      </c>
      <c r="D11" s="1562"/>
      <c r="E11" s="1562"/>
      <c r="F11" s="1562"/>
      <c r="G11" s="1562"/>
      <c r="H11" s="24"/>
    </row>
    <row r="12" spans="1:9" ht="18" customHeight="1" thickBot="1" x14ac:dyDescent="0.25">
      <c r="A12" s="23"/>
      <c r="B12" s="25" t="s">
        <v>662</v>
      </c>
      <c r="C12" s="46"/>
      <c r="D12" s="26"/>
      <c r="E12" s="26"/>
      <c r="F12" s="25" t="s">
        <v>808</v>
      </c>
      <c r="G12" s="47"/>
      <c r="H12" s="24"/>
    </row>
    <row r="13" spans="1:9" ht="18" customHeight="1" thickBot="1" x14ac:dyDescent="0.25">
      <c r="A13" s="23"/>
      <c r="B13" s="25" t="s">
        <v>809</v>
      </c>
      <c r="C13" s="1563"/>
      <c r="D13" s="1563"/>
      <c r="E13" s="1563"/>
      <c r="F13" s="1563"/>
      <c r="G13" s="1563"/>
      <c r="H13" s="24"/>
    </row>
    <row r="14" spans="1:9" ht="18" customHeight="1" x14ac:dyDescent="0.2">
      <c r="A14" s="23"/>
      <c r="B14" s="25"/>
      <c r="H14" s="24"/>
    </row>
    <row r="15" spans="1:9" ht="18" customHeight="1" thickBot="1" x14ac:dyDescent="0.25">
      <c r="A15" s="23"/>
      <c r="B15" s="25" t="s">
        <v>810</v>
      </c>
      <c r="C15" s="26"/>
      <c r="D15" s="26"/>
      <c r="H15" s="24"/>
    </row>
    <row r="16" spans="1:9" ht="18" customHeight="1" x14ac:dyDescent="0.2">
      <c r="A16" s="23"/>
      <c r="B16" s="25"/>
      <c r="H16" s="24"/>
    </row>
    <row r="17" spans="1:8" ht="18" customHeight="1" thickBot="1" x14ac:dyDescent="0.25">
      <c r="A17" s="23"/>
      <c r="B17" s="25" t="s">
        <v>811</v>
      </c>
      <c r="C17" s="26"/>
      <c r="H17" s="24"/>
    </row>
    <row r="18" spans="1:8" ht="18" customHeight="1" x14ac:dyDescent="0.2">
      <c r="A18" s="23"/>
      <c r="B18" s="25"/>
      <c r="H18" s="24"/>
    </row>
    <row r="19" spans="1:8" ht="18" customHeight="1" thickBot="1" x14ac:dyDescent="0.25">
      <c r="A19" s="23"/>
      <c r="B19" s="25" t="s">
        <v>812</v>
      </c>
      <c r="C19" s="26" t="s">
        <v>813</v>
      </c>
      <c r="D19" s="26"/>
      <c r="E19" s="26"/>
      <c r="F19" s="26"/>
      <c r="G19" s="26"/>
      <c r="H19" s="24"/>
    </row>
    <row r="20" spans="1:8" ht="18" customHeight="1" x14ac:dyDescent="0.2">
      <c r="A20" s="23"/>
      <c r="B20" s="25"/>
      <c r="H20" s="24"/>
    </row>
    <row r="21" spans="1:8" ht="18" customHeight="1" thickBot="1" x14ac:dyDescent="0.25">
      <c r="A21" s="23"/>
      <c r="B21" s="25" t="s">
        <v>814</v>
      </c>
      <c r="C21" s="26"/>
      <c r="D21" s="26"/>
      <c r="E21" s="26"/>
      <c r="F21" s="26"/>
      <c r="G21" s="26"/>
      <c r="H21" s="24"/>
    </row>
    <row r="22" spans="1:8" ht="18" customHeight="1" x14ac:dyDescent="0.2">
      <c r="A22" s="23"/>
      <c r="B22" s="25"/>
      <c r="H22" s="24"/>
    </row>
    <row r="23" spans="1:8" ht="18" customHeight="1" thickBot="1" x14ac:dyDescent="0.25">
      <c r="A23" s="23"/>
      <c r="B23" s="25" t="s">
        <v>815</v>
      </c>
      <c r="C23" s="26"/>
      <c r="D23" s="26"/>
      <c r="E23" s="26"/>
      <c r="F23" s="26"/>
      <c r="G23" s="26"/>
      <c r="H23" s="24"/>
    </row>
    <row r="24" spans="1:8" ht="18" customHeight="1" x14ac:dyDescent="0.2">
      <c r="A24" s="23"/>
      <c r="H24" s="24"/>
    </row>
    <row r="25" spans="1:8" ht="18" customHeight="1" thickBot="1" x14ac:dyDescent="0.25">
      <c r="A25" s="27"/>
      <c r="B25" s="26"/>
      <c r="C25" s="26"/>
      <c r="D25" s="26"/>
      <c r="E25" s="26"/>
      <c r="F25" s="26"/>
      <c r="G25" s="26"/>
      <c r="H25" s="28"/>
    </row>
    <row r="27" spans="1:8" ht="18" customHeight="1" x14ac:dyDescent="0.2">
      <c r="A27" s="45"/>
      <c r="B27" s="45"/>
      <c r="C27" s="45"/>
      <c r="D27" s="45"/>
      <c r="E27" s="45"/>
      <c r="F27" s="45"/>
      <c r="G27" s="45"/>
      <c r="H27" s="45"/>
    </row>
    <row r="29" spans="1:8" ht="18" customHeight="1" thickBot="1" x14ac:dyDescent="0.25"/>
    <row r="30" spans="1:8" ht="18" customHeight="1" x14ac:dyDescent="0.2">
      <c r="A30" s="20"/>
      <c r="B30" s="21"/>
      <c r="C30" s="21"/>
      <c r="D30" s="21"/>
      <c r="E30" s="21"/>
      <c r="F30" s="21"/>
      <c r="G30" s="21"/>
      <c r="H30" s="22"/>
    </row>
    <row r="31" spans="1:8" ht="18" customHeight="1" x14ac:dyDescent="0.2">
      <c r="A31" s="23"/>
      <c r="B31" s="1561" t="s">
        <v>405</v>
      </c>
      <c r="C31" s="1561"/>
      <c r="D31" s="1561"/>
      <c r="E31" s="1561"/>
      <c r="F31" s="1561"/>
      <c r="G31" s="1561"/>
      <c r="H31" s="24"/>
    </row>
    <row r="32" spans="1:8" ht="27.75" customHeight="1" x14ac:dyDescent="0.2">
      <c r="A32" s="23"/>
      <c r="B32" s="1560" t="s">
        <v>805</v>
      </c>
      <c r="C32" s="1561"/>
      <c r="D32" s="1561"/>
      <c r="E32" s="1561"/>
      <c r="F32" s="1561"/>
      <c r="G32" s="1561"/>
      <c r="H32" s="24"/>
    </row>
    <row r="33" spans="1:8" ht="18" customHeight="1" x14ac:dyDescent="0.2">
      <c r="A33" s="23"/>
      <c r="H33" s="24"/>
    </row>
    <row r="34" spans="1:8" ht="18" customHeight="1" x14ac:dyDescent="0.2">
      <c r="A34" s="23"/>
      <c r="B34" s="25" t="s">
        <v>806</v>
      </c>
      <c r="C34" s="1562" t="s">
        <v>807</v>
      </c>
      <c r="D34" s="1562"/>
      <c r="E34" s="1562"/>
      <c r="F34" s="1562"/>
      <c r="G34" s="1562"/>
      <c r="H34" s="24"/>
    </row>
    <row r="35" spans="1:8" ht="18" customHeight="1" thickBot="1" x14ac:dyDescent="0.25">
      <c r="A35" s="23"/>
      <c r="B35" s="25" t="s">
        <v>662</v>
      </c>
      <c r="C35" s="46"/>
      <c r="D35" s="26"/>
      <c r="E35" s="26"/>
      <c r="F35" s="25" t="s">
        <v>808</v>
      </c>
      <c r="G35" s="47"/>
      <c r="H35" s="24"/>
    </row>
    <row r="36" spans="1:8" ht="18" customHeight="1" thickBot="1" x14ac:dyDescent="0.25">
      <c r="A36" s="23"/>
      <c r="B36" s="25" t="s">
        <v>809</v>
      </c>
      <c r="C36" s="1563"/>
      <c r="D36" s="1563"/>
      <c r="E36" s="1563"/>
      <c r="F36" s="1563"/>
      <c r="G36" s="1563"/>
      <c r="H36" s="24"/>
    </row>
    <row r="37" spans="1:8" ht="18" customHeight="1" x14ac:dyDescent="0.2">
      <c r="A37" s="23"/>
      <c r="B37" s="25"/>
      <c r="H37" s="24"/>
    </row>
    <row r="38" spans="1:8" ht="18" customHeight="1" thickBot="1" x14ac:dyDescent="0.25">
      <c r="A38" s="23"/>
      <c r="B38" s="25" t="s">
        <v>810</v>
      </c>
      <c r="C38" s="26"/>
      <c r="D38" s="26"/>
      <c r="H38" s="24"/>
    </row>
    <row r="39" spans="1:8" ht="18" customHeight="1" x14ac:dyDescent="0.2">
      <c r="A39" s="23"/>
      <c r="B39" s="25"/>
      <c r="H39" s="24"/>
    </row>
    <row r="40" spans="1:8" ht="18" customHeight="1" thickBot="1" x14ac:dyDescent="0.25">
      <c r="A40" s="23"/>
      <c r="B40" s="25" t="s">
        <v>811</v>
      </c>
      <c r="C40" s="26"/>
      <c r="H40" s="24"/>
    </row>
    <row r="41" spans="1:8" ht="18" customHeight="1" x14ac:dyDescent="0.2">
      <c r="A41" s="23"/>
      <c r="B41" s="25"/>
      <c r="H41" s="24"/>
    </row>
    <row r="42" spans="1:8" ht="18" customHeight="1" thickBot="1" x14ac:dyDescent="0.25">
      <c r="A42" s="23"/>
      <c r="B42" s="25" t="s">
        <v>812</v>
      </c>
      <c r="C42" s="26" t="s">
        <v>813</v>
      </c>
      <c r="D42" s="26"/>
      <c r="E42" s="26"/>
      <c r="F42" s="26"/>
      <c r="G42" s="26"/>
      <c r="H42" s="24"/>
    </row>
    <row r="43" spans="1:8" ht="18" customHeight="1" x14ac:dyDescent="0.2">
      <c r="A43" s="23"/>
      <c r="B43" s="25"/>
      <c r="H43" s="24"/>
    </row>
    <row r="44" spans="1:8" ht="18" customHeight="1" thickBot="1" x14ac:dyDescent="0.25">
      <c r="A44" s="23"/>
      <c r="B44" s="25" t="s">
        <v>814</v>
      </c>
      <c r="C44" s="26"/>
      <c r="D44" s="26"/>
      <c r="E44" s="26"/>
      <c r="F44" s="26"/>
      <c r="G44" s="26"/>
      <c r="H44" s="24"/>
    </row>
    <row r="45" spans="1:8" ht="18" customHeight="1" x14ac:dyDescent="0.2">
      <c r="A45" s="23"/>
      <c r="B45" s="25"/>
      <c r="H45" s="24"/>
    </row>
    <row r="46" spans="1:8" ht="18" customHeight="1" thickBot="1" x14ac:dyDescent="0.25">
      <c r="A46" s="23"/>
      <c r="B46" s="25" t="s">
        <v>815</v>
      </c>
      <c r="C46" s="26"/>
      <c r="D46" s="26"/>
      <c r="E46" s="26"/>
      <c r="F46" s="26"/>
      <c r="G46" s="26"/>
      <c r="H46" s="24"/>
    </row>
    <row r="47" spans="1:8" ht="18" customHeight="1" x14ac:dyDescent="0.2">
      <c r="A47" s="23"/>
      <c r="H47" s="24"/>
    </row>
    <row r="48" spans="1:8" ht="18" customHeight="1" thickBot="1" x14ac:dyDescent="0.25">
      <c r="A48" s="27"/>
      <c r="B48" s="26"/>
      <c r="C48" s="26"/>
      <c r="D48" s="26"/>
      <c r="E48" s="26"/>
      <c r="F48" s="26"/>
      <c r="G48" s="26"/>
      <c r="H48" s="28"/>
    </row>
  </sheetData>
  <mergeCells count="13">
    <mergeCell ref="B32:G32"/>
    <mergeCell ref="C34:G34"/>
    <mergeCell ref="C36:G36"/>
    <mergeCell ref="A1:B3"/>
    <mergeCell ref="C1:H1"/>
    <mergeCell ref="C2:H2"/>
    <mergeCell ref="C3:F3"/>
    <mergeCell ref="G3:H3"/>
    <mergeCell ref="B8:G8"/>
    <mergeCell ref="B9:G9"/>
    <mergeCell ref="C13:G13"/>
    <mergeCell ref="C11:G11"/>
    <mergeCell ref="B31:G31"/>
  </mergeCells>
  <hyperlinks>
    <hyperlink ref="I1" location="ins" display="Instructivo" xr:uid="{00000000-0004-0000-1400-000000000000}"/>
  </hyperlinks>
  <printOptions horizontalCentered="1" verticalCentered="1"/>
  <pageMargins left="0.70866141732283472" right="0.70866141732283472" top="0.55118110236220474" bottom="0.55118110236220474" header="0" footer="0"/>
  <pageSetup scale="70" fitToHeight="0" orientation="portrait" horizontalDpi="4294967294" verticalDpi="4294967294"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Hoja16">
    <tabColor theme="5" tint="0.39997558519241921"/>
    <pageSetUpPr fitToPage="1"/>
  </sheetPr>
  <dimension ref="A1:I49"/>
  <sheetViews>
    <sheetView showGridLines="0" zoomScaleNormal="100" workbookViewId="0">
      <selection activeCell="A17" sqref="A17:E17"/>
    </sheetView>
  </sheetViews>
  <sheetFormatPr baseColWidth="10" defaultColWidth="18.83203125" defaultRowHeight="18" customHeight="1" x14ac:dyDescent="0.2"/>
  <cols>
    <col min="1" max="1" width="10.83203125" style="29" customWidth="1"/>
    <col min="2" max="2" width="26.1640625" style="29" customWidth="1"/>
    <col min="3" max="7" width="18.83203125" style="29"/>
    <col min="8" max="8" width="10.83203125" style="29" customWidth="1"/>
    <col min="9" max="16384" width="18.83203125" style="29"/>
  </cols>
  <sheetData>
    <row r="1" spans="1:9" ht="18" customHeight="1" x14ac:dyDescent="0.2">
      <c r="A1" s="1546"/>
      <c r="B1" s="1564"/>
      <c r="C1" s="1567" t="s">
        <v>0</v>
      </c>
      <c r="D1" s="1567"/>
      <c r="E1" s="1567"/>
      <c r="F1" s="1567"/>
      <c r="G1" s="1567"/>
      <c r="H1" s="1568"/>
      <c r="I1" s="339" t="s">
        <v>104</v>
      </c>
    </row>
    <row r="2" spans="1:9" ht="18" customHeight="1" x14ac:dyDescent="0.2">
      <c r="A2" s="1547"/>
      <c r="B2" s="1565"/>
      <c r="C2" s="1569" t="s">
        <v>816</v>
      </c>
      <c r="D2" s="1569"/>
      <c r="E2" s="1569"/>
      <c r="F2" s="1569"/>
      <c r="G2" s="1569"/>
      <c r="H2" s="1570"/>
    </row>
    <row r="3" spans="1:9" ht="18" customHeight="1" thickBot="1" x14ac:dyDescent="0.25">
      <c r="A3" s="1548"/>
      <c r="B3" s="1566"/>
      <c r="C3" s="1571" t="s">
        <v>2</v>
      </c>
      <c r="D3" s="1571"/>
      <c r="E3" s="1571"/>
      <c r="F3" s="1571"/>
      <c r="G3" s="1571" t="str">
        <f>Instructivo!G3</f>
        <v>VERSIÓN: 04</v>
      </c>
      <c r="H3" s="1572"/>
    </row>
    <row r="4" spans="1:9" ht="18" customHeight="1" x14ac:dyDescent="0.2">
      <c r="A4" s="42"/>
      <c r="B4" s="42"/>
      <c r="C4" s="39"/>
      <c r="D4" s="39"/>
      <c r="E4" s="39"/>
      <c r="F4" s="39"/>
      <c r="G4" s="39"/>
      <c r="H4" s="39"/>
    </row>
    <row r="5" spans="1:9" ht="18" customHeight="1" x14ac:dyDescent="0.2">
      <c r="A5" s="42"/>
      <c r="B5" s="42"/>
      <c r="C5" s="39"/>
      <c r="D5" s="39"/>
      <c r="E5" s="39"/>
      <c r="F5" s="39"/>
      <c r="G5" s="39"/>
      <c r="H5" s="39"/>
    </row>
    <row r="6" spans="1:9" ht="18" customHeight="1" thickBot="1" x14ac:dyDescent="0.25">
      <c r="A6" s="16"/>
      <c r="B6" s="16"/>
      <c r="C6" s="16"/>
      <c r="D6" s="16"/>
      <c r="E6" s="16"/>
      <c r="F6" s="16"/>
      <c r="G6" s="16"/>
      <c r="H6" s="16"/>
    </row>
    <row r="7" spans="1:9" ht="18" customHeight="1" x14ac:dyDescent="0.2">
      <c r="A7" s="20"/>
      <c r="B7" s="21"/>
      <c r="C7" s="21"/>
      <c r="D7" s="21"/>
      <c r="E7" s="21"/>
      <c r="F7" s="21"/>
      <c r="G7" s="21"/>
      <c r="H7" s="22"/>
    </row>
    <row r="8" spans="1:9" ht="18" customHeight="1" x14ac:dyDescent="0.2">
      <c r="A8" s="23"/>
      <c r="B8" s="1561" t="s">
        <v>405</v>
      </c>
      <c r="C8" s="1561"/>
      <c r="D8" s="1561"/>
      <c r="E8" s="1561"/>
      <c r="F8" s="1561"/>
      <c r="G8" s="1561"/>
      <c r="H8" s="24"/>
    </row>
    <row r="9" spans="1:9" ht="27.75" customHeight="1" x14ac:dyDescent="0.2">
      <c r="A9" s="23"/>
      <c r="B9" s="1560" t="s">
        <v>817</v>
      </c>
      <c r="C9" s="1561"/>
      <c r="D9" s="1561"/>
      <c r="E9" s="1561"/>
      <c r="F9" s="1561"/>
      <c r="G9" s="1561"/>
      <c r="H9" s="24"/>
    </row>
    <row r="10" spans="1:9" ht="18" customHeight="1" x14ac:dyDescent="0.2">
      <c r="A10" s="23"/>
      <c r="B10" s="16"/>
      <c r="C10" s="16"/>
      <c r="D10" s="16"/>
      <c r="E10" s="16"/>
      <c r="F10" s="16"/>
      <c r="G10" s="16"/>
      <c r="H10" s="24"/>
    </row>
    <row r="11" spans="1:9" ht="18" customHeight="1" x14ac:dyDescent="0.2">
      <c r="A11" s="23"/>
      <c r="B11" s="25" t="s">
        <v>806</v>
      </c>
      <c r="C11" s="1562" t="s">
        <v>807</v>
      </c>
      <c r="D11" s="1562"/>
      <c r="E11" s="1562"/>
      <c r="F11" s="1562"/>
      <c r="G11" s="1562"/>
      <c r="H11" s="24"/>
    </row>
    <row r="12" spans="1:9" ht="18" customHeight="1" thickBot="1" x14ac:dyDescent="0.25">
      <c r="A12" s="23"/>
      <c r="B12" s="25" t="s">
        <v>662</v>
      </c>
      <c r="C12" s="46"/>
      <c r="D12" s="26"/>
      <c r="E12" s="26"/>
      <c r="F12" s="25" t="s">
        <v>808</v>
      </c>
      <c r="G12" s="47"/>
      <c r="H12" s="24"/>
    </row>
    <row r="13" spans="1:9" ht="18" customHeight="1" thickBot="1" x14ac:dyDescent="0.25">
      <c r="A13" s="23"/>
      <c r="B13" s="25" t="s">
        <v>809</v>
      </c>
      <c r="C13" s="1563"/>
      <c r="D13" s="1563"/>
      <c r="E13" s="1563"/>
      <c r="F13" s="1563"/>
      <c r="G13" s="1563"/>
      <c r="H13" s="24"/>
    </row>
    <row r="14" spans="1:9" ht="18" customHeight="1" x14ac:dyDescent="0.2">
      <c r="A14" s="23"/>
      <c r="B14" s="25"/>
      <c r="C14" s="16"/>
      <c r="D14" s="16"/>
      <c r="E14" s="16"/>
      <c r="F14" s="16"/>
      <c r="G14" s="16"/>
      <c r="H14" s="24"/>
    </row>
    <row r="15" spans="1:9" ht="18" customHeight="1" thickBot="1" x14ac:dyDescent="0.25">
      <c r="A15" s="23"/>
      <c r="B15" s="25" t="s">
        <v>810</v>
      </c>
      <c r="C15" s="26"/>
      <c r="D15" s="26"/>
      <c r="E15" s="16"/>
      <c r="F15" s="16"/>
      <c r="G15" s="16"/>
      <c r="H15" s="24"/>
    </row>
    <row r="16" spans="1:9" ht="18" customHeight="1" x14ac:dyDescent="0.2">
      <c r="A16" s="23"/>
      <c r="B16" s="25"/>
      <c r="C16" s="16"/>
      <c r="D16" s="16"/>
      <c r="E16" s="16"/>
      <c r="F16" s="16"/>
      <c r="G16" s="16"/>
      <c r="H16" s="24"/>
    </row>
    <row r="17" spans="1:8" ht="18" customHeight="1" thickBot="1" x14ac:dyDescent="0.25">
      <c r="A17" s="23"/>
      <c r="B17" s="25" t="s">
        <v>811</v>
      </c>
      <c r="C17" s="26"/>
      <c r="D17" s="16"/>
      <c r="E17" s="16"/>
      <c r="F17" s="16"/>
      <c r="G17" s="16"/>
      <c r="H17" s="24"/>
    </row>
    <row r="18" spans="1:8" ht="18" customHeight="1" x14ac:dyDescent="0.2">
      <c r="A18" s="23"/>
      <c r="B18" s="25"/>
      <c r="C18" s="16"/>
      <c r="D18" s="16"/>
      <c r="E18" s="16"/>
      <c r="F18" s="16"/>
      <c r="G18" s="16"/>
      <c r="H18" s="24"/>
    </row>
    <row r="19" spans="1:8" ht="18" customHeight="1" thickBot="1" x14ac:dyDescent="0.25">
      <c r="A19" s="23"/>
      <c r="B19" s="25" t="s">
        <v>818</v>
      </c>
      <c r="C19" s="26"/>
      <c r="D19" s="26"/>
      <c r="E19" s="26"/>
      <c r="F19" s="26"/>
      <c r="G19" s="26"/>
      <c r="H19" s="24"/>
    </row>
    <row r="20" spans="1:8" ht="18" customHeight="1" x14ac:dyDescent="0.2">
      <c r="A20" s="23"/>
      <c r="B20" s="25"/>
      <c r="C20" s="16"/>
      <c r="D20" s="16"/>
      <c r="E20" s="16"/>
      <c r="F20" s="16"/>
      <c r="G20" s="16"/>
      <c r="H20" s="24"/>
    </row>
    <row r="21" spans="1:8" ht="18" customHeight="1" thickBot="1" x14ac:dyDescent="0.25">
      <c r="A21" s="23"/>
      <c r="B21" s="25" t="s">
        <v>814</v>
      </c>
      <c r="C21" s="26"/>
      <c r="D21" s="26"/>
      <c r="E21" s="26"/>
      <c r="F21" s="26"/>
      <c r="G21" s="26"/>
      <c r="H21" s="24"/>
    </row>
    <row r="22" spans="1:8" ht="18" customHeight="1" x14ac:dyDescent="0.2">
      <c r="A22" s="23"/>
      <c r="B22" s="25"/>
      <c r="C22" s="16"/>
      <c r="D22" s="16"/>
      <c r="E22" s="16"/>
      <c r="F22" s="16"/>
      <c r="G22" s="16"/>
      <c r="H22" s="24"/>
    </row>
    <row r="23" spans="1:8" ht="18" customHeight="1" thickBot="1" x14ac:dyDescent="0.25">
      <c r="A23" s="23"/>
      <c r="B23" s="25" t="s">
        <v>815</v>
      </c>
      <c r="C23" s="26"/>
      <c r="D23" s="26"/>
      <c r="E23" s="26"/>
      <c r="F23" s="26"/>
      <c r="G23" s="26"/>
      <c r="H23" s="24"/>
    </row>
    <row r="24" spans="1:8" ht="18" customHeight="1" x14ac:dyDescent="0.2">
      <c r="A24" s="23"/>
      <c r="B24" s="16"/>
      <c r="C24" s="16"/>
      <c r="D24" s="16"/>
      <c r="E24" s="16"/>
      <c r="F24" s="16"/>
      <c r="G24" s="16"/>
      <c r="H24" s="24"/>
    </row>
    <row r="25" spans="1:8" ht="18" customHeight="1" thickBot="1" x14ac:dyDescent="0.25">
      <c r="A25" s="27"/>
      <c r="B25" s="26"/>
      <c r="C25" s="26"/>
      <c r="D25" s="26"/>
      <c r="E25" s="26"/>
      <c r="F25" s="26"/>
      <c r="G25" s="26"/>
      <c r="H25" s="28"/>
    </row>
    <row r="26" spans="1:8" ht="18" customHeight="1" x14ac:dyDescent="0.2">
      <c r="A26" s="16"/>
      <c r="B26" s="16"/>
      <c r="C26" s="16"/>
      <c r="D26" s="16"/>
      <c r="E26" s="16"/>
      <c r="F26" s="16"/>
      <c r="G26" s="16"/>
      <c r="H26" s="16"/>
    </row>
    <row r="27" spans="1:8" ht="18" customHeight="1" x14ac:dyDescent="0.2">
      <c r="A27" s="45"/>
      <c r="B27" s="45"/>
      <c r="C27" s="45"/>
      <c r="D27" s="45"/>
      <c r="E27" s="45"/>
      <c r="F27" s="45"/>
      <c r="G27" s="45"/>
      <c r="H27" s="45"/>
    </row>
    <row r="28" spans="1:8" ht="18" customHeight="1" x14ac:dyDescent="0.2">
      <c r="A28" s="16"/>
      <c r="B28" s="16"/>
      <c r="C28" s="16"/>
      <c r="D28" s="16"/>
      <c r="E28" s="16"/>
      <c r="F28" s="16"/>
      <c r="G28" s="16"/>
      <c r="H28" s="16"/>
    </row>
    <row r="29" spans="1:8" ht="18" customHeight="1" thickBot="1" x14ac:dyDescent="0.25">
      <c r="A29" s="16"/>
      <c r="B29" s="16"/>
      <c r="C29" s="16"/>
      <c r="D29" s="16"/>
      <c r="E29" s="16"/>
      <c r="F29" s="16"/>
      <c r="G29" s="16"/>
      <c r="H29" s="16"/>
    </row>
    <row r="30" spans="1:8" ht="18" customHeight="1" x14ac:dyDescent="0.2">
      <c r="A30" s="20"/>
      <c r="B30" s="21"/>
      <c r="C30" s="21"/>
      <c r="D30" s="21"/>
      <c r="E30" s="21"/>
      <c r="F30" s="21"/>
      <c r="G30" s="21"/>
      <c r="H30" s="22"/>
    </row>
    <row r="31" spans="1:8" ht="18" customHeight="1" x14ac:dyDescent="0.2">
      <c r="A31" s="23"/>
      <c r="B31" s="1561" t="s">
        <v>405</v>
      </c>
      <c r="C31" s="1561"/>
      <c r="D31" s="1561"/>
      <c r="E31" s="1561"/>
      <c r="F31" s="1561"/>
      <c r="G31" s="1561"/>
      <c r="H31" s="24"/>
    </row>
    <row r="32" spans="1:8" ht="27.75" customHeight="1" x14ac:dyDescent="0.2">
      <c r="A32" s="23"/>
      <c r="B32" s="1560" t="s">
        <v>817</v>
      </c>
      <c r="C32" s="1561"/>
      <c r="D32" s="1561"/>
      <c r="E32" s="1561"/>
      <c r="F32" s="1561"/>
      <c r="G32" s="1561"/>
      <c r="H32" s="24"/>
    </row>
    <row r="33" spans="1:8" ht="18" customHeight="1" x14ac:dyDescent="0.2">
      <c r="A33" s="23"/>
      <c r="B33" s="16"/>
      <c r="C33" s="16"/>
      <c r="D33" s="16"/>
      <c r="E33" s="16"/>
      <c r="F33" s="16"/>
      <c r="G33" s="16"/>
      <c r="H33" s="24"/>
    </row>
    <row r="34" spans="1:8" ht="18" customHeight="1" x14ac:dyDescent="0.2">
      <c r="A34" s="23"/>
      <c r="B34" s="25" t="s">
        <v>806</v>
      </c>
      <c r="C34" s="1562" t="s">
        <v>807</v>
      </c>
      <c r="D34" s="1562"/>
      <c r="E34" s="1562"/>
      <c r="F34" s="1562"/>
      <c r="G34" s="1562"/>
      <c r="H34" s="24"/>
    </row>
    <row r="35" spans="1:8" ht="18" customHeight="1" thickBot="1" x14ac:dyDescent="0.25">
      <c r="A35" s="23"/>
      <c r="B35" s="25" t="s">
        <v>662</v>
      </c>
      <c r="C35" s="46"/>
      <c r="D35" s="26"/>
      <c r="E35" s="26"/>
      <c r="F35" s="25" t="s">
        <v>808</v>
      </c>
      <c r="G35" s="47"/>
      <c r="H35" s="24"/>
    </row>
    <row r="36" spans="1:8" ht="18" customHeight="1" thickBot="1" x14ac:dyDescent="0.25">
      <c r="A36" s="23"/>
      <c r="B36" s="25" t="s">
        <v>809</v>
      </c>
      <c r="C36" s="1563"/>
      <c r="D36" s="1563"/>
      <c r="E36" s="1563"/>
      <c r="F36" s="1563"/>
      <c r="G36" s="1563"/>
      <c r="H36" s="24"/>
    </row>
    <row r="37" spans="1:8" ht="18" customHeight="1" x14ac:dyDescent="0.2">
      <c r="A37" s="23"/>
      <c r="B37" s="25"/>
      <c r="C37" s="16"/>
      <c r="D37" s="16"/>
      <c r="E37" s="16"/>
      <c r="F37" s="16"/>
      <c r="G37" s="16"/>
      <c r="H37" s="24"/>
    </row>
    <row r="38" spans="1:8" ht="18" customHeight="1" thickBot="1" x14ac:dyDescent="0.25">
      <c r="A38" s="23"/>
      <c r="B38" s="25" t="s">
        <v>810</v>
      </c>
      <c r="C38" s="26"/>
      <c r="D38" s="26"/>
      <c r="E38" s="16"/>
      <c r="F38" s="16"/>
      <c r="G38" s="16"/>
      <c r="H38" s="24"/>
    </row>
    <row r="39" spans="1:8" ht="18" customHeight="1" x14ac:dyDescent="0.2">
      <c r="A39" s="23"/>
      <c r="B39" s="25"/>
      <c r="C39" s="16"/>
      <c r="D39" s="16"/>
      <c r="E39" s="16"/>
      <c r="F39" s="16"/>
      <c r="G39" s="16"/>
      <c r="H39" s="24"/>
    </row>
    <row r="40" spans="1:8" ht="18" customHeight="1" thickBot="1" x14ac:dyDescent="0.25">
      <c r="A40" s="23"/>
      <c r="B40" s="25" t="s">
        <v>811</v>
      </c>
      <c r="C40" s="26"/>
      <c r="D40" s="16"/>
      <c r="E40" s="16"/>
      <c r="F40" s="16"/>
      <c r="G40" s="16"/>
      <c r="H40" s="24"/>
    </row>
    <row r="41" spans="1:8" ht="18" customHeight="1" x14ac:dyDescent="0.2">
      <c r="A41" s="23"/>
      <c r="B41" s="25"/>
      <c r="C41" s="16"/>
      <c r="D41" s="16"/>
      <c r="E41" s="16"/>
      <c r="F41" s="16"/>
      <c r="G41" s="16"/>
      <c r="H41" s="24"/>
    </row>
    <row r="42" spans="1:8" ht="18" customHeight="1" thickBot="1" x14ac:dyDescent="0.25">
      <c r="A42" s="23"/>
      <c r="B42" s="25" t="s">
        <v>818</v>
      </c>
      <c r="C42" s="26"/>
      <c r="D42" s="26"/>
      <c r="E42" s="26"/>
      <c r="F42" s="26"/>
      <c r="G42" s="26"/>
      <c r="H42" s="24"/>
    </row>
    <row r="43" spans="1:8" ht="18" customHeight="1" x14ac:dyDescent="0.2">
      <c r="A43" s="23"/>
      <c r="B43" s="25"/>
      <c r="C43" s="16"/>
      <c r="D43" s="16"/>
      <c r="E43" s="16"/>
      <c r="F43" s="16"/>
      <c r="G43" s="16"/>
      <c r="H43" s="24"/>
    </row>
    <row r="44" spans="1:8" ht="18" customHeight="1" thickBot="1" x14ac:dyDescent="0.25">
      <c r="A44" s="23"/>
      <c r="B44" s="25" t="s">
        <v>814</v>
      </c>
      <c r="C44" s="26"/>
      <c r="D44" s="26"/>
      <c r="E44" s="26"/>
      <c r="F44" s="26"/>
      <c r="G44" s="26"/>
      <c r="H44" s="24"/>
    </row>
    <row r="45" spans="1:8" ht="18" customHeight="1" x14ac:dyDescent="0.2">
      <c r="A45" s="23"/>
      <c r="B45" s="25"/>
      <c r="C45" s="16"/>
      <c r="D45" s="16"/>
      <c r="E45" s="16"/>
      <c r="F45" s="16"/>
      <c r="G45" s="16"/>
      <c r="H45" s="24"/>
    </row>
    <row r="46" spans="1:8" ht="18" customHeight="1" thickBot="1" x14ac:dyDescent="0.25">
      <c r="A46" s="23"/>
      <c r="B46" s="25" t="s">
        <v>815</v>
      </c>
      <c r="C46" s="26"/>
      <c r="D46" s="26"/>
      <c r="E46" s="26"/>
      <c r="F46" s="26"/>
      <c r="G46" s="26"/>
      <c r="H46" s="24"/>
    </row>
    <row r="47" spans="1:8" ht="18" customHeight="1" x14ac:dyDescent="0.2">
      <c r="A47" s="23"/>
      <c r="B47" s="16"/>
      <c r="C47" s="16"/>
      <c r="D47" s="16"/>
      <c r="E47" s="16"/>
      <c r="F47" s="16"/>
      <c r="G47" s="16"/>
      <c r="H47" s="24"/>
    </row>
    <row r="48" spans="1:8" ht="18" customHeight="1" thickBot="1" x14ac:dyDescent="0.25">
      <c r="A48" s="27"/>
      <c r="B48" s="26"/>
      <c r="C48" s="26"/>
      <c r="D48" s="26"/>
      <c r="E48" s="26"/>
      <c r="F48" s="26"/>
      <c r="G48" s="26"/>
      <c r="H48" s="28"/>
    </row>
    <row r="49" spans="1:8" ht="18" customHeight="1" x14ac:dyDescent="0.2">
      <c r="A49" s="16"/>
      <c r="B49" s="16"/>
      <c r="C49" s="16"/>
      <c r="D49" s="16"/>
      <c r="E49" s="16"/>
      <c r="F49" s="16"/>
      <c r="G49" s="16"/>
      <c r="H49" s="16"/>
    </row>
  </sheetData>
  <mergeCells count="13">
    <mergeCell ref="B32:G32"/>
    <mergeCell ref="C34:G34"/>
    <mergeCell ref="C36:G36"/>
    <mergeCell ref="A1:B3"/>
    <mergeCell ref="C3:F3"/>
    <mergeCell ref="C1:H1"/>
    <mergeCell ref="C2:H2"/>
    <mergeCell ref="G3:H3"/>
    <mergeCell ref="B8:G8"/>
    <mergeCell ref="B9:G9"/>
    <mergeCell ref="C11:G11"/>
    <mergeCell ref="C13:G13"/>
    <mergeCell ref="B31:G31"/>
  </mergeCells>
  <hyperlinks>
    <hyperlink ref="I1" location="ins" display="Instructivo" xr:uid="{00000000-0004-0000-1500-000000000000}"/>
  </hyperlinks>
  <printOptions horizontalCentered="1"/>
  <pageMargins left="0.70866141732283472" right="0.70866141732283472" top="0.55118110236220474" bottom="0.55118110236220474" header="0" footer="0"/>
  <pageSetup scale="71" fitToHeight="0" orientation="portrait" horizontalDpi="4294967294" verticalDpi="4294967294" r:id="rId1"/>
  <drawing r:id="rId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Hoja17">
    <tabColor theme="7" tint="0.39997558519241921"/>
    <pageSetUpPr fitToPage="1"/>
  </sheetPr>
  <dimension ref="A1:E114"/>
  <sheetViews>
    <sheetView showGridLines="0" zoomScaleNormal="100" workbookViewId="0">
      <selection activeCell="A17" sqref="A17:E17"/>
    </sheetView>
  </sheetViews>
  <sheetFormatPr baseColWidth="10" defaultColWidth="11.5" defaultRowHeight="18" customHeight="1" x14ac:dyDescent="0.2"/>
  <cols>
    <col min="1" max="1" width="31.83203125" style="254" customWidth="1"/>
    <col min="2" max="4" width="24.83203125" style="254" customWidth="1"/>
    <col min="5" max="5" width="18.5" style="254" customWidth="1"/>
    <col min="6" max="16384" width="11.5" style="254"/>
  </cols>
  <sheetData>
    <row r="1" spans="1:5" ht="18" customHeight="1" x14ac:dyDescent="0.2">
      <c r="A1" s="1575"/>
      <c r="B1" s="1430" t="s">
        <v>0</v>
      </c>
      <c r="C1" s="1430"/>
      <c r="D1" s="1431"/>
      <c r="E1" s="339" t="s">
        <v>104</v>
      </c>
    </row>
    <row r="2" spans="1:5" ht="18" customHeight="1" x14ac:dyDescent="0.2">
      <c r="A2" s="1576"/>
      <c r="B2" s="1573" t="s">
        <v>819</v>
      </c>
      <c r="C2" s="1573"/>
      <c r="D2" s="1574"/>
    </row>
    <row r="3" spans="1:5" ht="18" customHeight="1" thickBot="1" x14ac:dyDescent="0.25">
      <c r="A3" s="1577"/>
      <c r="B3" s="1139" t="s">
        <v>2</v>
      </c>
      <c r="C3" s="1139"/>
      <c r="D3" s="718" t="str">
        <f>Instructivo!G3</f>
        <v>VERSIÓN: 04</v>
      </c>
    </row>
    <row r="4" spans="1:5" ht="6" customHeight="1" x14ac:dyDescent="0.2">
      <c r="A4" s="255"/>
      <c r="B4" s="255"/>
    </row>
    <row r="5" spans="1:5" ht="18" customHeight="1" x14ac:dyDescent="0.2">
      <c r="A5" s="783" t="s">
        <v>820</v>
      </c>
      <c r="B5" s="1578">
        <f>Honorarios!B5</f>
        <v>2023</v>
      </c>
      <c r="C5" s="1578"/>
      <c r="D5" s="1578"/>
    </row>
    <row r="6" spans="1:5" ht="18" customHeight="1" x14ac:dyDescent="0.2">
      <c r="A6" s="783" t="s">
        <v>821</v>
      </c>
      <c r="B6" s="1578" t="s">
        <v>822</v>
      </c>
      <c r="C6" s="1578"/>
      <c r="D6" s="1578"/>
    </row>
    <row r="7" spans="1:5" ht="6" customHeight="1" x14ac:dyDescent="0.2"/>
    <row r="8" spans="1:5" ht="18" customHeight="1" x14ac:dyDescent="0.2">
      <c r="A8" s="1579" t="s">
        <v>823</v>
      </c>
      <c r="B8" s="1579"/>
      <c r="C8" s="1579"/>
      <c r="D8" s="1579"/>
    </row>
    <row r="9" spans="1:5" ht="54.75" customHeight="1" x14ac:dyDescent="0.2">
      <c r="A9" s="438" t="s">
        <v>824</v>
      </c>
      <c r="B9" s="438" t="s">
        <v>825</v>
      </c>
      <c r="C9" s="438" t="s">
        <v>826</v>
      </c>
      <c r="D9" s="438" t="s">
        <v>827</v>
      </c>
    </row>
    <row r="10" spans="1:5" ht="18" customHeight="1" x14ac:dyDescent="0.2">
      <c r="A10" s="785" t="s">
        <v>828</v>
      </c>
      <c r="B10" s="439">
        <v>43000</v>
      </c>
      <c r="C10" s="439">
        <v>98000</v>
      </c>
      <c r="D10" s="439">
        <v>153000</v>
      </c>
    </row>
    <row r="11" spans="1:5" ht="18" customHeight="1" x14ac:dyDescent="0.2">
      <c r="A11" s="785" t="s">
        <v>829</v>
      </c>
      <c r="B11" s="439">
        <v>141000</v>
      </c>
      <c r="C11" s="439">
        <v>196000</v>
      </c>
      <c r="D11" s="439">
        <v>251000</v>
      </c>
    </row>
    <row r="12" spans="1:5" ht="18" customHeight="1" x14ac:dyDescent="0.2">
      <c r="A12" s="785" t="s">
        <v>830</v>
      </c>
      <c r="B12" s="439">
        <v>71000</v>
      </c>
      <c r="C12" s="439">
        <v>126000</v>
      </c>
      <c r="D12" s="439">
        <v>181000</v>
      </c>
    </row>
    <row r="13" spans="1:5" ht="18" customHeight="1" x14ac:dyDescent="0.2">
      <c r="A13" s="785" t="s">
        <v>831</v>
      </c>
      <c r="B13" s="439">
        <v>43000</v>
      </c>
      <c r="C13" s="439">
        <v>98000</v>
      </c>
      <c r="D13" s="439">
        <v>153000</v>
      </c>
    </row>
    <row r="14" spans="1:5" ht="18" customHeight="1" x14ac:dyDescent="0.2">
      <c r="A14" s="785" t="s">
        <v>832</v>
      </c>
      <c r="B14" s="439">
        <v>153000</v>
      </c>
      <c r="C14" s="439">
        <v>208000</v>
      </c>
      <c r="D14" s="439">
        <v>263000</v>
      </c>
    </row>
    <row r="15" spans="1:5" ht="18" customHeight="1" x14ac:dyDescent="0.2">
      <c r="A15" s="785" t="s">
        <v>833</v>
      </c>
      <c r="B15" s="439">
        <v>108000</v>
      </c>
      <c r="C15" s="439">
        <v>163000</v>
      </c>
      <c r="D15" s="439">
        <v>218000</v>
      </c>
    </row>
    <row r="16" spans="1:5" ht="18" customHeight="1" x14ac:dyDescent="0.2">
      <c r="A16" s="785" t="s">
        <v>834</v>
      </c>
      <c r="B16" s="439">
        <v>71000</v>
      </c>
      <c r="C16" s="439">
        <v>126000</v>
      </c>
      <c r="D16" s="439">
        <v>181000</v>
      </c>
    </row>
    <row r="17" spans="1:4" ht="18" customHeight="1" x14ac:dyDescent="0.2">
      <c r="A17" s="785" t="s">
        <v>835</v>
      </c>
      <c r="B17" s="439">
        <v>59000</v>
      </c>
      <c r="C17" s="439">
        <v>114000</v>
      </c>
      <c r="D17" s="439">
        <v>169000</v>
      </c>
    </row>
    <row r="18" spans="1:4" ht="18" customHeight="1" x14ac:dyDescent="0.2">
      <c r="A18" s="785" t="s">
        <v>836</v>
      </c>
      <c r="B18" s="439">
        <v>77000</v>
      </c>
      <c r="C18" s="439">
        <v>132000</v>
      </c>
      <c r="D18" s="439" t="s">
        <v>419</v>
      </c>
    </row>
    <row r="19" spans="1:4" ht="18" customHeight="1" x14ac:dyDescent="0.2">
      <c r="A19" s="785" t="s">
        <v>837</v>
      </c>
      <c r="B19" s="439">
        <v>43000</v>
      </c>
      <c r="C19" s="439">
        <v>70000</v>
      </c>
      <c r="D19" s="439" t="s">
        <v>419</v>
      </c>
    </row>
    <row r="20" spans="1:4" ht="18" customHeight="1" x14ac:dyDescent="0.2">
      <c r="A20" s="785" t="s">
        <v>838</v>
      </c>
      <c r="B20" s="439">
        <v>41000</v>
      </c>
      <c r="C20" s="439">
        <v>96000</v>
      </c>
      <c r="D20" s="439">
        <v>151000</v>
      </c>
    </row>
    <row r="21" spans="1:4" ht="18" customHeight="1" x14ac:dyDescent="0.2">
      <c r="A21" s="785" t="s">
        <v>839</v>
      </c>
      <c r="B21" s="439">
        <v>77000</v>
      </c>
      <c r="C21" s="439">
        <v>132000</v>
      </c>
      <c r="D21" s="439">
        <v>187000</v>
      </c>
    </row>
    <row r="22" spans="1:4" ht="18" customHeight="1" x14ac:dyDescent="0.2">
      <c r="A22" s="785" t="s">
        <v>840</v>
      </c>
      <c r="B22" s="439">
        <v>75000</v>
      </c>
      <c r="C22" s="439">
        <v>130000</v>
      </c>
      <c r="D22" s="439">
        <v>185000</v>
      </c>
    </row>
    <row r="23" spans="1:4" ht="18" customHeight="1" x14ac:dyDescent="0.2">
      <c r="A23" s="785" t="s">
        <v>841</v>
      </c>
      <c r="B23" s="439">
        <v>73000</v>
      </c>
      <c r="C23" s="439">
        <v>128000</v>
      </c>
      <c r="D23" s="439">
        <v>183000</v>
      </c>
    </row>
    <row r="24" spans="1:4" ht="18" customHeight="1" x14ac:dyDescent="0.2">
      <c r="A24" s="785" t="s">
        <v>842</v>
      </c>
      <c r="B24" s="439">
        <v>71000</v>
      </c>
      <c r="C24" s="439">
        <v>126000</v>
      </c>
      <c r="D24" s="439">
        <v>181000</v>
      </c>
    </row>
    <row r="25" spans="1:4" ht="18" customHeight="1" x14ac:dyDescent="0.2">
      <c r="A25" s="785" t="s">
        <v>843</v>
      </c>
      <c r="B25" s="439">
        <v>189000</v>
      </c>
      <c r="C25" s="439">
        <v>244000</v>
      </c>
      <c r="D25" s="439">
        <v>299000</v>
      </c>
    </row>
    <row r="26" spans="1:4" ht="18" customHeight="1" x14ac:dyDescent="0.2">
      <c r="A26" s="785" t="s">
        <v>844</v>
      </c>
      <c r="B26" s="439">
        <v>73000</v>
      </c>
      <c r="C26" s="439">
        <v>128000</v>
      </c>
      <c r="D26" s="439">
        <v>183000</v>
      </c>
    </row>
    <row r="27" spans="1:4" ht="18" customHeight="1" x14ac:dyDescent="0.2">
      <c r="A27" s="785" t="s">
        <v>845</v>
      </c>
      <c r="B27" s="439">
        <v>63000</v>
      </c>
      <c r="C27" s="439">
        <v>118000</v>
      </c>
      <c r="D27" s="439" t="s">
        <v>419</v>
      </c>
    </row>
    <row r="28" spans="1:4" ht="18" customHeight="1" x14ac:dyDescent="0.2">
      <c r="A28" s="785" t="s">
        <v>846</v>
      </c>
      <c r="B28" s="439">
        <v>153000</v>
      </c>
      <c r="C28" s="439">
        <v>208000</v>
      </c>
      <c r="D28" s="439">
        <v>263000</v>
      </c>
    </row>
    <row r="29" spans="1:4" ht="18" customHeight="1" x14ac:dyDescent="0.2">
      <c r="A29" s="785" t="s">
        <v>847</v>
      </c>
      <c r="B29" s="439">
        <v>141000</v>
      </c>
      <c r="C29" s="439">
        <v>196000</v>
      </c>
      <c r="D29" s="439">
        <v>251000</v>
      </c>
    </row>
    <row r="30" spans="1:4" ht="18" customHeight="1" x14ac:dyDescent="0.2">
      <c r="A30" s="785" t="s">
        <v>848</v>
      </c>
      <c r="B30" s="439">
        <v>115000</v>
      </c>
      <c r="C30" s="439">
        <v>170000</v>
      </c>
      <c r="D30" s="439">
        <v>225000</v>
      </c>
    </row>
    <row r="31" spans="1:4" ht="18" customHeight="1" x14ac:dyDescent="0.2">
      <c r="A31" s="785" t="s">
        <v>849</v>
      </c>
      <c r="B31" s="439">
        <v>84000</v>
      </c>
      <c r="C31" s="439">
        <v>139000</v>
      </c>
      <c r="D31" s="439">
        <v>194000</v>
      </c>
    </row>
    <row r="32" spans="1:4" ht="18" customHeight="1" x14ac:dyDescent="0.2">
      <c r="A32" s="785" t="s">
        <v>850</v>
      </c>
      <c r="B32" s="439">
        <v>204000</v>
      </c>
      <c r="C32" s="439">
        <v>259000</v>
      </c>
      <c r="D32" s="439">
        <v>314000</v>
      </c>
    </row>
    <row r="33" spans="1:4" ht="18" customHeight="1" x14ac:dyDescent="0.2">
      <c r="A33" s="785" t="s">
        <v>851</v>
      </c>
      <c r="B33" s="439">
        <v>109000</v>
      </c>
      <c r="C33" s="439">
        <v>164000</v>
      </c>
      <c r="D33" s="439">
        <v>219000</v>
      </c>
    </row>
    <row r="34" spans="1:4" ht="18" customHeight="1" x14ac:dyDescent="0.2">
      <c r="A34" s="785" t="s">
        <v>852</v>
      </c>
      <c r="B34" s="439">
        <v>77000</v>
      </c>
      <c r="C34" s="439">
        <v>132000</v>
      </c>
      <c r="D34" s="439">
        <v>187000</v>
      </c>
    </row>
    <row r="35" spans="1:4" ht="18" customHeight="1" x14ac:dyDescent="0.2">
      <c r="A35" s="785" t="s">
        <v>853</v>
      </c>
      <c r="B35" s="439">
        <v>65000</v>
      </c>
      <c r="C35" s="439">
        <v>120000</v>
      </c>
      <c r="D35" s="439">
        <v>175000</v>
      </c>
    </row>
    <row r="36" spans="1:4" ht="18" customHeight="1" x14ac:dyDescent="0.2">
      <c r="A36" s="785" t="s">
        <v>854</v>
      </c>
      <c r="B36" s="439">
        <v>44000</v>
      </c>
      <c r="C36" s="439">
        <v>99000</v>
      </c>
      <c r="D36" s="439" t="s">
        <v>419</v>
      </c>
    </row>
    <row r="37" spans="1:4" ht="18" customHeight="1" x14ac:dyDescent="0.2">
      <c r="A37" s="785" t="s">
        <v>855</v>
      </c>
      <c r="B37" s="439">
        <v>33000</v>
      </c>
      <c r="C37" s="439">
        <v>88000</v>
      </c>
      <c r="D37" s="439">
        <v>130000</v>
      </c>
    </row>
    <row r="38" spans="1:4" ht="18" customHeight="1" x14ac:dyDescent="0.2">
      <c r="A38" s="785" t="s">
        <v>856</v>
      </c>
      <c r="B38" s="439">
        <v>65000</v>
      </c>
      <c r="C38" s="439">
        <v>120000</v>
      </c>
      <c r="D38" s="439">
        <v>162000</v>
      </c>
    </row>
    <row r="39" spans="1:4" ht="18" customHeight="1" x14ac:dyDescent="0.2">
      <c r="A39" s="785" t="s">
        <v>857</v>
      </c>
      <c r="B39" s="439">
        <v>253000</v>
      </c>
      <c r="C39" s="439">
        <v>308000</v>
      </c>
      <c r="D39" s="439">
        <v>350000</v>
      </c>
    </row>
    <row r="40" spans="1:4" ht="18" customHeight="1" x14ac:dyDescent="0.2">
      <c r="A40" s="785" t="s">
        <v>858</v>
      </c>
      <c r="B40" s="439">
        <v>41000</v>
      </c>
      <c r="C40" s="439">
        <v>96000</v>
      </c>
      <c r="D40" s="439">
        <v>138000</v>
      </c>
    </row>
    <row r="41" spans="1:4" ht="18" customHeight="1" x14ac:dyDescent="0.2">
      <c r="A41" s="785" t="s">
        <v>859</v>
      </c>
      <c r="B41" s="439">
        <v>43000</v>
      </c>
      <c r="C41" s="439">
        <v>70000</v>
      </c>
      <c r="D41" s="439" t="s">
        <v>419</v>
      </c>
    </row>
    <row r="42" spans="1:4" ht="18" customHeight="1" x14ac:dyDescent="0.2">
      <c r="A42" s="785" t="s">
        <v>860</v>
      </c>
      <c r="B42" s="439">
        <v>80000</v>
      </c>
      <c r="C42" s="439">
        <v>135000</v>
      </c>
      <c r="D42" s="439">
        <v>190000</v>
      </c>
    </row>
    <row r="43" spans="1:4" ht="18" customHeight="1" x14ac:dyDescent="0.2">
      <c r="A43" s="785" t="s">
        <v>861</v>
      </c>
      <c r="B43" s="439">
        <v>65000</v>
      </c>
      <c r="C43" s="439">
        <v>120000</v>
      </c>
      <c r="D43" s="439" t="s">
        <v>419</v>
      </c>
    </row>
    <row r="44" spans="1:4" ht="18" customHeight="1" x14ac:dyDescent="0.2">
      <c r="A44" s="785" t="s">
        <v>862</v>
      </c>
      <c r="B44" s="439">
        <v>77000</v>
      </c>
      <c r="C44" s="439">
        <v>132000</v>
      </c>
      <c r="D44" s="439">
        <v>187000</v>
      </c>
    </row>
    <row r="45" spans="1:4" ht="18" customHeight="1" x14ac:dyDescent="0.2">
      <c r="A45" s="785" t="s">
        <v>863</v>
      </c>
      <c r="B45" s="439">
        <v>90000</v>
      </c>
      <c r="C45" s="439">
        <v>145000</v>
      </c>
      <c r="D45" s="439">
        <v>200000</v>
      </c>
    </row>
    <row r="46" spans="1:4" ht="18" customHeight="1" x14ac:dyDescent="0.2">
      <c r="A46" s="785" t="s">
        <v>864</v>
      </c>
      <c r="B46" s="439">
        <v>43000</v>
      </c>
      <c r="C46" s="439">
        <v>98000</v>
      </c>
      <c r="D46" s="439">
        <v>153000</v>
      </c>
    </row>
    <row r="47" spans="1:4" ht="18" customHeight="1" x14ac:dyDescent="0.2">
      <c r="A47" s="785" t="s">
        <v>865</v>
      </c>
      <c r="B47" s="439">
        <v>65000</v>
      </c>
      <c r="C47" s="439">
        <v>120000</v>
      </c>
      <c r="D47" s="439">
        <v>175000</v>
      </c>
    </row>
    <row r="48" spans="1:4" ht="18" customHeight="1" x14ac:dyDescent="0.2">
      <c r="A48" s="785" t="s">
        <v>866</v>
      </c>
      <c r="B48" s="439">
        <v>43000</v>
      </c>
      <c r="C48" s="439">
        <v>70000</v>
      </c>
      <c r="D48" s="439" t="s">
        <v>419</v>
      </c>
    </row>
    <row r="49" spans="1:4" ht="18" customHeight="1" x14ac:dyDescent="0.2">
      <c r="A49" s="785" t="s">
        <v>867</v>
      </c>
      <c r="B49" s="439">
        <v>190000</v>
      </c>
      <c r="C49" s="439">
        <v>164000</v>
      </c>
      <c r="D49" s="439">
        <v>219000</v>
      </c>
    </row>
    <row r="50" spans="1:4" ht="18" customHeight="1" x14ac:dyDescent="0.2">
      <c r="A50" s="785" t="s">
        <v>868</v>
      </c>
      <c r="B50" s="439">
        <v>82000</v>
      </c>
      <c r="C50" s="439">
        <v>137000</v>
      </c>
      <c r="D50" s="439">
        <v>192000</v>
      </c>
    </row>
    <row r="51" spans="1:4" ht="18" customHeight="1" x14ac:dyDescent="0.2">
      <c r="A51" s="785" t="s">
        <v>869</v>
      </c>
      <c r="B51" s="439">
        <v>90000</v>
      </c>
      <c r="C51" s="439">
        <v>145000</v>
      </c>
      <c r="D51" s="439">
        <v>200000</v>
      </c>
    </row>
    <row r="52" spans="1:4" ht="18" customHeight="1" x14ac:dyDescent="0.2">
      <c r="A52" s="785" t="s">
        <v>870</v>
      </c>
      <c r="B52" s="439">
        <v>77000</v>
      </c>
      <c r="C52" s="439">
        <v>132000</v>
      </c>
      <c r="D52" s="439" t="s">
        <v>419</v>
      </c>
    </row>
    <row r="53" spans="1:4" ht="18" customHeight="1" x14ac:dyDescent="0.2">
      <c r="A53" s="785" t="s">
        <v>871</v>
      </c>
      <c r="B53" s="439">
        <v>65000</v>
      </c>
      <c r="C53" s="439">
        <v>120000</v>
      </c>
      <c r="D53" s="439">
        <v>175000</v>
      </c>
    </row>
    <row r="54" spans="1:4" ht="18" customHeight="1" x14ac:dyDescent="0.2">
      <c r="A54" s="785" t="s">
        <v>872</v>
      </c>
      <c r="B54" s="439">
        <v>73000</v>
      </c>
      <c r="C54" s="439">
        <v>128000</v>
      </c>
      <c r="D54" s="439">
        <v>183000</v>
      </c>
    </row>
    <row r="55" spans="1:4" ht="18" customHeight="1" x14ac:dyDescent="0.2">
      <c r="A55" s="785" t="s">
        <v>873</v>
      </c>
      <c r="B55" s="439">
        <v>126000</v>
      </c>
      <c r="C55" s="439">
        <v>181000</v>
      </c>
      <c r="D55" s="439">
        <v>236000</v>
      </c>
    </row>
    <row r="56" spans="1:4" ht="18" customHeight="1" x14ac:dyDescent="0.2">
      <c r="A56" s="785" t="s">
        <v>874</v>
      </c>
      <c r="B56" s="439">
        <v>29000</v>
      </c>
      <c r="C56" s="439">
        <v>56000</v>
      </c>
      <c r="D56" s="439" t="s">
        <v>419</v>
      </c>
    </row>
    <row r="57" spans="1:4" ht="18" customHeight="1" x14ac:dyDescent="0.2">
      <c r="A57" s="785" t="s">
        <v>875</v>
      </c>
      <c r="B57" s="439">
        <v>42000</v>
      </c>
      <c r="C57" s="439">
        <v>97000</v>
      </c>
      <c r="D57" s="439">
        <v>152000</v>
      </c>
    </row>
    <row r="58" spans="1:4" ht="18" customHeight="1" x14ac:dyDescent="0.2">
      <c r="A58" s="785" t="s">
        <v>876</v>
      </c>
      <c r="B58" s="439">
        <v>253000</v>
      </c>
      <c r="C58" s="439">
        <v>308000</v>
      </c>
      <c r="D58" s="439">
        <v>363000</v>
      </c>
    </row>
    <row r="59" spans="1:4" ht="18" customHeight="1" x14ac:dyDescent="0.2">
      <c r="A59" s="785" t="s">
        <v>877</v>
      </c>
      <c r="B59" s="439">
        <v>57000</v>
      </c>
      <c r="C59" s="439">
        <v>112000</v>
      </c>
      <c r="D59" s="439">
        <v>167000</v>
      </c>
    </row>
    <row r="60" spans="1:4" ht="18" customHeight="1" x14ac:dyDescent="0.2">
      <c r="A60" s="785" t="s">
        <v>878</v>
      </c>
      <c r="B60" s="439">
        <v>84000</v>
      </c>
      <c r="C60" s="439">
        <v>139000</v>
      </c>
      <c r="D60" s="439">
        <v>194000</v>
      </c>
    </row>
    <row r="61" spans="1:4" ht="18" customHeight="1" x14ac:dyDescent="0.2">
      <c r="A61" s="785" t="s">
        <v>879</v>
      </c>
      <c r="B61" s="439">
        <v>77000</v>
      </c>
      <c r="C61" s="439">
        <v>132000</v>
      </c>
      <c r="D61" s="439">
        <v>187000</v>
      </c>
    </row>
    <row r="62" spans="1:4" ht="18" customHeight="1" x14ac:dyDescent="0.2">
      <c r="A62" s="785" t="s">
        <v>880</v>
      </c>
      <c r="B62" s="439">
        <v>65000</v>
      </c>
      <c r="C62" s="439">
        <v>120000</v>
      </c>
      <c r="D62" s="439">
        <v>175000</v>
      </c>
    </row>
    <row r="63" spans="1:4" ht="18" customHeight="1" x14ac:dyDescent="0.2">
      <c r="A63" s="785" t="s">
        <v>881</v>
      </c>
      <c r="B63" s="439">
        <v>115000</v>
      </c>
      <c r="C63" s="439">
        <v>170000</v>
      </c>
      <c r="D63" s="439">
        <v>225000</v>
      </c>
    </row>
    <row r="64" spans="1:4" ht="18" customHeight="1" x14ac:dyDescent="0.2">
      <c r="A64" s="785" t="s">
        <v>882</v>
      </c>
      <c r="B64" s="439">
        <v>90000</v>
      </c>
      <c r="C64" s="439">
        <v>145000</v>
      </c>
      <c r="D64" s="439">
        <v>200000</v>
      </c>
    </row>
    <row r="65" spans="1:4" ht="18" customHeight="1" x14ac:dyDescent="0.2">
      <c r="A65" s="785" t="s">
        <v>883</v>
      </c>
      <c r="B65" s="439">
        <v>49000</v>
      </c>
      <c r="C65" s="439">
        <v>76000</v>
      </c>
      <c r="D65" s="439" t="s">
        <v>419</v>
      </c>
    </row>
    <row r="66" spans="1:4" ht="18" customHeight="1" x14ac:dyDescent="0.2">
      <c r="A66" s="785" t="s">
        <v>884</v>
      </c>
      <c r="B66" s="439">
        <v>65000</v>
      </c>
      <c r="C66" s="439">
        <v>120000</v>
      </c>
      <c r="D66" s="439">
        <v>175000</v>
      </c>
    </row>
    <row r="67" spans="1:4" ht="18" customHeight="1" x14ac:dyDescent="0.2">
      <c r="A67" s="785" t="s">
        <v>885</v>
      </c>
      <c r="B67" s="439">
        <v>51000</v>
      </c>
      <c r="C67" s="439">
        <v>106000</v>
      </c>
      <c r="D67" s="439">
        <v>161000</v>
      </c>
    </row>
    <row r="68" spans="1:4" ht="18" customHeight="1" x14ac:dyDescent="0.2">
      <c r="A68" s="785" t="s">
        <v>886</v>
      </c>
      <c r="B68" s="439">
        <v>51000</v>
      </c>
      <c r="C68" s="439">
        <v>106000</v>
      </c>
      <c r="D68" s="439">
        <v>161000</v>
      </c>
    </row>
    <row r="69" spans="1:4" ht="18" customHeight="1" x14ac:dyDescent="0.2">
      <c r="A69" s="785" t="s">
        <v>887</v>
      </c>
      <c r="B69" s="439">
        <v>115000</v>
      </c>
      <c r="C69" s="439">
        <v>170000</v>
      </c>
      <c r="D69" s="439">
        <v>225000</v>
      </c>
    </row>
    <row r="70" spans="1:4" ht="18" customHeight="1" x14ac:dyDescent="0.2">
      <c r="A70" s="785" t="s">
        <v>888</v>
      </c>
      <c r="B70" s="439">
        <v>39000</v>
      </c>
      <c r="C70" s="439">
        <v>94000</v>
      </c>
      <c r="D70" s="439">
        <v>149000</v>
      </c>
    </row>
    <row r="71" spans="1:4" ht="18" customHeight="1" x14ac:dyDescent="0.2">
      <c r="A71" s="785" t="s">
        <v>889</v>
      </c>
      <c r="B71" s="439">
        <v>51000</v>
      </c>
      <c r="C71" s="439">
        <v>106000</v>
      </c>
      <c r="D71" s="439">
        <v>161000</v>
      </c>
    </row>
    <row r="72" spans="1:4" ht="18" customHeight="1" x14ac:dyDescent="0.2">
      <c r="A72" s="785" t="s">
        <v>890</v>
      </c>
      <c r="B72" s="439">
        <v>51000</v>
      </c>
      <c r="C72" s="439">
        <v>98000</v>
      </c>
      <c r="D72" s="439">
        <v>153000</v>
      </c>
    </row>
    <row r="73" spans="1:4" ht="18" customHeight="1" x14ac:dyDescent="0.2">
      <c r="A73" s="785" t="s">
        <v>891</v>
      </c>
      <c r="B73" s="439">
        <v>43000</v>
      </c>
      <c r="C73" s="439">
        <v>179000</v>
      </c>
      <c r="D73" s="439">
        <v>234000</v>
      </c>
    </row>
    <row r="74" spans="1:4" ht="18" customHeight="1" x14ac:dyDescent="0.2">
      <c r="A74" s="785" t="s">
        <v>892</v>
      </c>
      <c r="B74" s="439">
        <v>124000</v>
      </c>
      <c r="C74" s="439">
        <v>106000</v>
      </c>
      <c r="D74" s="439">
        <v>161000</v>
      </c>
    </row>
    <row r="75" spans="1:4" ht="18" customHeight="1" x14ac:dyDescent="0.2">
      <c r="A75" s="785" t="s">
        <v>893</v>
      </c>
      <c r="B75" s="439">
        <v>51000</v>
      </c>
      <c r="C75" s="439">
        <v>106000</v>
      </c>
      <c r="D75" s="439">
        <v>187000</v>
      </c>
    </row>
    <row r="76" spans="1:4" ht="18" customHeight="1" x14ac:dyDescent="0.2">
      <c r="A76" s="785" t="s">
        <v>894</v>
      </c>
      <c r="B76" s="439">
        <v>77000</v>
      </c>
      <c r="C76" s="439">
        <v>132000</v>
      </c>
      <c r="D76" s="439">
        <v>288000</v>
      </c>
    </row>
    <row r="77" spans="1:4" ht="18" customHeight="1" x14ac:dyDescent="0.2">
      <c r="A77" s="785" t="s">
        <v>895</v>
      </c>
      <c r="B77" s="439">
        <v>178000</v>
      </c>
      <c r="C77" s="439">
        <v>233000</v>
      </c>
      <c r="D77" s="439">
        <v>194000</v>
      </c>
    </row>
    <row r="78" spans="1:4" ht="18" customHeight="1" x14ac:dyDescent="0.2">
      <c r="A78" s="785" t="s">
        <v>896</v>
      </c>
      <c r="B78" s="439">
        <v>84000</v>
      </c>
      <c r="C78" s="439">
        <v>139000</v>
      </c>
      <c r="D78" s="439">
        <v>159000</v>
      </c>
    </row>
    <row r="79" spans="1:4" ht="18" customHeight="1" x14ac:dyDescent="0.2">
      <c r="A79" s="785" t="s">
        <v>897</v>
      </c>
      <c r="B79" s="439">
        <v>49000</v>
      </c>
      <c r="C79" s="439">
        <v>104000</v>
      </c>
      <c r="D79" s="439">
        <v>260000</v>
      </c>
    </row>
    <row r="80" spans="1:4" ht="18" customHeight="1" x14ac:dyDescent="0.2">
      <c r="A80" s="785" t="s">
        <v>898</v>
      </c>
      <c r="B80" s="439">
        <v>150000</v>
      </c>
      <c r="C80" s="439">
        <v>205000</v>
      </c>
      <c r="D80" s="439">
        <v>276000</v>
      </c>
    </row>
    <row r="81" spans="1:4" ht="18" customHeight="1" x14ac:dyDescent="0.2">
      <c r="A81" s="785" t="s">
        <v>899</v>
      </c>
      <c r="B81" s="439">
        <v>166000</v>
      </c>
      <c r="C81" s="439">
        <v>221000</v>
      </c>
      <c r="D81" s="439">
        <v>276000</v>
      </c>
    </row>
    <row r="82" spans="1:4" ht="18" customHeight="1" x14ac:dyDescent="0.2">
      <c r="A82" s="785" t="s">
        <v>900</v>
      </c>
      <c r="B82" s="439">
        <v>102000</v>
      </c>
      <c r="C82" s="439">
        <v>157000</v>
      </c>
      <c r="D82" s="439">
        <v>212000</v>
      </c>
    </row>
    <row r="83" spans="1:4" ht="18" customHeight="1" x14ac:dyDescent="0.2">
      <c r="A83" s="785" t="s">
        <v>901</v>
      </c>
      <c r="B83" s="439">
        <v>80000</v>
      </c>
      <c r="C83" s="439">
        <v>135000</v>
      </c>
      <c r="D83" s="439">
        <v>190000</v>
      </c>
    </row>
    <row r="84" spans="1:4" ht="18" customHeight="1" x14ac:dyDescent="0.2">
      <c r="A84" s="785" t="s">
        <v>902</v>
      </c>
      <c r="B84" s="439">
        <v>90000</v>
      </c>
      <c r="C84" s="439">
        <v>145000</v>
      </c>
      <c r="D84" s="439">
        <v>200000</v>
      </c>
    </row>
    <row r="85" spans="1:4" ht="18" customHeight="1" x14ac:dyDescent="0.2">
      <c r="A85" s="785" t="s">
        <v>903</v>
      </c>
      <c r="B85" s="439">
        <v>80000</v>
      </c>
      <c r="C85" s="439">
        <v>135000</v>
      </c>
      <c r="D85" s="439">
        <v>190000</v>
      </c>
    </row>
    <row r="86" spans="1:4" ht="18" customHeight="1" x14ac:dyDescent="0.2">
      <c r="A86" s="785" t="s">
        <v>904</v>
      </c>
      <c r="B86" s="439">
        <v>72000</v>
      </c>
      <c r="C86" s="439">
        <v>127000</v>
      </c>
      <c r="D86" s="439">
        <v>182000</v>
      </c>
    </row>
    <row r="87" spans="1:4" ht="18" customHeight="1" x14ac:dyDescent="0.2">
      <c r="A87" s="785" t="s">
        <v>905</v>
      </c>
      <c r="B87" s="439">
        <v>59000</v>
      </c>
      <c r="C87" s="439">
        <v>114000</v>
      </c>
      <c r="D87" s="439">
        <v>169000</v>
      </c>
    </row>
    <row r="88" spans="1:4" ht="18" customHeight="1" x14ac:dyDescent="0.2">
      <c r="A88" s="785" t="s">
        <v>906</v>
      </c>
      <c r="B88" s="439">
        <v>266000</v>
      </c>
      <c r="C88" s="439">
        <v>321000</v>
      </c>
      <c r="D88" s="439">
        <v>376000</v>
      </c>
    </row>
    <row r="89" spans="1:4" ht="18" customHeight="1" x14ac:dyDescent="0.2">
      <c r="A89" s="785" t="s">
        <v>907</v>
      </c>
      <c r="B89" s="439">
        <v>253000</v>
      </c>
      <c r="C89" s="439">
        <v>308000</v>
      </c>
      <c r="D89" s="439">
        <v>363000</v>
      </c>
    </row>
    <row r="90" spans="1:4" ht="18" customHeight="1" x14ac:dyDescent="0.2">
      <c r="A90" s="1580" t="s">
        <v>908</v>
      </c>
      <c r="B90" s="1580"/>
      <c r="C90" s="1580"/>
      <c r="D90" s="1580"/>
    </row>
    <row r="91" spans="1:4" ht="42" customHeight="1" x14ac:dyDescent="0.2">
      <c r="A91" s="1581" t="s">
        <v>909</v>
      </c>
      <c r="B91" s="1581"/>
      <c r="C91" s="1581"/>
      <c r="D91" s="1581"/>
    </row>
    <row r="92" spans="1:4" ht="27.75" customHeight="1" x14ac:dyDescent="0.2">
      <c r="A92" s="1583" t="s">
        <v>910</v>
      </c>
      <c r="B92" s="1583"/>
      <c r="C92" s="1583"/>
      <c r="D92" s="1583"/>
    </row>
    <row r="93" spans="1:4" ht="3" customHeight="1" x14ac:dyDescent="0.2">
      <c r="C93" s="257"/>
    </row>
    <row r="94" spans="1:4" ht="18" customHeight="1" x14ac:dyDescent="0.2">
      <c r="A94" s="1579" t="s">
        <v>911</v>
      </c>
      <c r="B94" s="1579"/>
      <c r="C94" s="1579"/>
      <c r="D94" s="1579"/>
    </row>
    <row r="95" spans="1:4" ht="56.25" customHeight="1" x14ac:dyDescent="0.2">
      <c r="A95" s="438" t="s">
        <v>912</v>
      </c>
      <c r="B95" s="438" t="s">
        <v>825</v>
      </c>
      <c r="C95" s="438" t="s">
        <v>826</v>
      </c>
      <c r="D95" s="438" t="s">
        <v>913</v>
      </c>
    </row>
    <row r="96" spans="1:4" ht="18" customHeight="1" x14ac:dyDescent="0.2">
      <c r="A96" s="785" t="s">
        <v>914</v>
      </c>
      <c r="B96" s="439">
        <v>90000</v>
      </c>
      <c r="C96" s="439">
        <v>145000</v>
      </c>
      <c r="D96" s="439" t="s">
        <v>419</v>
      </c>
    </row>
    <row r="97" spans="1:4" ht="18" customHeight="1" x14ac:dyDescent="0.2">
      <c r="A97" s="785" t="s">
        <v>915</v>
      </c>
      <c r="B97" s="439">
        <v>70000</v>
      </c>
      <c r="C97" s="439">
        <v>122000</v>
      </c>
      <c r="D97" s="439">
        <v>125000</v>
      </c>
    </row>
    <row r="98" spans="1:4" ht="18" customHeight="1" x14ac:dyDescent="0.2">
      <c r="A98" s="785" t="s">
        <v>916</v>
      </c>
      <c r="B98" s="439">
        <v>116000</v>
      </c>
      <c r="C98" s="439">
        <v>171000</v>
      </c>
      <c r="D98" s="439">
        <v>226000</v>
      </c>
    </row>
    <row r="99" spans="1:4" ht="18" customHeight="1" x14ac:dyDescent="0.2">
      <c r="A99" s="785" t="s">
        <v>917</v>
      </c>
      <c r="B99" s="439">
        <v>78000</v>
      </c>
      <c r="C99" s="439">
        <v>130000</v>
      </c>
      <c r="D99" s="439">
        <v>178000</v>
      </c>
    </row>
    <row r="100" spans="1:4" ht="18" customHeight="1" x14ac:dyDescent="0.2">
      <c r="A100" s="785" t="s">
        <v>918</v>
      </c>
      <c r="B100" s="439">
        <v>74000</v>
      </c>
      <c r="C100" s="439">
        <v>126000</v>
      </c>
      <c r="D100" s="439">
        <v>184000</v>
      </c>
    </row>
    <row r="101" spans="1:4" ht="18" customHeight="1" x14ac:dyDescent="0.2">
      <c r="A101" s="785" t="s">
        <v>919</v>
      </c>
      <c r="B101" s="439">
        <v>95000</v>
      </c>
      <c r="C101" s="439">
        <v>146000</v>
      </c>
      <c r="D101" s="439">
        <v>205000</v>
      </c>
    </row>
    <row r="102" spans="1:4" ht="18" customHeight="1" x14ac:dyDescent="0.2">
      <c r="A102" s="785" t="s">
        <v>920</v>
      </c>
      <c r="B102" s="439">
        <v>76000</v>
      </c>
      <c r="C102" s="439">
        <v>129000</v>
      </c>
      <c r="D102" s="439">
        <v>186000</v>
      </c>
    </row>
    <row r="103" spans="1:4" ht="18" customHeight="1" x14ac:dyDescent="0.2">
      <c r="A103" s="785" t="s">
        <v>921</v>
      </c>
      <c r="B103" s="439">
        <v>121000</v>
      </c>
      <c r="C103" s="439">
        <v>176000</v>
      </c>
      <c r="D103" s="439">
        <v>231000</v>
      </c>
    </row>
    <row r="104" spans="1:4" ht="18" customHeight="1" x14ac:dyDescent="0.2">
      <c r="A104" s="1580" t="s">
        <v>908</v>
      </c>
      <c r="B104" s="1580"/>
      <c r="C104" s="1580"/>
      <c r="D104" s="1580"/>
    </row>
    <row r="105" spans="1:4" ht="42" customHeight="1" x14ac:dyDescent="0.2">
      <c r="A105" s="1581" t="s">
        <v>909</v>
      </c>
      <c r="B105" s="1581"/>
      <c r="C105" s="1581"/>
      <c r="D105" s="1581"/>
    </row>
    <row r="106" spans="1:4" ht="27" customHeight="1" x14ac:dyDescent="0.2">
      <c r="A106" s="1583" t="s">
        <v>910</v>
      </c>
      <c r="B106" s="1583"/>
      <c r="C106" s="1583"/>
      <c r="D106" s="1583"/>
    </row>
    <row r="107" spans="1:4" ht="3" customHeight="1" x14ac:dyDescent="0.2">
      <c r="C107" s="258"/>
      <c r="D107" s="258"/>
    </row>
    <row r="108" spans="1:4" s="258" customFormat="1" ht="18" customHeight="1" x14ac:dyDescent="0.2">
      <c r="A108" s="1579" t="s">
        <v>922</v>
      </c>
      <c r="B108" s="1579"/>
      <c r="C108" s="1579"/>
      <c r="D108" s="259"/>
    </row>
    <row r="109" spans="1:4" s="258" customFormat="1" ht="52.5" customHeight="1" x14ac:dyDescent="0.2">
      <c r="A109" s="438" t="s">
        <v>825</v>
      </c>
      <c r="B109" s="438" t="s">
        <v>826</v>
      </c>
      <c r="C109" s="438" t="s">
        <v>913</v>
      </c>
      <c r="D109" s="254"/>
    </row>
    <row r="110" spans="1:4" ht="18" customHeight="1" x14ac:dyDescent="0.2">
      <c r="A110" s="440">
        <v>90000</v>
      </c>
      <c r="B110" s="440">
        <v>145000</v>
      </c>
      <c r="C110" s="784">
        <v>200000</v>
      </c>
      <c r="D110" s="260"/>
    </row>
    <row r="111" spans="1:4" ht="21" customHeight="1" x14ac:dyDescent="0.2">
      <c r="A111" s="1580" t="s">
        <v>908</v>
      </c>
      <c r="B111" s="1580"/>
      <c r="C111" s="1580"/>
      <c r="D111" s="261"/>
    </row>
    <row r="112" spans="1:4" ht="54.75" customHeight="1" x14ac:dyDescent="0.2">
      <c r="A112" s="1581" t="s">
        <v>909</v>
      </c>
      <c r="B112" s="1581"/>
      <c r="C112" s="1581"/>
      <c r="D112" s="262"/>
    </row>
    <row r="113" spans="1:4" ht="29.25" customHeight="1" x14ac:dyDescent="0.2">
      <c r="A113" s="1581" t="s">
        <v>910</v>
      </c>
      <c r="B113" s="1581"/>
      <c r="C113" s="1581"/>
      <c r="D113" s="262"/>
    </row>
    <row r="114" spans="1:4" ht="28.5" customHeight="1" x14ac:dyDescent="0.2">
      <c r="A114" s="1582" t="s">
        <v>923</v>
      </c>
      <c r="B114" s="1582"/>
      <c r="C114" s="1582"/>
    </row>
  </sheetData>
  <sheetProtection algorithmName="SHA-512" hashValue="L3GSfTSpcEpFyLK3fNgGccMDb+27iXY6vE6Njv7XbfXHXbe0m28SLRc0RJD10fSZwM4drJaaTr5enHOJoxYZDA==" saltValue="3WYgrov8WxTKafOZOBfxIQ==" spinCount="100000" sheet="1" formatCells="0" formatColumns="0" formatRows="0" insertColumns="0" insertRows="0" insertHyperlinks="0" deleteColumns="0" deleteRows="0" sort="0" autoFilter="0" pivotTables="0"/>
  <mergeCells count="19">
    <mergeCell ref="A108:C108"/>
    <mergeCell ref="A111:C111"/>
    <mergeCell ref="A112:C112"/>
    <mergeCell ref="A114:C114"/>
    <mergeCell ref="B6:D6"/>
    <mergeCell ref="A113:C113"/>
    <mergeCell ref="A8:D8"/>
    <mergeCell ref="A90:D90"/>
    <mergeCell ref="A91:D91"/>
    <mergeCell ref="A92:D92"/>
    <mergeCell ref="A94:D94"/>
    <mergeCell ref="A104:D104"/>
    <mergeCell ref="A105:D105"/>
    <mergeCell ref="A106:D106"/>
    <mergeCell ref="B1:D1"/>
    <mergeCell ref="B2:D2"/>
    <mergeCell ref="B3:C3"/>
    <mergeCell ref="A1:A3"/>
    <mergeCell ref="B5:D5"/>
  </mergeCells>
  <hyperlinks>
    <hyperlink ref="E1" location="ins" display="Instructivo" xr:uid="{00000000-0004-0000-1600-000000000000}"/>
  </hyperlinks>
  <printOptions horizontalCentered="1"/>
  <pageMargins left="0" right="0" top="0" bottom="0" header="0" footer="0"/>
  <pageSetup fitToHeight="0" orientation="landscape" r:id="rId1"/>
  <drawing r:id="rId2"/>
  <legacyDrawing r:id="rId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Hoja18">
    <tabColor theme="7" tint="0.39997558519241921"/>
    <pageSetUpPr fitToPage="1"/>
  </sheetPr>
  <dimension ref="A1:H18"/>
  <sheetViews>
    <sheetView showGridLines="0" zoomScaleNormal="100" workbookViewId="0">
      <selection activeCell="A17" sqref="A17:E17"/>
    </sheetView>
  </sheetViews>
  <sheetFormatPr baseColWidth="10" defaultColWidth="12" defaultRowHeight="20.100000000000001" customHeight="1" x14ac:dyDescent="0.2"/>
  <cols>
    <col min="1" max="1" width="32.6640625" style="71" customWidth="1"/>
    <col min="2" max="3" width="33.83203125" style="71" customWidth="1"/>
    <col min="4" max="4" width="18.83203125" style="71" customWidth="1"/>
    <col min="5" max="5" width="15.6640625" style="71" bestFit="1" customWidth="1"/>
    <col min="6" max="6" width="12" style="71"/>
    <col min="7" max="7" width="15" style="71" bestFit="1" customWidth="1"/>
    <col min="8" max="8" width="22.5" style="71" bestFit="1" customWidth="1"/>
    <col min="9" max="246" width="12" style="71"/>
    <col min="247" max="247" width="36.33203125" style="71" customWidth="1"/>
    <col min="248" max="248" width="22.33203125" style="71" customWidth="1"/>
    <col min="249" max="249" width="12" style="71"/>
    <col min="250" max="250" width="14.33203125" style="71" customWidth="1"/>
    <col min="251" max="502" width="12" style="71"/>
    <col min="503" max="503" width="36.33203125" style="71" customWidth="1"/>
    <col min="504" max="504" width="22.33203125" style="71" customWidth="1"/>
    <col min="505" max="505" width="12" style="71"/>
    <col min="506" max="506" width="14.33203125" style="71" customWidth="1"/>
    <col min="507" max="758" width="12" style="71"/>
    <col min="759" max="759" width="36.33203125" style="71" customWidth="1"/>
    <col min="760" max="760" width="22.33203125" style="71" customWidth="1"/>
    <col min="761" max="761" width="12" style="71"/>
    <col min="762" max="762" width="14.33203125" style="71" customWidth="1"/>
    <col min="763" max="1014" width="12" style="71"/>
    <col min="1015" max="1015" width="36.33203125" style="71" customWidth="1"/>
    <col min="1016" max="1016" width="22.33203125" style="71" customWidth="1"/>
    <col min="1017" max="1017" width="12" style="71"/>
    <col min="1018" max="1018" width="14.33203125" style="71" customWidth="1"/>
    <col min="1019" max="1270" width="12" style="71"/>
    <col min="1271" max="1271" width="36.33203125" style="71" customWidth="1"/>
    <col min="1272" max="1272" width="22.33203125" style="71" customWidth="1"/>
    <col min="1273" max="1273" width="12" style="71"/>
    <col min="1274" max="1274" width="14.33203125" style="71" customWidth="1"/>
    <col min="1275" max="1526" width="12" style="71"/>
    <col min="1527" max="1527" width="36.33203125" style="71" customWidth="1"/>
    <col min="1528" max="1528" width="22.33203125" style="71" customWidth="1"/>
    <col min="1529" max="1529" width="12" style="71"/>
    <col min="1530" max="1530" width="14.33203125" style="71" customWidth="1"/>
    <col min="1531" max="1782" width="12" style="71"/>
    <col min="1783" max="1783" width="36.33203125" style="71" customWidth="1"/>
    <col min="1784" max="1784" width="22.33203125" style="71" customWidth="1"/>
    <col min="1785" max="1785" width="12" style="71"/>
    <col min="1786" max="1786" width="14.33203125" style="71" customWidth="1"/>
    <col min="1787" max="2038" width="12" style="71"/>
    <col min="2039" max="2039" width="36.33203125" style="71" customWidth="1"/>
    <col min="2040" max="2040" width="22.33203125" style="71" customWidth="1"/>
    <col min="2041" max="2041" width="12" style="71"/>
    <col min="2042" max="2042" width="14.33203125" style="71" customWidth="1"/>
    <col min="2043" max="2294" width="12" style="71"/>
    <col min="2295" max="2295" width="36.33203125" style="71" customWidth="1"/>
    <col min="2296" max="2296" width="22.33203125" style="71" customWidth="1"/>
    <col min="2297" max="2297" width="12" style="71"/>
    <col min="2298" max="2298" width="14.33203125" style="71" customWidth="1"/>
    <col min="2299" max="2550" width="12" style="71"/>
    <col min="2551" max="2551" width="36.33203125" style="71" customWidth="1"/>
    <col min="2552" max="2552" width="22.33203125" style="71" customWidth="1"/>
    <col min="2553" max="2553" width="12" style="71"/>
    <col min="2554" max="2554" width="14.33203125" style="71" customWidth="1"/>
    <col min="2555" max="2806" width="12" style="71"/>
    <col min="2807" max="2807" width="36.33203125" style="71" customWidth="1"/>
    <col min="2808" max="2808" width="22.33203125" style="71" customWidth="1"/>
    <col min="2809" max="2809" width="12" style="71"/>
    <col min="2810" max="2810" width="14.33203125" style="71" customWidth="1"/>
    <col min="2811" max="3062" width="12" style="71"/>
    <col min="3063" max="3063" width="36.33203125" style="71" customWidth="1"/>
    <col min="3064" max="3064" width="22.33203125" style="71" customWidth="1"/>
    <col min="3065" max="3065" width="12" style="71"/>
    <col min="3066" max="3066" width="14.33203125" style="71" customWidth="1"/>
    <col min="3067" max="3318" width="12" style="71"/>
    <col min="3319" max="3319" width="36.33203125" style="71" customWidth="1"/>
    <col min="3320" max="3320" width="22.33203125" style="71" customWidth="1"/>
    <col min="3321" max="3321" width="12" style="71"/>
    <col min="3322" max="3322" width="14.33203125" style="71" customWidth="1"/>
    <col min="3323" max="3574" width="12" style="71"/>
    <col min="3575" max="3575" width="36.33203125" style="71" customWidth="1"/>
    <col min="3576" max="3576" width="22.33203125" style="71" customWidth="1"/>
    <col min="3577" max="3577" width="12" style="71"/>
    <col min="3578" max="3578" width="14.33203125" style="71" customWidth="1"/>
    <col min="3579" max="3830" width="12" style="71"/>
    <col min="3831" max="3831" width="36.33203125" style="71" customWidth="1"/>
    <col min="3832" max="3832" width="22.33203125" style="71" customWidth="1"/>
    <col min="3833" max="3833" width="12" style="71"/>
    <col min="3834" max="3834" width="14.33203125" style="71" customWidth="1"/>
    <col min="3835" max="4086" width="12" style="71"/>
    <col min="4087" max="4087" width="36.33203125" style="71" customWidth="1"/>
    <col min="4088" max="4088" width="22.33203125" style="71" customWidth="1"/>
    <col min="4089" max="4089" width="12" style="71"/>
    <col min="4090" max="4090" width="14.33203125" style="71" customWidth="1"/>
    <col min="4091" max="4342" width="12" style="71"/>
    <col min="4343" max="4343" width="36.33203125" style="71" customWidth="1"/>
    <col min="4344" max="4344" width="22.33203125" style="71" customWidth="1"/>
    <col min="4345" max="4345" width="12" style="71"/>
    <col min="4346" max="4346" width="14.33203125" style="71" customWidth="1"/>
    <col min="4347" max="4598" width="12" style="71"/>
    <col min="4599" max="4599" width="36.33203125" style="71" customWidth="1"/>
    <col min="4600" max="4600" width="22.33203125" style="71" customWidth="1"/>
    <col min="4601" max="4601" width="12" style="71"/>
    <col min="4602" max="4602" width="14.33203125" style="71" customWidth="1"/>
    <col min="4603" max="4854" width="12" style="71"/>
    <col min="4855" max="4855" width="36.33203125" style="71" customWidth="1"/>
    <col min="4856" max="4856" width="22.33203125" style="71" customWidth="1"/>
    <col min="4857" max="4857" width="12" style="71"/>
    <col min="4858" max="4858" width="14.33203125" style="71" customWidth="1"/>
    <col min="4859" max="5110" width="12" style="71"/>
    <col min="5111" max="5111" width="36.33203125" style="71" customWidth="1"/>
    <col min="5112" max="5112" width="22.33203125" style="71" customWidth="1"/>
    <col min="5113" max="5113" width="12" style="71"/>
    <col min="5114" max="5114" width="14.33203125" style="71" customWidth="1"/>
    <col min="5115" max="5366" width="12" style="71"/>
    <col min="5367" max="5367" width="36.33203125" style="71" customWidth="1"/>
    <col min="5368" max="5368" width="22.33203125" style="71" customWidth="1"/>
    <col min="5369" max="5369" width="12" style="71"/>
    <col min="5370" max="5370" width="14.33203125" style="71" customWidth="1"/>
    <col min="5371" max="5622" width="12" style="71"/>
    <col min="5623" max="5623" width="36.33203125" style="71" customWidth="1"/>
    <col min="5624" max="5624" width="22.33203125" style="71" customWidth="1"/>
    <col min="5625" max="5625" width="12" style="71"/>
    <col min="5626" max="5626" width="14.33203125" style="71" customWidth="1"/>
    <col min="5627" max="5878" width="12" style="71"/>
    <col min="5879" max="5879" width="36.33203125" style="71" customWidth="1"/>
    <col min="5880" max="5880" width="22.33203125" style="71" customWidth="1"/>
    <col min="5881" max="5881" width="12" style="71"/>
    <col min="5882" max="5882" width="14.33203125" style="71" customWidth="1"/>
    <col min="5883" max="6134" width="12" style="71"/>
    <col min="6135" max="6135" width="36.33203125" style="71" customWidth="1"/>
    <col min="6136" max="6136" width="22.33203125" style="71" customWidth="1"/>
    <col min="6137" max="6137" width="12" style="71"/>
    <col min="6138" max="6138" width="14.33203125" style="71" customWidth="1"/>
    <col min="6139" max="6390" width="12" style="71"/>
    <col min="6391" max="6391" width="36.33203125" style="71" customWidth="1"/>
    <col min="6392" max="6392" width="22.33203125" style="71" customWidth="1"/>
    <col min="6393" max="6393" width="12" style="71"/>
    <col min="6394" max="6394" width="14.33203125" style="71" customWidth="1"/>
    <col min="6395" max="6646" width="12" style="71"/>
    <col min="6647" max="6647" width="36.33203125" style="71" customWidth="1"/>
    <col min="6648" max="6648" width="22.33203125" style="71" customWidth="1"/>
    <col min="6649" max="6649" width="12" style="71"/>
    <col min="6650" max="6650" width="14.33203125" style="71" customWidth="1"/>
    <col min="6651" max="6902" width="12" style="71"/>
    <col min="6903" max="6903" width="36.33203125" style="71" customWidth="1"/>
    <col min="6904" max="6904" width="22.33203125" style="71" customWidth="1"/>
    <col min="6905" max="6905" width="12" style="71"/>
    <col min="6906" max="6906" width="14.33203125" style="71" customWidth="1"/>
    <col min="6907" max="7158" width="12" style="71"/>
    <col min="7159" max="7159" width="36.33203125" style="71" customWidth="1"/>
    <col min="7160" max="7160" width="22.33203125" style="71" customWidth="1"/>
    <col min="7161" max="7161" width="12" style="71"/>
    <col min="7162" max="7162" width="14.33203125" style="71" customWidth="1"/>
    <col min="7163" max="7414" width="12" style="71"/>
    <col min="7415" max="7415" width="36.33203125" style="71" customWidth="1"/>
    <col min="7416" max="7416" width="22.33203125" style="71" customWidth="1"/>
    <col min="7417" max="7417" width="12" style="71"/>
    <col min="7418" max="7418" width="14.33203125" style="71" customWidth="1"/>
    <col min="7419" max="7670" width="12" style="71"/>
    <col min="7671" max="7671" width="36.33203125" style="71" customWidth="1"/>
    <col min="7672" max="7672" width="22.33203125" style="71" customWidth="1"/>
    <col min="7673" max="7673" width="12" style="71"/>
    <col min="7674" max="7674" width="14.33203125" style="71" customWidth="1"/>
    <col min="7675" max="7926" width="12" style="71"/>
    <col min="7927" max="7927" width="36.33203125" style="71" customWidth="1"/>
    <col min="7928" max="7928" width="22.33203125" style="71" customWidth="1"/>
    <col min="7929" max="7929" width="12" style="71"/>
    <col min="7930" max="7930" width="14.33203125" style="71" customWidth="1"/>
    <col min="7931" max="8182" width="12" style="71"/>
    <col min="8183" max="8183" width="36.33203125" style="71" customWidth="1"/>
    <col min="8184" max="8184" width="22.33203125" style="71" customWidth="1"/>
    <col min="8185" max="8185" width="12" style="71"/>
    <col min="8186" max="8186" width="14.33203125" style="71" customWidth="1"/>
    <col min="8187" max="8438" width="12" style="71"/>
    <col min="8439" max="8439" width="36.33203125" style="71" customWidth="1"/>
    <col min="8440" max="8440" width="22.33203125" style="71" customWidth="1"/>
    <col min="8441" max="8441" width="12" style="71"/>
    <col min="8442" max="8442" width="14.33203125" style="71" customWidth="1"/>
    <col min="8443" max="8694" width="12" style="71"/>
    <col min="8695" max="8695" width="36.33203125" style="71" customWidth="1"/>
    <col min="8696" max="8696" width="22.33203125" style="71" customWidth="1"/>
    <col min="8697" max="8697" width="12" style="71"/>
    <col min="8698" max="8698" width="14.33203125" style="71" customWidth="1"/>
    <col min="8699" max="8950" width="12" style="71"/>
    <col min="8951" max="8951" width="36.33203125" style="71" customWidth="1"/>
    <col min="8952" max="8952" width="22.33203125" style="71" customWidth="1"/>
    <col min="8953" max="8953" width="12" style="71"/>
    <col min="8954" max="8954" width="14.33203125" style="71" customWidth="1"/>
    <col min="8955" max="9206" width="12" style="71"/>
    <col min="9207" max="9207" width="36.33203125" style="71" customWidth="1"/>
    <col min="9208" max="9208" width="22.33203125" style="71" customWidth="1"/>
    <col min="9209" max="9209" width="12" style="71"/>
    <col min="9210" max="9210" width="14.33203125" style="71" customWidth="1"/>
    <col min="9211" max="9462" width="12" style="71"/>
    <col min="9463" max="9463" width="36.33203125" style="71" customWidth="1"/>
    <col min="9464" max="9464" width="22.33203125" style="71" customWidth="1"/>
    <col min="9465" max="9465" width="12" style="71"/>
    <col min="9466" max="9466" width="14.33203125" style="71" customWidth="1"/>
    <col min="9467" max="9718" width="12" style="71"/>
    <col min="9719" max="9719" width="36.33203125" style="71" customWidth="1"/>
    <col min="9720" max="9720" width="22.33203125" style="71" customWidth="1"/>
    <col min="9721" max="9721" width="12" style="71"/>
    <col min="9722" max="9722" width="14.33203125" style="71" customWidth="1"/>
    <col min="9723" max="9974" width="12" style="71"/>
    <col min="9975" max="9975" width="36.33203125" style="71" customWidth="1"/>
    <col min="9976" max="9976" width="22.33203125" style="71" customWidth="1"/>
    <col min="9977" max="9977" width="12" style="71"/>
    <col min="9978" max="9978" width="14.33203125" style="71" customWidth="1"/>
    <col min="9979" max="10230" width="12" style="71"/>
    <col min="10231" max="10231" width="36.33203125" style="71" customWidth="1"/>
    <col min="10232" max="10232" width="22.33203125" style="71" customWidth="1"/>
    <col min="10233" max="10233" width="12" style="71"/>
    <col min="10234" max="10234" width="14.33203125" style="71" customWidth="1"/>
    <col min="10235" max="10486" width="12" style="71"/>
    <col min="10487" max="10487" width="36.33203125" style="71" customWidth="1"/>
    <col min="10488" max="10488" width="22.33203125" style="71" customWidth="1"/>
    <col min="10489" max="10489" width="12" style="71"/>
    <col min="10490" max="10490" width="14.33203125" style="71" customWidth="1"/>
    <col min="10491" max="10742" width="12" style="71"/>
    <col min="10743" max="10743" width="36.33203125" style="71" customWidth="1"/>
    <col min="10744" max="10744" width="22.33203125" style="71" customWidth="1"/>
    <col min="10745" max="10745" width="12" style="71"/>
    <col min="10746" max="10746" width="14.33203125" style="71" customWidth="1"/>
    <col min="10747" max="10998" width="12" style="71"/>
    <col min="10999" max="10999" width="36.33203125" style="71" customWidth="1"/>
    <col min="11000" max="11000" width="22.33203125" style="71" customWidth="1"/>
    <col min="11001" max="11001" width="12" style="71"/>
    <col min="11002" max="11002" width="14.33203125" style="71" customWidth="1"/>
    <col min="11003" max="11254" width="12" style="71"/>
    <col min="11255" max="11255" width="36.33203125" style="71" customWidth="1"/>
    <col min="11256" max="11256" width="22.33203125" style="71" customWidth="1"/>
    <col min="11257" max="11257" width="12" style="71"/>
    <col min="11258" max="11258" width="14.33203125" style="71" customWidth="1"/>
    <col min="11259" max="11510" width="12" style="71"/>
    <col min="11511" max="11511" width="36.33203125" style="71" customWidth="1"/>
    <col min="11512" max="11512" width="22.33203125" style="71" customWidth="1"/>
    <col min="11513" max="11513" width="12" style="71"/>
    <col min="11514" max="11514" width="14.33203125" style="71" customWidth="1"/>
    <col min="11515" max="11766" width="12" style="71"/>
    <col min="11767" max="11767" width="36.33203125" style="71" customWidth="1"/>
    <col min="11768" max="11768" width="22.33203125" style="71" customWidth="1"/>
    <col min="11769" max="11769" width="12" style="71"/>
    <col min="11770" max="11770" width="14.33203125" style="71" customWidth="1"/>
    <col min="11771" max="12022" width="12" style="71"/>
    <col min="12023" max="12023" width="36.33203125" style="71" customWidth="1"/>
    <col min="12024" max="12024" width="22.33203125" style="71" customWidth="1"/>
    <col min="12025" max="12025" width="12" style="71"/>
    <col min="12026" max="12026" width="14.33203125" style="71" customWidth="1"/>
    <col min="12027" max="12278" width="12" style="71"/>
    <col min="12279" max="12279" width="36.33203125" style="71" customWidth="1"/>
    <col min="12280" max="12280" width="22.33203125" style="71" customWidth="1"/>
    <col min="12281" max="12281" width="12" style="71"/>
    <col min="12282" max="12282" width="14.33203125" style="71" customWidth="1"/>
    <col min="12283" max="12534" width="12" style="71"/>
    <col min="12535" max="12535" width="36.33203125" style="71" customWidth="1"/>
    <col min="12536" max="12536" width="22.33203125" style="71" customWidth="1"/>
    <col min="12537" max="12537" width="12" style="71"/>
    <col min="12538" max="12538" width="14.33203125" style="71" customWidth="1"/>
    <col min="12539" max="12790" width="12" style="71"/>
    <col min="12791" max="12791" width="36.33203125" style="71" customWidth="1"/>
    <col min="12792" max="12792" width="22.33203125" style="71" customWidth="1"/>
    <col min="12793" max="12793" width="12" style="71"/>
    <col min="12794" max="12794" width="14.33203125" style="71" customWidth="1"/>
    <col min="12795" max="13046" width="12" style="71"/>
    <col min="13047" max="13047" width="36.33203125" style="71" customWidth="1"/>
    <col min="13048" max="13048" width="22.33203125" style="71" customWidth="1"/>
    <col min="13049" max="13049" width="12" style="71"/>
    <col min="13050" max="13050" width="14.33203125" style="71" customWidth="1"/>
    <col min="13051" max="13302" width="12" style="71"/>
    <col min="13303" max="13303" width="36.33203125" style="71" customWidth="1"/>
    <col min="13304" max="13304" width="22.33203125" style="71" customWidth="1"/>
    <col min="13305" max="13305" width="12" style="71"/>
    <col min="13306" max="13306" width="14.33203125" style="71" customWidth="1"/>
    <col min="13307" max="13558" width="12" style="71"/>
    <col min="13559" max="13559" width="36.33203125" style="71" customWidth="1"/>
    <col min="13560" max="13560" width="22.33203125" style="71" customWidth="1"/>
    <col min="13561" max="13561" width="12" style="71"/>
    <col min="13562" max="13562" width="14.33203125" style="71" customWidth="1"/>
    <col min="13563" max="13814" width="12" style="71"/>
    <col min="13815" max="13815" width="36.33203125" style="71" customWidth="1"/>
    <col min="13816" max="13816" width="22.33203125" style="71" customWidth="1"/>
    <col min="13817" max="13817" width="12" style="71"/>
    <col min="13818" max="13818" width="14.33203125" style="71" customWidth="1"/>
    <col min="13819" max="14070" width="12" style="71"/>
    <col min="14071" max="14071" width="36.33203125" style="71" customWidth="1"/>
    <col min="14072" max="14072" width="22.33203125" style="71" customWidth="1"/>
    <col min="14073" max="14073" width="12" style="71"/>
    <col min="14074" max="14074" width="14.33203125" style="71" customWidth="1"/>
    <col min="14075" max="14326" width="12" style="71"/>
    <col min="14327" max="14327" width="36.33203125" style="71" customWidth="1"/>
    <col min="14328" max="14328" width="22.33203125" style="71" customWidth="1"/>
    <col min="14329" max="14329" width="12" style="71"/>
    <col min="14330" max="14330" width="14.33203125" style="71" customWidth="1"/>
    <col min="14331" max="14582" width="12" style="71"/>
    <col min="14583" max="14583" width="36.33203125" style="71" customWidth="1"/>
    <col min="14584" max="14584" width="22.33203125" style="71" customWidth="1"/>
    <col min="14585" max="14585" width="12" style="71"/>
    <col min="14586" max="14586" width="14.33203125" style="71" customWidth="1"/>
    <col min="14587" max="14838" width="12" style="71"/>
    <col min="14839" max="14839" width="36.33203125" style="71" customWidth="1"/>
    <col min="14840" max="14840" width="22.33203125" style="71" customWidth="1"/>
    <col min="14841" max="14841" width="12" style="71"/>
    <col min="14842" max="14842" width="14.33203125" style="71" customWidth="1"/>
    <col min="14843" max="15094" width="12" style="71"/>
    <col min="15095" max="15095" width="36.33203125" style="71" customWidth="1"/>
    <col min="15096" max="15096" width="22.33203125" style="71" customWidth="1"/>
    <col min="15097" max="15097" width="12" style="71"/>
    <col min="15098" max="15098" width="14.33203125" style="71" customWidth="1"/>
    <col min="15099" max="15350" width="12" style="71"/>
    <col min="15351" max="15351" width="36.33203125" style="71" customWidth="1"/>
    <col min="15352" max="15352" width="22.33203125" style="71" customWidth="1"/>
    <col min="15353" max="15353" width="12" style="71"/>
    <col min="15354" max="15354" width="14.33203125" style="71" customWidth="1"/>
    <col min="15355" max="15606" width="12" style="71"/>
    <col min="15607" max="15607" width="36.33203125" style="71" customWidth="1"/>
    <col min="15608" max="15608" width="22.33203125" style="71" customWidth="1"/>
    <col min="15609" max="15609" width="12" style="71"/>
    <col min="15610" max="15610" width="14.33203125" style="71" customWidth="1"/>
    <col min="15611" max="15862" width="12" style="71"/>
    <col min="15863" max="15863" width="36.33203125" style="71" customWidth="1"/>
    <col min="15864" max="15864" width="22.33203125" style="71" customWidth="1"/>
    <col min="15865" max="15865" width="12" style="71"/>
    <col min="15866" max="15866" width="14.33203125" style="71" customWidth="1"/>
    <col min="15867" max="16118" width="12" style="71"/>
    <col min="16119" max="16119" width="36.33203125" style="71" customWidth="1"/>
    <col min="16120" max="16120" width="22.33203125" style="71" customWidth="1"/>
    <col min="16121" max="16121" width="12" style="71"/>
    <col min="16122" max="16122" width="14.33203125" style="71" customWidth="1"/>
    <col min="16123" max="16384" width="12" style="71"/>
  </cols>
  <sheetData>
    <row r="1" spans="1:8" ht="20.100000000000001" customHeight="1" x14ac:dyDescent="0.2">
      <c r="A1" s="1322"/>
      <c r="B1" s="1584" t="s">
        <v>0</v>
      </c>
      <c r="C1" s="1584"/>
      <c r="D1" s="339" t="s">
        <v>104</v>
      </c>
      <c r="E1" s="62"/>
    </row>
    <row r="2" spans="1:8" ht="20.100000000000001" customHeight="1" x14ac:dyDescent="0.2">
      <c r="A2" s="1322"/>
      <c r="B2" s="1584" t="s">
        <v>924</v>
      </c>
      <c r="C2" s="1584"/>
    </row>
    <row r="3" spans="1:8" ht="20.100000000000001" customHeight="1" x14ac:dyDescent="0.2">
      <c r="A3" s="1322"/>
      <c r="B3" s="746" t="s">
        <v>2</v>
      </c>
      <c r="C3" s="709" t="str">
        <f>Instructivo!G3</f>
        <v>VERSIÓN: 04</v>
      </c>
    </row>
    <row r="4" spans="1:8" ht="24.75" customHeight="1" thickBot="1" x14ac:dyDescent="0.25">
      <c r="A4" s="1585"/>
      <c r="B4" s="1585"/>
      <c r="C4" s="1585"/>
    </row>
    <row r="5" spans="1:8" ht="20.100000000000001" customHeight="1" thickBot="1" x14ac:dyDescent="0.25">
      <c r="A5" s="256" t="s">
        <v>820</v>
      </c>
      <c r="B5" s="1586">
        <v>2023</v>
      </c>
      <c r="C5" s="1587"/>
    </row>
    <row r="6" spans="1:8" ht="20.100000000000001" customHeight="1" thickBot="1" x14ac:dyDescent="0.25">
      <c r="A6" s="256" t="s">
        <v>821</v>
      </c>
      <c r="B6" s="1586" t="s">
        <v>925</v>
      </c>
      <c r="C6" s="1587"/>
    </row>
    <row r="7" spans="1:8" ht="20.100000000000001" customHeight="1" thickBot="1" x14ac:dyDescent="0.25">
      <c r="A7" s="263"/>
      <c r="B7" s="264"/>
      <c r="C7" s="264"/>
    </row>
    <row r="8" spans="1:8" ht="33" customHeight="1" x14ac:dyDescent="0.2">
      <c r="A8" s="273" t="s">
        <v>926</v>
      </c>
      <c r="B8" s="1591" t="s">
        <v>927</v>
      </c>
      <c r="C8" s="1592"/>
    </row>
    <row r="9" spans="1:8" ht="20.100000000000001" customHeight="1" x14ac:dyDescent="0.2">
      <c r="A9" s="441" t="s">
        <v>928</v>
      </c>
      <c r="B9" s="1593">
        <v>2124000</v>
      </c>
      <c r="C9" s="1594"/>
      <c r="D9" s="265"/>
      <c r="E9" s="266"/>
      <c r="G9" s="193"/>
      <c r="H9" s="193"/>
    </row>
    <row r="10" spans="1:8" ht="20.100000000000001" customHeight="1" x14ac:dyDescent="0.2">
      <c r="A10" s="441" t="s">
        <v>929</v>
      </c>
      <c r="B10" s="1593">
        <v>3530000</v>
      </c>
      <c r="C10" s="1594"/>
      <c r="H10" s="267"/>
    </row>
    <row r="11" spans="1:8" ht="20.100000000000001" customHeight="1" x14ac:dyDescent="0.2">
      <c r="A11" s="441" t="s">
        <v>930</v>
      </c>
      <c r="B11" s="1593">
        <v>3576000</v>
      </c>
      <c r="C11" s="1594"/>
      <c r="H11" s="268"/>
    </row>
    <row r="12" spans="1:8" ht="20.100000000000001" customHeight="1" x14ac:dyDescent="0.2">
      <c r="A12" s="441" t="s">
        <v>931</v>
      </c>
      <c r="B12" s="1593">
        <v>4148000</v>
      </c>
      <c r="C12" s="1594"/>
    </row>
    <row r="13" spans="1:8" ht="20.100000000000001" customHeight="1" x14ac:dyDescent="0.2">
      <c r="A13" s="441" t="s">
        <v>932</v>
      </c>
      <c r="B13" s="1593">
        <v>4421000</v>
      </c>
      <c r="C13" s="1594"/>
    </row>
    <row r="14" spans="1:8" ht="20.100000000000001" customHeight="1" x14ac:dyDescent="0.2">
      <c r="A14" s="441" t="s">
        <v>933</v>
      </c>
      <c r="B14" s="1593">
        <v>6502000</v>
      </c>
      <c r="C14" s="1594"/>
    </row>
    <row r="15" spans="1:8" ht="20.100000000000001" customHeight="1" thickBot="1" x14ac:dyDescent="0.25">
      <c r="A15" s="442" t="s">
        <v>934</v>
      </c>
      <c r="B15" s="1595">
        <v>7800000</v>
      </c>
      <c r="C15" s="1596"/>
    </row>
    <row r="16" spans="1:8" ht="20.100000000000001" customHeight="1" thickBot="1" x14ac:dyDescent="0.25">
      <c r="A16" s="269"/>
      <c r="B16" s="269"/>
      <c r="C16" s="269"/>
    </row>
    <row r="17" spans="1:3" ht="77.25" customHeight="1" thickBot="1" x14ac:dyDescent="0.25">
      <c r="A17" s="1588" t="s">
        <v>935</v>
      </c>
      <c r="B17" s="1589"/>
      <c r="C17" s="1590"/>
    </row>
    <row r="18" spans="1:3" ht="20.100000000000001" customHeight="1" x14ac:dyDescent="0.2">
      <c r="A18" s="269"/>
      <c r="B18" s="269"/>
      <c r="C18" s="269"/>
    </row>
  </sheetData>
  <sheetProtection algorithmName="SHA-512" hashValue="9LL/O8FTL9UwcuimsC/Ey2a2rYF0goXBY4a8Dft+3oylP/gVHbDGRJeBRxez1UJkrkk8UbEV1u+73BzZJGtsAQ==" saltValue="mQ0TSHSBGOwqC4BnoqlIWQ==" spinCount="100000" sheet="1" formatCells="0" formatColumns="0" formatRows="0" insertColumns="0" insertRows="0" insertHyperlinks="0" deleteColumns="0" deleteRows="0" sort="0" autoFilter="0" pivotTables="0"/>
  <mergeCells count="15">
    <mergeCell ref="B6:C6"/>
    <mergeCell ref="A17:C17"/>
    <mergeCell ref="B8:C8"/>
    <mergeCell ref="B9:C9"/>
    <mergeCell ref="B10:C10"/>
    <mergeCell ref="B11:C11"/>
    <mergeCell ref="B12:C12"/>
    <mergeCell ref="B13:C13"/>
    <mergeCell ref="B14:C14"/>
    <mergeCell ref="B15:C15"/>
    <mergeCell ref="A1:A3"/>
    <mergeCell ref="B1:C1"/>
    <mergeCell ref="B2:C2"/>
    <mergeCell ref="A4:C4"/>
    <mergeCell ref="B5:C5"/>
  </mergeCells>
  <hyperlinks>
    <hyperlink ref="D1" location="ins" display="Instructivo" xr:uid="{00000000-0004-0000-1700-000000000000}"/>
  </hyperlinks>
  <printOptions horizontalCentered="1"/>
  <pageMargins left="0" right="0" top="0" bottom="0" header="0" footer="0"/>
  <pageSetup fitToHeight="0" orientation="landscape" verticalDpi="4294967292" r:id="rId1"/>
  <headerFooter>
    <oddFooter>&amp;R&amp;"Arial,Normal"&amp;K01+000Página &amp;P de &amp;N</oddFooter>
  </headerFooter>
  <drawing r:id="rId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Hoja19">
    <tabColor theme="7" tint="0.39997558519241921"/>
    <pageSetUpPr fitToPage="1"/>
  </sheetPr>
  <dimension ref="A1:BJ155"/>
  <sheetViews>
    <sheetView showGridLines="0" zoomScaleNormal="100" workbookViewId="0">
      <selection activeCell="A17" sqref="A17:E17"/>
    </sheetView>
  </sheetViews>
  <sheetFormatPr baseColWidth="10" defaultColWidth="13.5" defaultRowHeight="20.100000000000001" customHeight="1" x14ac:dyDescent="0.2"/>
  <cols>
    <col min="1" max="1" width="27.5" style="270" customWidth="1"/>
    <col min="2" max="2" width="14.33203125" style="270" customWidth="1"/>
    <col min="3" max="3" width="15.83203125" style="284" customWidth="1"/>
    <col min="4" max="10" width="15.83203125" style="270" customWidth="1"/>
    <col min="11" max="62" width="13.5" style="271"/>
    <col min="63" max="16384" width="13.5" style="270"/>
  </cols>
  <sheetData>
    <row r="1" spans="1:11" ht="20.100000000000001" customHeight="1" x14ac:dyDescent="0.2">
      <c r="A1" s="1615"/>
      <c r="B1" s="1616"/>
      <c r="C1" s="1430" t="s">
        <v>0</v>
      </c>
      <c r="D1" s="1430"/>
      <c r="E1" s="1430"/>
      <c r="F1" s="1430"/>
      <c r="G1" s="1430"/>
      <c r="H1" s="1430"/>
      <c r="I1" s="1430"/>
      <c r="J1" s="1431"/>
      <c r="K1" s="339" t="s">
        <v>104</v>
      </c>
    </row>
    <row r="2" spans="1:11" ht="20.100000000000001" customHeight="1" x14ac:dyDescent="0.2">
      <c r="A2" s="1617"/>
      <c r="B2" s="1618"/>
      <c r="C2" s="1584" t="s">
        <v>936</v>
      </c>
      <c r="D2" s="1584"/>
      <c r="E2" s="1584"/>
      <c r="F2" s="1584"/>
      <c r="G2" s="1584"/>
      <c r="H2" s="1584"/>
      <c r="I2" s="1584"/>
      <c r="J2" s="1621"/>
    </row>
    <row r="3" spans="1:11" ht="20.100000000000001" customHeight="1" thickBot="1" x14ac:dyDescent="0.25">
      <c r="A3" s="1619"/>
      <c r="B3" s="1620"/>
      <c r="C3" s="1139" t="s">
        <v>2</v>
      </c>
      <c r="D3" s="1139"/>
      <c r="E3" s="1139"/>
      <c r="F3" s="1139"/>
      <c r="G3" s="1139" t="str">
        <f>Instructivo!G3</f>
        <v>VERSIÓN: 04</v>
      </c>
      <c r="H3" s="1139"/>
      <c r="I3" s="1139"/>
      <c r="J3" s="1182"/>
    </row>
    <row r="4" spans="1:11" ht="24" customHeight="1" x14ac:dyDescent="0.2">
      <c r="A4" s="276"/>
      <c r="B4" s="276"/>
      <c r="C4" s="276"/>
      <c r="D4" s="71"/>
      <c r="E4" s="271"/>
      <c r="F4" s="271"/>
      <c r="G4" s="271"/>
      <c r="H4" s="271"/>
      <c r="I4" s="271"/>
      <c r="J4" s="271"/>
    </row>
    <row r="5" spans="1:11" ht="20.100000000000001" customHeight="1" x14ac:dyDescent="0.2">
      <c r="A5" s="1640" t="s">
        <v>820</v>
      </c>
      <c r="B5" s="1640"/>
      <c r="C5" s="1640"/>
      <c r="D5" s="1631">
        <v>2023</v>
      </c>
      <c r="E5" s="1631"/>
      <c r="F5" s="1631"/>
      <c r="G5" s="1631"/>
      <c r="H5" s="1631"/>
      <c r="I5" s="1631"/>
      <c r="J5" s="1631"/>
    </row>
    <row r="6" spans="1:11" ht="20.100000000000001" customHeight="1" x14ac:dyDescent="0.2">
      <c r="A6" s="1640" t="s">
        <v>821</v>
      </c>
      <c r="B6" s="1640"/>
      <c r="C6" s="1640"/>
      <c r="D6" s="1631" t="s">
        <v>937</v>
      </c>
      <c r="E6" s="1631"/>
      <c r="F6" s="1631"/>
      <c r="G6" s="1631"/>
      <c r="H6" s="1631"/>
      <c r="I6" s="1631"/>
      <c r="J6" s="1631"/>
    </row>
    <row r="7" spans="1:11" ht="20.100000000000001" customHeight="1" x14ac:dyDescent="0.2">
      <c r="A7" s="1641" t="s">
        <v>938</v>
      </c>
      <c r="B7" s="1641"/>
      <c r="C7" s="1641"/>
      <c r="D7" s="1632">
        <v>1160000</v>
      </c>
      <c r="E7" s="1632"/>
      <c r="F7" s="1632"/>
      <c r="G7" s="1632"/>
      <c r="H7" s="1632"/>
      <c r="I7" s="1632"/>
      <c r="J7" s="1632"/>
    </row>
    <row r="8" spans="1:11" ht="20.100000000000001" customHeight="1" x14ac:dyDescent="0.2">
      <c r="A8" s="1641" t="s">
        <v>939</v>
      </c>
      <c r="B8" s="1641"/>
      <c r="C8" s="1641"/>
      <c r="D8" s="1632">
        <v>140606</v>
      </c>
      <c r="E8" s="1632"/>
      <c r="F8" s="1632"/>
      <c r="G8" s="1632"/>
      <c r="H8" s="1632"/>
      <c r="I8" s="1632"/>
      <c r="J8" s="1632"/>
    </row>
    <row r="9" spans="1:11" ht="20.100000000000001" customHeight="1" thickBot="1" x14ac:dyDescent="0.25">
      <c r="A9" s="264"/>
      <c r="B9" s="264"/>
      <c r="C9" s="264"/>
      <c r="D9" s="277"/>
      <c r="E9" s="277"/>
      <c r="F9" s="277"/>
      <c r="G9" s="277"/>
      <c r="H9" s="277"/>
      <c r="I9" s="277"/>
      <c r="J9" s="277"/>
    </row>
    <row r="10" spans="1:11" ht="20.100000000000001" customHeight="1" thickBot="1" x14ac:dyDescent="0.25">
      <c r="A10" s="1633" t="s">
        <v>940</v>
      </c>
      <c r="B10" s="1634"/>
      <c r="C10" s="1634"/>
      <c r="D10" s="1634"/>
      <c r="E10" s="1634"/>
      <c r="F10" s="1634"/>
      <c r="G10" s="1634"/>
      <c r="H10" s="1634"/>
      <c r="I10" s="1634"/>
      <c r="J10" s="1635"/>
    </row>
    <row r="11" spans="1:11" ht="20.100000000000001" customHeight="1" x14ac:dyDescent="0.2">
      <c r="A11" s="1636" t="s">
        <v>941</v>
      </c>
      <c r="B11" s="1637"/>
      <c r="C11" s="443">
        <v>1</v>
      </c>
      <c r="D11" s="443">
        <v>1.25</v>
      </c>
      <c r="E11" s="443">
        <v>1.5</v>
      </c>
      <c r="F11" s="443">
        <v>1.75</v>
      </c>
      <c r="G11" s="443">
        <v>2</v>
      </c>
      <c r="H11" s="444">
        <v>3</v>
      </c>
      <c r="I11" s="444">
        <v>4</v>
      </c>
      <c r="J11" s="445">
        <v>5</v>
      </c>
    </row>
    <row r="12" spans="1:11" ht="20.100000000000001" customHeight="1" x14ac:dyDescent="0.2">
      <c r="A12" s="1638" t="s">
        <v>942</v>
      </c>
      <c r="B12" s="1639"/>
      <c r="C12" s="446">
        <f t="shared" ref="C12:J12" si="0">$D$7*C11</f>
        <v>1160000</v>
      </c>
      <c r="D12" s="446">
        <f t="shared" si="0"/>
        <v>1450000</v>
      </c>
      <c r="E12" s="446">
        <f t="shared" si="0"/>
        <v>1740000</v>
      </c>
      <c r="F12" s="446">
        <f t="shared" si="0"/>
        <v>2030000</v>
      </c>
      <c r="G12" s="446">
        <f t="shared" si="0"/>
        <v>2320000</v>
      </c>
      <c r="H12" s="447">
        <f t="shared" si="0"/>
        <v>3480000</v>
      </c>
      <c r="I12" s="447">
        <f t="shared" si="0"/>
        <v>4640000</v>
      </c>
      <c r="J12" s="448">
        <f t="shared" si="0"/>
        <v>5800000</v>
      </c>
    </row>
    <row r="13" spans="1:11" ht="20.100000000000001" customHeight="1" x14ac:dyDescent="0.2">
      <c r="A13" s="1638" t="s">
        <v>943</v>
      </c>
      <c r="B13" s="1639"/>
      <c r="C13" s="449">
        <f>C29/30</f>
        <v>66721.635333333325</v>
      </c>
      <c r="D13" s="449">
        <f t="shared" ref="D13:I13" si="1">D29/30</f>
        <v>82023.324222222218</v>
      </c>
      <c r="E13" s="449">
        <f t="shared" si="1"/>
        <v>97325.013111111097</v>
      </c>
      <c r="F13" s="449">
        <f t="shared" si="1"/>
        <v>112626.70199999999</v>
      </c>
      <c r="G13" s="449">
        <f t="shared" si="1"/>
        <v>127928.39088888888</v>
      </c>
      <c r="H13" s="450">
        <f t="shared" si="1"/>
        <v>183620.26666666666</v>
      </c>
      <c r="I13" s="450">
        <f t="shared" si="1"/>
        <v>244827.02222222221</v>
      </c>
      <c r="J13" s="451">
        <f>J29/30</f>
        <v>306033.77777777775</v>
      </c>
    </row>
    <row r="14" spans="1:11" ht="20.100000000000001" customHeight="1" x14ac:dyDescent="0.2">
      <c r="A14" s="285" t="s">
        <v>370</v>
      </c>
      <c r="B14" s="286" t="s">
        <v>944</v>
      </c>
      <c r="C14" s="452" t="s">
        <v>945</v>
      </c>
      <c r="D14" s="452" t="s">
        <v>945</v>
      </c>
      <c r="E14" s="452" t="s">
        <v>945</v>
      </c>
      <c r="F14" s="452" t="s">
        <v>945</v>
      </c>
      <c r="G14" s="452" t="s">
        <v>945</v>
      </c>
      <c r="H14" s="452" t="s">
        <v>945</v>
      </c>
      <c r="I14" s="452" t="s">
        <v>945</v>
      </c>
      <c r="J14" s="453" t="s">
        <v>945</v>
      </c>
    </row>
    <row r="15" spans="1:11" ht="20.100000000000001" customHeight="1" x14ac:dyDescent="0.2">
      <c r="A15" s="1622" t="s">
        <v>946</v>
      </c>
      <c r="B15" s="1623"/>
      <c r="C15" s="454"/>
      <c r="D15" s="454"/>
      <c r="E15" s="454"/>
      <c r="F15" s="454"/>
      <c r="G15" s="454"/>
      <c r="H15" s="454"/>
      <c r="I15" s="454"/>
      <c r="J15" s="455"/>
    </row>
    <row r="16" spans="1:11" ht="20.100000000000001" customHeight="1" x14ac:dyDescent="0.2">
      <c r="A16" s="464" t="s">
        <v>947</v>
      </c>
      <c r="B16" s="465">
        <v>8.5000000000000006E-2</v>
      </c>
      <c r="C16" s="456">
        <f>$C$12*B16</f>
        <v>98600</v>
      </c>
      <c r="D16" s="456">
        <f>$D$12*B16</f>
        <v>123250.00000000001</v>
      </c>
      <c r="E16" s="456">
        <f>$E$12*B16</f>
        <v>147900</v>
      </c>
      <c r="F16" s="456">
        <f>$F$12*B16</f>
        <v>172550</v>
      </c>
      <c r="G16" s="456">
        <f>$G$12*B16</f>
        <v>197200</v>
      </c>
      <c r="H16" s="456">
        <f>$H$12*B16</f>
        <v>295800</v>
      </c>
      <c r="I16" s="456">
        <f>$I$12*B16</f>
        <v>394400</v>
      </c>
      <c r="J16" s="457">
        <f>$J$12*B16</f>
        <v>493000.00000000006</v>
      </c>
    </row>
    <row r="17" spans="1:10" ht="20.100000000000001" customHeight="1" x14ac:dyDescent="0.2">
      <c r="A17" s="464" t="s">
        <v>948</v>
      </c>
      <c r="B17" s="465">
        <v>0.12</v>
      </c>
      <c r="C17" s="456">
        <f>$C$12*B17</f>
        <v>139200</v>
      </c>
      <c r="D17" s="456">
        <f>$D$12*B17</f>
        <v>174000</v>
      </c>
      <c r="E17" s="456">
        <f>$E$12*B17</f>
        <v>208800</v>
      </c>
      <c r="F17" s="456">
        <f>$F$12*B17</f>
        <v>243600</v>
      </c>
      <c r="G17" s="456">
        <f>$G$12*B17</f>
        <v>278400</v>
      </c>
      <c r="H17" s="456">
        <f>$H$12*B17</f>
        <v>417600</v>
      </c>
      <c r="I17" s="456">
        <f>$I$12*B17</f>
        <v>556800</v>
      </c>
      <c r="J17" s="457">
        <f>$J$12*B17</f>
        <v>696000</v>
      </c>
    </row>
    <row r="18" spans="1:10" ht="20.100000000000001" customHeight="1" x14ac:dyDescent="0.2">
      <c r="A18" s="464" t="s">
        <v>949</v>
      </c>
      <c r="B18" s="466">
        <v>6.9599999999999995E-2</v>
      </c>
      <c r="C18" s="456">
        <f>$C$12*B18</f>
        <v>80736</v>
      </c>
      <c r="D18" s="456">
        <f>$D$12*B18</f>
        <v>100920</v>
      </c>
      <c r="E18" s="456">
        <f>$E$12*B18</f>
        <v>121103.99999999999</v>
      </c>
      <c r="F18" s="456">
        <f>$F$12*B18</f>
        <v>141288</v>
      </c>
      <c r="G18" s="456">
        <f>$G$12*B18</f>
        <v>161472</v>
      </c>
      <c r="H18" s="456">
        <f>$H$12*B18</f>
        <v>242207.99999999997</v>
      </c>
      <c r="I18" s="456">
        <f>$I$12*B18</f>
        <v>322944</v>
      </c>
      <c r="J18" s="457">
        <f>$J$12*B18</f>
        <v>403680</v>
      </c>
    </row>
    <row r="19" spans="1:10" ht="20.100000000000001" customHeight="1" x14ac:dyDescent="0.2">
      <c r="A19" s="1624" t="s">
        <v>950</v>
      </c>
      <c r="B19" s="1625"/>
      <c r="C19" s="458"/>
      <c r="D19" s="458"/>
      <c r="E19" s="458"/>
      <c r="F19" s="458"/>
      <c r="G19" s="458"/>
      <c r="H19" s="458"/>
      <c r="I19" s="458"/>
      <c r="J19" s="459"/>
    </row>
    <row r="20" spans="1:10" ht="20.100000000000001" customHeight="1" x14ac:dyDescent="0.2">
      <c r="A20" s="464" t="s">
        <v>951</v>
      </c>
      <c r="B20" s="465">
        <v>0.04</v>
      </c>
      <c r="C20" s="456">
        <f>$C$12*B20</f>
        <v>46400</v>
      </c>
      <c r="D20" s="456">
        <f>$D$12*B20</f>
        <v>58000</v>
      </c>
      <c r="E20" s="456">
        <f>$E$12*B20</f>
        <v>69600</v>
      </c>
      <c r="F20" s="456">
        <f>$F$12*B20</f>
        <v>81200</v>
      </c>
      <c r="G20" s="456">
        <f>$G$12*B20</f>
        <v>92800</v>
      </c>
      <c r="H20" s="456">
        <f>$H$12*B20</f>
        <v>139200</v>
      </c>
      <c r="I20" s="456">
        <f>$I$12*B20</f>
        <v>185600</v>
      </c>
      <c r="J20" s="457">
        <f>$J$12*B20</f>
        <v>232000</v>
      </c>
    </row>
    <row r="21" spans="1:10" ht="20.100000000000001" customHeight="1" x14ac:dyDescent="0.2">
      <c r="A21" s="464" t="s">
        <v>952</v>
      </c>
      <c r="B21" s="465">
        <v>0.03</v>
      </c>
      <c r="C21" s="456">
        <f>$C$12*B21</f>
        <v>34800</v>
      </c>
      <c r="D21" s="456">
        <f>$D$12*B21</f>
        <v>43500</v>
      </c>
      <c r="E21" s="456">
        <f>$E$12*B21</f>
        <v>52200</v>
      </c>
      <c r="F21" s="456">
        <f>$F$12*B21</f>
        <v>60900</v>
      </c>
      <c r="G21" s="456">
        <f>$G$12*B21</f>
        <v>69600</v>
      </c>
      <c r="H21" s="456">
        <f>$H$12*B21</f>
        <v>104400</v>
      </c>
      <c r="I21" s="456">
        <f>$I$12*B21</f>
        <v>139200</v>
      </c>
      <c r="J21" s="457">
        <f>$J$12*B21</f>
        <v>174000</v>
      </c>
    </row>
    <row r="22" spans="1:10" ht="20.100000000000001" customHeight="1" x14ac:dyDescent="0.2">
      <c r="A22" s="464" t="s">
        <v>953</v>
      </c>
      <c r="B22" s="465">
        <v>0.02</v>
      </c>
      <c r="C22" s="456">
        <f>$C$12*B22</f>
        <v>23200</v>
      </c>
      <c r="D22" s="456">
        <f>$D$12*B22</f>
        <v>29000</v>
      </c>
      <c r="E22" s="456">
        <f>$E$12*B22</f>
        <v>34800</v>
      </c>
      <c r="F22" s="456">
        <f>$F$12*B22</f>
        <v>40600</v>
      </c>
      <c r="G22" s="456">
        <f>$G$12*B22</f>
        <v>46400</v>
      </c>
      <c r="H22" s="456">
        <f>$H$12*B22</f>
        <v>69600</v>
      </c>
      <c r="I22" s="456">
        <f>$I$12*B22</f>
        <v>92800</v>
      </c>
      <c r="J22" s="457">
        <f>$J$12*B22</f>
        <v>116000</v>
      </c>
    </row>
    <row r="23" spans="1:10" ht="20.100000000000001" customHeight="1" x14ac:dyDescent="0.2">
      <c r="A23" s="1624" t="s">
        <v>954</v>
      </c>
      <c r="B23" s="1625"/>
      <c r="C23" s="458"/>
      <c r="D23" s="458"/>
      <c r="E23" s="454"/>
      <c r="F23" s="454"/>
      <c r="G23" s="454"/>
      <c r="H23" s="454"/>
      <c r="I23" s="454"/>
      <c r="J23" s="455"/>
    </row>
    <row r="24" spans="1:10" ht="20.100000000000001" customHeight="1" x14ac:dyDescent="0.2">
      <c r="A24" s="467" t="s">
        <v>955</v>
      </c>
      <c r="B24" s="468">
        <v>8.3333333333333301E-2</v>
      </c>
      <c r="C24" s="456">
        <f>($C$12+$D$8)*B24</f>
        <v>108383.83333333328</v>
      </c>
      <c r="D24" s="456">
        <f>($D$12+$D$8)*B24</f>
        <v>132550.49999999994</v>
      </c>
      <c r="E24" s="456">
        <f>(E12+$D$8)*$B$24</f>
        <v>156717.1666666666</v>
      </c>
      <c r="F24" s="456">
        <f>(F12+$D$8)*$B$24</f>
        <v>180883.83333333326</v>
      </c>
      <c r="G24" s="456">
        <f>(G12+$D$8)*$B$24</f>
        <v>205050.49999999991</v>
      </c>
      <c r="H24" s="456">
        <f>H12*$B$24</f>
        <v>289999.99999999988</v>
      </c>
      <c r="I24" s="456">
        <f>I12*$B$24</f>
        <v>386666.66666666651</v>
      </c>
      <c r="J24" s="457">
        <f>J12*$B$24</f>
        <v>483333.33333333314</v>
      </c>
    </row>
    <row r="25" spans="1:10" ht="20.100000000000001" customHeight="1" x14ac:dyDescent="0.2">
      <c r="A25" s="467" t="s">
        <v>956</v>
      </c>
      <c r="B25" s="468">
        <v>0.12</v>
      </c>
      <c r="C25" s="456">
        <f t="shared" ref="C25:J25" si="2">C24*$B$25</f>
        <v>13006.059999999994</v>
      </c>
      <c r="D25" s="456">
        <f t="shared" si="2"/>
        <v>15906.059999999992</v>
      </c>
      <c r="E25" s="456">
        <f t="shared" si="2"/>
        <v>18806.05999999999</v>
      </c>
      <c r="F25" s="456">
        <f t="shared" si="2"/>
        <v>21706.05999999999</v>
      </c>
      <c r="G25" s="456">
        <f t="shared" si="2"/>
        <v>24606.05999999999</v>
      </c>
      <c r="H25" s="456">
        <f t="shared" si="2"/>
        <v>34799.999999999985</v>
      </c>
      <c r="I25" s="456">
        <f t="shared" si="2"/>
        <v>46399.999999999978</v>
      </c>
      <c r="J25" s="457">
        <f t="shared" si="2"/>
        <v>57999.999999999978</v>
      </c>
    </row>
    <row r="26" spans="1:10" ht="20.100000000000001" customHeight="1" x14ac:dyDescent="0.2">
      <c r="A26" s="467" t="s">
        <v>957</v>
      </c>
      <c r="B26" s="468">
        <v>8.3333333333333329E-2</v>
      </c>
      <c r="C26" s="456">
        <f>(C12+$D$8)*$B$26</f>
        <v>108383.83333333333</v>
      </c>
      <c r="D26" s="456">
        <f>(D12+$D$8)*$B$26</f>
        <v>132550.5</v>
      </c>
      <c r="E26" s="456">
        <f>(E12+$D$8)*$B$26</f>
        <v>156717.16666666666</v>
      </c>
      <c r="F26" s="456">
        <f>(F12+$D$8)*$B$26</f>
        <v>180883.83333333331</v>
      </c>
      <c r="G26" s="456">
        <f>(G12+$D$8)*$B$26</f>
        <v>205050.5</v>
      </c>
      <c r="H26" s="456">
        <f>H12*$B$26</f>
        <v>290000</v>
      </c>
      <c r="I26" s="456">
        <f>I12*$B$26</f>
        <v>386666.66666666663</v>
      </c>
      <c r="J26" s="457">
        <f>J12*$B$26</f>
        <v>483333.33333333331</v>
      </c>
    </row>
    <row r="27" spans="1:10" ht="20.100000000000001" customHeight="1" x14ac:dyDescent="0.2">
      <c r="A27" s="464" t="s">
        <v>958</v>
      </c>
      <c r="B27" s="466">
        <f>B24/2</f>
        <v>4.166666666666665E-2</v>
      </c>
      <c r="C27" s="456">
        <f>C12*$B$27</f>
        <v>48333.333333333314</v>
      </c>
      <c r="D27" s="456">
        <f t="shared" ref="D27:J27" si="3">D12*$B$27</f>
        <v>60416.666666666642</v>
      </c>
      <c r="E27" s="456">
        <f t="shared" si="3"/>
        <v>72499.999999999971</v>
      </c>
      <c r="F27" s="456">
        <f t="shared" si="3"/>
        <v>84583.333333333299</v>
      </c>
      <c r="G27" s="456">
        <f t="shared" si="3"/>
        <v>96666.666666666628</v>
      </c>
      <c r="H27" s="456">
        <f t="shared" si="3"/>
        <v>144999.99999999994</v>
      </c>
      <c r="I27" s="456">
        <f t="shared" si="3"/>
        <v>193333.33333333326</v>
      </c>
      <c r="J27" s="457">
        <f t="shared" si="3"/>
        <v>241666.66666666657</v>
      </c>
    </row>
    <row r="28" spans="1:10" ht="20.100000000000001" customHeight="1" x14ac:dyDescent="0.2">
      <c r="A28" s="1622" t="s">
        <v>959</v>
      </c>
      <c r="B28" s="1623"/>
      <c r="C28" s="460">
        <f>SUM(C16:C27)</f>
        <v>701043.05999999982</v>
      </c>
      <c r="D28" s="460">
        <f t="shared" ref="D28:J28" si="4">SUM(D16:D27)</f>
        <v>870093.72666666657</v>
      </c>
      <c r="E28" s="460">
        <f t="shared" si="4"/>
        <v>1039144.3933333332</v>
      </c>
      <c r="F28" s="460">
        <f t="shared" si="4"/>
        <v>1208195.0599999998</v>
      </c>
      <c r="G28" s="460">
        <f t="shared" si="4"/>
        <v>1377245.7266666666</v>
      </c>
      <c r="H28" s="460">
        <f t="shared" si="4"/>
        <v>2028608</v>
      </c>
      <c r="I28" s="460">
        <f t="shared" si="4"/>
        <v>2704810.666666666</v>
      </c>
      <c r="J28" s="461">
        <f t="shared" si="4"/>
        <v>3381013.333333333</v>
      </c>
    </row>
    <row r="29" spans="1:10" ht="20.100000000000001" customHeight="1" thickBot="1" x14ac:dyDescent="0.25">
      <c r="A29" s="1629" t="s">
        <v>960</v>
      </c>
      <c r="B29" s="1630"/>
      <c r="C29" s="462">
        <f>C12+$D$8+C28</f>
        <v>2001649.0599999998</v>
      </c>
      <c r="D29" s="462">
        <f t="shared" ref="D29:G29" si="5">D12+$D$8+D28</f>
        <v>2460699.7266666666</v>
      </c>
      <c r="E29" s="462">
        <f t="shared" si="5"/>
        <v>2919750.3933333331</v>
      </c>
      <c r="F29" s="462">
        <f t="shared" si="5"/>
        <v>3378801.0599999996</v>
      </c>
      <c r="G29" s="462">
        <f t="shared" si="5"/>
        <v>3837851.7266666666</v>
      </c>
      <c r="H29" s="462">
        <f>H12+H28</f>
        <v>5508608</v>
      </c>
      <c r="I29" s="462">
        <f>I12+I28</f>
        <v>7344810.666666666</v>
      </c>
      <c r="J29" s="463">
        <f>J12+J28</f>
        <v>9181013.3333333321</v>
      </c>
    </row>
    <row r="30" spans="1:10" s="271" customFormat="1" ht="20.100000000000001" customHeight="1" thickBot="1" x14ac:dyDescent="0.25">
      <c r="A30" s="278"/>
      <c r="B30" s="278"/>
      <c r="C30" s="279"/>
      <c r="D30" s="280"/>
      <c r="E30" s="279"/>
      <c r="F30" s="279"/>
      <c r="G30" s="279"/>
      <c r="H30" s="279"/>
      <c r="I30" s="279"/>
      <c r="J30" s="279"/>
    </row>
    <row r="31" spans="1:10" s="271" customFormat="1" ht="20.100000000000001" customHeight="1" x14ac:dyDescent="0.2">
      <c r="A31" s="1626" t="s">
        <v>961</v>
      </c>
      <c r="B31" s="1627"/>
      <c r="C31" s="1627"/>
      <c r="D31" s="1627"/>
      <c r="E31" s="1627"/>
      <c r="F31" s="1627"/>
      <c r="G31" s="1627"/>
      <c r="H31" s="1627"/>
      <c r="I31" s="1627"/>
      <c r="J31" s="1628"/>
    </row>
    <row r="32" spans="1:10" ht="20.100000000000001" customHeight="1" x14ac:dyDescent="0.2">
      <c r="A32" s="1602" t="s">
        <v>962</v>
      </c>
      <c r="B32" s="1603"/>
      <c r="C32" s="469">
        <f>(C29-C12)/C12</f>
        <v>0.72555953448275845</v>
      </c>
      <c r="D32" s="469">
        <f>(D29-D12)/D12</f>
        <v>0.69703429425287344</v>
      </c>
      <c r="E32" s="469">
        <f>(E29-E12)/E12</f>
        <v>0.67801746743294999</v>
      </c>
      <c r="F32" s="469">
        <f>(F29-F12)/F12</f>
        <v>0.66443401970443328</v>
      </c>
      <c r="G32" s="469">
        <f t="shared" ref="G32" si="6">(G29-G12)/G12</f>
        <v>0.65424643390804593</v>
      </c>
      <c r="H32" s="469">
        <f>(H29-H12)/H12</f>
        <v>0.5829333333333333</v>
      </c>
      <c r="I32" s="469">
        <f>(I29-I12)/I12</f>
        <v>0.58293333333333319</v>
      </c>
      <c r="J32" s="470">
        <f>(J29-J12)/J12</f>
        <v>0.58293333333333308</v>
      </c>
    </row>
    <row r="33" spans="1:10" s="271" customFormat="1" ht="20.100000000000001" customHeight="1" x14ac:dyDescent="0.2">
      <c r="A33" s="1602" t="s">
        <v>963</v>
      </c>
      <c r="B33" s="1603"/>
      <c r="C33" s="471">
        <f>C34/(1+C32)</f>
        <v>38666.666666666664</v>
      </c>
      <c r="D33" s="471">
        <f t="shared" ref="D33:J33" si="7">D34/(1+D32)</f>
        <v>48333.333333333328</v>
      </c>
      <c r="E33" s="471">
        <f t="shared" si="7"/>
        <v>58000</v>
      </c>
      <c r="F33" s="471">
        <f t="shared" si="7"/>
        <v>67666.666666666672</v>
      </c>
      <c r="G33" s="471">
        <f t="shared" si="7"/>
        <v>77333.333333333328</v>
      </c>
      <c r="H33" s="471">
        <f t="shared" si="7"/>
        <v>116000</v>
      </c>
      <c r="I33" s="471">
        <f t="shared" si="7"/>
        <v>154666.66666666669</v>
      </c>
      <c r="J33" s="472">
        <f t="shared" si="7"/>
        <v>193333.33333333334</v>
      </c>
    </row>
    <row r="34" spans="1:10" s="271" customFormat="1" ht="20.100000000000001" customHeight="1" thickBot="1" x14ac:dyDescent="0.25">
      <c r="A34" s="1604" t="s">
        <v>964</v>
      </c>
      <c r="B34" s="1605"/>
      <c r="C34" s="473">
        <f>C13</f>
        <v>66721.635333333325</v>
      </c>
      <c r="D34" s="473">
        <f t="shared" ref="D34:J34" si="8">D13</f>
        <v>82023.324222222218</v>
      </c>
      <c r="E34" s="473">
        <f t="shared" si="8"/>
        <v>97325.013111111097</v>
      </c>
      <c r="F34" s="473">
        <f t="shared" si="8"/>
        <v>112626.70199999999</v>
      </c>
      <c r="G34" s="473">
        <f t="shared" si="8"/>
        <v>127928.39088888888</v>
      </c>
      <c r="H34" s="473">
        <f t="shared" si="8"/>
        <v>183620.26666666666</v>
      </c>
      <c r="I34" s="473">
        <f t="shared" si="8"/>
        <v>244827.02222222221</v>
      </c>
      <c r="J34" s="474">
        <f t="shared" si="8"/>
        <v>306033.77777777775</v>
      </c>
    </row>
    <row r="35" spans="1:10" s="271" customFormat="1" ht="20.100000000000001" customHeight="1" thickBot="1" x14ac:dyDescent="0.25">
      <c r="A35" s="281"/>
      <c r="B35" s="281"/>
      <c r="C35" s="281"/>
    </row>
    <row r="36" spans="1:10" s="271" customFormat="1" ht="20.100000000000001" customHeight="1" x14ac:dyDescent="0.2">
      <c r="A36" s="1612" t="s">
        <v>965</v>
      </c>
      <c r="B36" s="1613"/>
      <c r="C36" s="1613"/>
      <c r="D36" s="1613"/>
      <c r="E36" s="1613"/>
      <c r="F36" s="1613"/>
      <c r="G36" s="1613"/>
      <c r="H36" s="1613"/>
      <c r="I36" s="1613"/>
      <c r="J36" s="1614"/>
    </row>
    <row r="37" spans="1:10" s="271" customFormat="1" ht="16.5" customHeight="1" x14ac:dyDescent="0.2">
      <c r="A37" s="1606" t="s">
        <v>966</v>
      </c>
      <c r="B37" s="1607"/>
      <c r="C37" s="1607"/>
      <c r="D37" s="1607"/>
      <c r="E37" s="1607"/>
      <c r="F37" s="1607"/>
      <c r="G37" s="1607"/>
      <c r="H37" s="1607"/>
      <c r="I37" s="1607"/>
      <c r="J37" s="1608"/>
    </row>
    <row r="38" spans="1:10" s="271" customFormat="1" ht="40.5" customHeight="1" thickBot="1" x14ac:dyDescent="0.25">
      <c r="A38" s="1609" t="s">
        <v>967</v>
      </c>
      <c r="B38" s="1610"/>
      <c r="C38" s="1610"/>
      <c r="D38" s="1610"/>
      <c r="E38" s="1610"/>
      <c r="F38" s="1610"/>
      <c r="G38" s="1610"/>
      <c r="H38" s="1610"/>
      <c r="I38" s="1610"/>
      <c r="J38" s="1611"/>
    </row>
    <row r="39" spans="1:10" s="271" customFormat="1" ht="20.100000000000001" customHeight="1" thickBot="1" x14ac:dyDescent="0.25">
      <c r="B39" s="272"/>
      <c r="C39" s="282"/>
    </row>
    <row r="40" spans="1:10" s="271" customFormat="1" ht="20.100000000000001" customHeight="1" thickBot="1" x14ac:dyDescent="0.25">
      <c r="A40" s="1597" t="s">
        <v>968</v>
      </c>
      <c r="B40" s="1598"/>
      <c r="C40" s="1598"/>
      <c r="D40" s="1598"/>
      <c r="E40" s="1598"/>
      <c r="F40" s="1598"/>
      <c r="G40" s="1598"/>
      <c r="H40" s="1598"/>
      <c r="I40" s="1598"/>
      <c r="J40" s="1599"/>
    </row>
    <row r="41" spans="1:10" s="271" customFormat="1" ht="20.100000000000001" customHeight="1" x14ac:dyDescent="0.2">
      <c r="A41" s="475" t="s">
        <v>969</v>
      </c>
      <c r="B41" s="476">
        <v>0.125</v>
      </c>
      <c r="C41" s="477">
        <f>C33*$B$41</f>
        <v>4833.333333333333</v>
      </c>
      <c r="D41" s="477">
        <f t="shared" ref="D41:J41" si="9">D33*$B$41</f>
        <v>6041.6666666666661</v>
      </c>
      <c r="E41" s="477">
        <f t="shared" si="9"/>
        <v>7250</v>
      </c>
      <c r="F41" s="477">
        <f t="shared" si="9"/>
        <v>8458.3333333333339</v>
      </c>
      <c r="G41" s="477">
        <f t="shared" si="9"/>
        <v>9666.6666666666661</v>
      </c>
      <c r="H41" s="477">
        <f t="shared" si="9"/>
        <v>14500</v>
      </c>
      <c r="I41" s="477">
        <f t="shared" si="9"/>
        <v>19333.333333333336</v>
      </c>
      <c r="J41" s="478">
        <f t="shared" si="9"/>
        <v>24166.666666666668</v>
      </c>
    </row>
    <row r="42" spans="1:10" s="271" customFormat="1" ht="20.100000000000001" customHeight="1" x14ac:dyDescent="0.2">
      <c r="A42" s="479" t="s">
        <v>970</v>
      </c>
      <c r="B42" s="480">
        <v>0.16</v>
      </c>
      <c r="C42" s="481">
        <f>C33*$B$42</f>
        <v>6186.6666666666661</v>
      </c>
      <c r="D42" s="481">
        <f t="shared" ref="D42:J42" si="10">D33*$B$42</f>
        <v>7733.333333333333</v>
      </c>
      <c r="E42" s="481">
        <f t="shared" si="10"/>
        <v>9280</v>
      </c>
      <c r="F42" s="481">
        <f t="shared" si="10"/>
        <v>10826.666666666668</v>
      </c>
      <c r="G42" s="481">
        <f t="shared" si="10"/>
        <v>12373.333333333332</v>
      </c>
      <c r="H42" s="481">
        <f t="shared" si="10"/>
        <v>18560</v>
      </c>
      <c r="I42" s="481">
        <f t="shared" si="10"/>
        <v>24746.666666666672</v>
      </c>
      <c r="J42" s="482">
        <f t="shared" si="10"/>
        <v>30933.333333333336</v>
      </c>
    </row>
    <row r="43" spans="1:10" s="271" customFormat="1" ht="20.100000000000001" customHeight="1" x14ac:dyDescent="0.2">
      <c r="A43" s="479" t="s">
        <v>971</v>
      </c>
      <c r="B43" s="483">
        <f>B18</f>
        <v>6.9599999999999995E-2</v>
      </c>
      <c r="C43" s="481">
        <f>C33*$B$43</f>
        <v>2691.2</v>
      </c>
      <c r="D43" s="481">
        <f t="shared" ref="D43:J43" si="11">D33*$B$43</f>
        <v>3363.9999999999995</v>
      </c>
      <c r="E43" s="481">
        <f t="shared" si="11"/>
        <v>4036.7999999999997</v>
      </c>
      <c r="F43" s="481">
        <f t="shared" si="11"/>
        <v>4709.6000000000004</v>
      </c>
      <c r="G43" s="481">
        <f t="shared" si="11"/>
        <v>5382.4</v>
      </c>
      <c r="H43" s="481">
        <f t="shared" si="11"/>
        <v>8073.5999999999995</v>
      </c>
      <c r="I43" s="481">
        <f t="shared" si="11"/>
        <v>10764.800000000001</v>
      </c>
      <c r="J43" s="482">
        <f t="shared" si="11"/>
        <v>13456</v>
      </c>
    </row>
    <row r="44" spans="1:10" s="271" customFormat="1" ht="20.100000000000001" customHeight="1" thickBot="1" x14ac:dyDescent="0.25">
      <c r="A44" s="1600" t="s">
        <v>972</v>
      </c>
      <c r="B44" s="1601"/>
      <c r="C44" s="484">
        <f>SUM(C41:C43)</f>
        <v>13711.2</v>
      </c>
      <c r="D44" s="484">
        <f t="shared" ref="D44:J44" si="12">SUM(D41:D43)</f>
        <v>17139</v>
      </c>
      <c r="E44" s="484">
        <f t="shared" si="12"/>
        <v>20566.8</v>
      </c>
      <c r="F44" s="484">
        <f t="shared" si="12"/>
        <v>23994.6</v>
      </c>
      <c r="G44" s="484">
        <f t="shared" si="12"/>
        <v>27422.400000000001</v>
      </c>
      <c r="H44" s="484">
        <f t="shared" si="12"/>
        <v>41133.599999999999</v>
      </c>
      <c r="I44" s="484">
        <f t="shared" si="12"/>
        <v>54844.80000000001</v>
      </c>
      <c r="J44" s="485">
        <f t="shared" si="12"/>
        <v>68556</v>
      </c>
    </row>
    <row r="45" spans="1:10" s="271" customFormat="1" ht="28.5" customHeight="1" x14ac:dyDescent="0.2">
      <c r="B45" s="283"/>
      <c r="C45" s="283"/>
    </row>
    <row r="46" spans="1:10" s="271" customFormat="1" ht="65.25" customHeight="1" x14ac:dyDescent="0.2">
      <c r="B46" s="283"/>
      <c r="C46" s="283"/>
    </row>
    <row r="47" spans="1:10" s="271" customFormat="1" ht="20.100000000000001" customHeight="1" x14ac:dyDescent="0.2">
      <c r="C47" s="282"/>
    </row>
    <row r="48" spans="1:10" s="271" customFormat="1" ht="20.100000000000001" customHeight="1" x14ac:dyDescent="0.2">
      <c r="C48" s="282"/>
    </row>
    <row r="49" spans="3:3" s="271" customFormat="1" ht="20.100000000000001" customHeight="1" x14ac:dyDescent="0.2">
      <c r="C49" s="282"/>
    </row>
    <row r="50" spans="3:3" s="271" customFormat="1" ht="20.100000000000001" customHeight="1" x14ac:dyDescent="0.2">
      <c r="C50" s="282"/>
    </row>
    <row r="51" spans="3:3" s="271" customFormat="1" ht="20.100000000000001" customHeight="1" x14ac:dyDescent="0.2">
      <c r="C51" s="282"/>
    </row>
    <row r="52" spans="3:3" s="271" customFormat="1" ht="20.100000000000001" customHeight="1" x14ac:dyDescent="0.2">
      <c r="C52" s="282"/>
    </row>
    <row r="53" spans="3:3" s="271" customFormat="1" ht="20.100000000000001" customHeight="1" x14ac:dyDescent="0.2">
      <c r="C53" s="282"/>
    </row>
    <row r="54" spans="3:3" s="271" customFormat="1" ht="20.100000000000001" customHeight="1" x14ac:dyDescent="0.2">
      <c r="C54" s="282"/>
    </row>
    <row r="55" spans="3:3" s="271" customFormat="1" ht="20.100000000000001" customHeight="1" x14ac:dyDescent="0.2">
      <c r="C55" s="282"/>
    </row>
    <row r="56" spans="3:3" s="271" customFormat="1" ht="20.100000000000001" customHeight="1" x14ac:dyDescent="0.2">
      <c r="C56" s="282"/>
    </row>
    <row r="57" spans="3:3" s="271" customFormat="1" ht="20.100000000000001" customHeight="1" x14ac:dyDescent="0.2">
      <c r="C57" s="282"/>
    </row>
    <row r="58" spans="3:3" s="271" customFormat="1" ht="20.100000000000001" customHeight="1" x14ac:dyDescent="0.2">
      <c r="C58" s="282"/>
    </row>
    <row r="59" spans="3:3" s="271" customFormat="1" ht="20.100000000000001" customHeight="1" x14ac:dyDescent="0.2">
      <c r="C59" s="282"/>
    </row>
    <row r="60" spans="3:3" s="271" customFormat="1" ht="20.100000000000001" customHeight="1" x14ac:dyDescent="0.2">
      <c r="C60" s="282"/>
    </row>
    <row r="61" spans="3:3" s="271" customFormat="1" ht="20.100000000000001" customHeight="1" x14ac:dyDescent="0.2">
      <c r="C61" s="282"/>
    </row>
    <row r="62" spans="3:3" s="271" customFormat="1" ht="20.100000000000001" customHeight="1" x14ac:dyDescent="0.2">
      <c r="C62" s="282"/>
    </row>
    <row r="63" spans="3:3" s="271" customFormat="1" ht="20.100000000000001" customHeight="1" x14ac:dyDescent="0.2">
      <c r="C63" s="282"/>
    </row>
    <row r="64" spans="3:3" s="271" customFormat="1" ht="20.100000000000001" customHeight="1" x14ac:dyDescent="0.2">
      <c r="C64" s="282"/>
    </row>
    <row r="65" spans="3:3" s="271" customFormat="1" ht="20.100000000000001" customHeight="1" x14ac:dyDescent="0.2">
      <c r="C65" s="282"/>
    </row>
    <row r="66" spans="3:3" s="271" customFormat="1" ht="20.100000000000001" customHeight="1" x14ac:dyDescent="0.2">
      <c r="C66" s="282"/>
    </row>
    <row r="67" spans="3:3" s="271" customFormat="1" ht="20.100000000000001" customHeight="1" x14ac:dyDescent="0.2">
      <c r="C67" s="282"/>
    </row>
    <row r="68" spans="3:3" s="271" customFormat="1" ht="20.100000000000001" customHeight="1" x14ac:dyDescent="0.2">
      <c r="C68" s="282"/>
    </row>
    <row r="69" spans="3:3" s="271" customFormat="1" ht="20.100000000000001" customHeight="1" x14ac:dyDescent="0.2">
      <c r="C69" s="282"/>
    </row>
    <row r="70" spans="3:3" s="271" customFormat="1" ht="20.100000000000001" customHeight="1" x14ac:dyDescent="0.2">
      <c r="C70" s="282"/>
    </row>
    <row r="71" spans="3:3" s="271" customFormat="1" ht="20.100000000000001" customHeight="1" x14ac:dyDescent="0.2">
      <c r="C71" s="282"/>
    </row>
    <row r="72" spans="3:3" s="271" customFormat="1" ht="20.100000000000001" customHeight="1" x14ac:dyDescent="0.2">
      <c r="C72" s="282"/>
    </row>
    <row r="73" spans="3:3" s="271" customFormat="1" ht="20.100000000000001" customHeight="1" x14ac:dyDescent="0.2">
      <c r="C73" s="282"/>
    </row>
    <row r="74" spans="3:3" s="271" customFormat="1" ht="20.100000000000001" customHeight="1" x14ac:dyDescent="0.2">
      <c r="C74" s="282"/>
    </row>
    <row r="75" spans="3:3" s="271" customFormat="1" ht="20.100000000000001" customHeight="1" x14ac:dyDescent="0.2">
      <c r="C75" s="282"/>
    </row>
    <row r="76" spans="3:3" s="271" customFormat="1" ht="20.100000000000001" customHeight="1" x14ac:dyDescent="0.2">
      <c r="C76" s="282"/>
    </row>
    <row r="77" spans="3:3" s="271" customFormat="1" ht="20.100000000000001" customHeight="1" x14ac:dyDescent="0.2">
      <c r="C77" s="282"/>
    </row>
    <row r="78" spans="3:3" s="271" customFormat="1" ht="20.100000000000001" customHeight="1" x14ac:dyDescent="0.2">
      <c r="C78" s="282"/>
    </row>
    <row r="79" spans="3:3" s="271" customFormat="1" ht="20.100000000000001" customHeight="1" x14ac:dyDescent="0.2">
      <c r="C79" s="282"/>
    </row>
    <row r="80" spans="3:3" s="271" customFormat="1" ht="20.100000000000001" customHeight="1" x14ac:dyDescent="0.2">
      <c r="C80" s="282"/>
    </row>
    <row r="81" spans="3:3" s="271" customFormat="1" ht="20.100000000000001" customHeight="1" x14ac:dyDescent="0.2">
      <c r="C81" s="282"/>
    </row>
    <row r="82" spans="3:3" s="271" customFormat="1" ht="20.100000000000001" customHeight="1" x14ac:dyDescent="0.2">
      <c r="C82" s="282"/>
    </row>
    <row r="83" spans="3:3" s="271" customFormat="1" ht="20.100000000000001" customHeight="1" x14ac:dyDescent="0.2">
      <c r="C83" s="282"/>
    </row>
    <row r="84" spans="3:3" s="271" customFormat="1" ht="20.100000000000001" customHeight="1" x14ac:dyDescent="0.2">
      <c r="C84" s="282"/>
    </row>
    <row r="85" spans="3:3" s="271" customFormat="1" ht="20.100000000000001" customHeight="1" x14ac:dyDescent="0.2">
      <c r="C85" s="282"/>
    </row>
    <row r="86" spans="3:3" s="271" customFormat="1" ht="20.100000000000001" customHeight="1" x14ac:dyDescent="0.2">
      <c r="C86" s="282"/>
    </row>
    <row r="87" spans="3:3" s="271" customFormat="1" ht="20.100000000000001" customHeight="1" x14ac:dyDescent="0.2">
      <c r="C87" s="282"/>
    </row>
    <row r="88" spans="3:3" s="271" customFormat="1" ht="20.100000000000001" customHeight="1" x14ac:dyDescent="0.2">
      <c r="C88" s="282"/>
    </row>
    <row r="89" spans="3:3" s="271" customFormat="1" ht="20.100000000000001" customHeight="1" x14ac:dyDescent="0.2">
      <c r="C89" s="282"/>
    </row>
    <row r="90" spans="3:3" s="271" customFormat="1" ht="20.100000000000001" customHeight="1" x14ac:dyDescent="0.2">
      <c r="C90" s="282"/>
    </row>
    <row r="91" spans="3:3" s="271" customFormat="1" ht="20.100000000000001" customHeight="1" x14ac:dyDescent="0.2">
      <c r="C91" s="282"/>
    </row>
    <row r="92" spans="3:3" s="271" customFormat="1" ht="20.100000000000001" customHeight="1" x14ac:dyDescent="0.2">
      <c r="C92" s="282"/>
    </row>
    <row r="93" spans="3:3" s="271" customFormat="1" ht="20.100000000000001" customHeight="1" x14ac:dyDescent="0.2">
      <c r="C93" s="282"/>
    </row>
    <row r="94" spans="3:3" s="271" customFormat="1" ht="20.100000000000001" customHeight="1" x14ac:dyDescent="0.2">
      <c r="C94" s="282"/>
    </row>
    <row r="95" spans="3:3" s="271" customFormat="1" ht="20.100000000000001" customHeight="1" x14ac:dyDescent="0.2">
      <c r="C95" s="282"/>
    </row>
    <row r="96" spans="3:3" s="271" customFormat="1" ht="20.100000000000001" customHeight="1" x14ac:dyDescent="0.2">
      <c r="C96" s="282"/>
    </row>
    <row r="97" spans="3:3" s="271" customFormat="1" ht="20.100000000000001" customHeight="1" x14ac:dyDescent="0.2">
      <c r="C97" s="282"/>
    </row>
    <row r="98" spans="3:3" s="271" customFormat="1" ht="20.100000000000001" customHeight="1" x14ac:dyDescent="0.2">
      <c r="C98" s="282"/>
    </row>
    <row r="99" spans="3:3" s="271" customFormat="1" ht="20.100000000000001" customHeight="1" x14ac:dyDescent="0.2">
      <c r="C99" s="282"/>
    </row>
    <row r="100" spans="3:3" s="271" customFormat="1" ht="20.100000000000001" customHeight="1" x14ac:dyDescent="0.2">
      <c r="C100" s="282"/>
    </row>
    <row r="101" spans="3:3" s="271" customFormat="1" ht="20.100000000000001" customHeight="1" x14ac:dyDescent="0.2">
      <c r="C101" s="282"/>
    </row>
    <row r="102" spans="3:3" s="271" customFormat="1" ht="20.100000000000001" customHeight="1" x14ac:dyDescent="0.2">
      <c r="C102" s="282"/>
    </row>
    <row r="103" spans="3:3" s="271" customFormat="1" ht="20.100000000000001" customHeight="1" x14ac:dyDescent="0.2">
      <c r="C103" s="282"/>
    </row>
    <row r="104" spans="3:3" s="271" customFormat="1" ht="20.100000000000001" customHeight="1" x14ac:dyDescent="0.2">
      <c r="C104" s="282"/>
    </row>
    <row r="105" spans="3:3" s="271" customFormat="1" ht="20.100000000000001" customHeight="1" x14ac:dyDescent="0.2">
      <c r="C105" s="282"/>
    </row>
    <row r="106" spans="3:3" s="271" customFormat="1" ht="20.100000000000001" customHeight="1" x14ac:dyDescent="0.2">
      <c r="C106" s="282"/>
    </row>
    <row r="107" spans="3:3" s="271" customFormat="1" ht="20.100000000000001" customHeight="1" x14ac:dyDescent="0.2">
      <c r="C107" s="282"/>
    </row>
    <row r="108" spans="3:3" s="271" customFormat="1" ht="20.100000000000001" customHeight="1" x14ac:dyDescent="0.2">
      <c r="C108" s="282"/>
    </row>
    <row r="109" spans="3:3" s="271" customFormat="1" ht="20.100000000000001" customHeight="1" x14ac:dyDescent="0.2">
      <c r="C109" s="282"/>
    </row>
    <row r="110" spans="3:3" s="271" customFormat="1" ht="20.100000000000001" customHeight="1" x14ac:dyDescent="0.2">
      <c r="C110" s="282"/>
    </row>
    <row r="111" spans="3:3" s="271" customFormat="1" ht="20.100000000000001" customHeight="1" x14ac:dyDescent="0.2">
      <c r="C111" s="282"/>
    </row>
    <row r="112" spans="3:3" s="271" customFormat="1" ht="20.100000000000001" customHeight="1" x14ac:dyDescent="0.2">
      <c r="C112" s="282"/>
    </row>
    <row r="113" spans="3:3" s="271" customFormat="1" ht="20.100000000000001" customHeight="1" x14ac:dyDescent="0.2">
      <c r="C113" s="282"/>
    </row>
    <row r="114" spans="3:3" s="271" customFormat="1" ht="20.100000000000001" customHeight="1" x14ac:dyDescent="0.2">
      <c r="C114" s="282"/>
    </row>
    <row r="115" spans="3:3" s="271" customFormat="1" ht="20.100000000000001" customHeight="1" x14ac:dyDescent="0.2">
      <c r="C115" s="282"/>
    </row>
    <row r="116" spans="3:3" s="271" customFormat="1" ht="20.100000000000001" customHeight="1" x14ac:dyDescent="0.2">
      <c r="C116" s="282"/>
    </row>
    <row r="117" spans="3:3" s="271" customFormat="1" ht="20.100000000000001" customHeight="1" x14ac:dyDescent="0.2">
      <c r="C117" s="282"/>
    </row>
    <row r="118" spans="3:3" s="271" customFormat="1" ht="20.100000000000001" customHeight="1" x14ac:dyDescent="0.2">
      <c r="C118" s="282"/>
    </row>
    <row r="119" spans="3:3" s="271" customFormat="1" ht="20.100000000000001" customHeight="1" x14ac:dyDescent="0.2">
      <c r="C119" s="282"/>
    </row>
    <row r="120" spans="3:3" s="271" customFormat="1" ht="20.100000000000001" customHeight="1" x14ac:dyDescent="0.2">
      <c r="C120" s="282"/>
    </row>
    <row r="121" spans="3:3" s="271" customFormat="1" ht="20.100000000000001" customHeight="1" x14ac:dyDescent="0.2">
      <c r="C121" s="282"/>
    </row>
    <row r="122" spans="3:3" s="271" customFormat="1" ht="20.100000000000001" customHeight="1" x14ac:dyDescent="0.2">
      <c r="C122" s="282"/>
    </row>
    <row r="123" spans="3:3" s="271" customFormat="1" ht="20.100000000000001" customHeight="1" x14ac:dyDescent="0.2">
      <c r="C123" s="282"/>
    </row>
    <row r="124" spans="3:3" s="271" customFormat="1" ht="20.100000000000001" customHeight="1" x14ac:dyDescent="0.2">
      <c r="C124" s="282"/>
    </row>
    <row r="125" spans="3:3" s="271" customFormat="1" ht="20.100000000000001" customHeight="1" x14ac:dyDescent="0.2">
      <c r="C125" s="282"/>
    </row>
    <row r="126" spans="3:3" s="271" customFormat="1" ht="20.100000000000001" customHeight="1" x14ac:dyDescent="0.2">
      <c r="C126" s="282"/>
    </row>
    <row r="127" spans="3:3" s="271" customFormat="1" ht="20.100000000000001" customHeight="1" x14ac:dyDescent="0.2">
      <c r="C127" s="282"/>
    </row>
    <row r="128" spans="3:3" s="271" customFormat="1" ht="20.100000000000001" customHeight="1" x14ac:dyDescent="0.2">
      <c r="C128" s="282"/>
    </row>
    <row r="129" spans="3:3" s="271" customFormat="1" ht="20.100000000000001" customHeight="1" x14ac:dyDescent="0.2">
      <c r="C129" s="282"/>
    </row>
    <row r="130" spans="3:3" s="271" customFormat="1" ht="20.100000000000001" customHeight="1" x14ac:dyDescent="0.2">
      <c r="C130" s="282"/>
    </row>
    <row r="131" spans="3:3" s="271" customFormat="1" ht="20.100000000000001" customHeight="1" x14ac:dyDescent="0.2">
      <c r="C131" s="282"/>
    </row>
    <row r="132" spans="3:3" s="271" customFormat="1" ht="20.100000000000001" customHeight="1" x14ac:dyDescent="0.2">
      <c r="C132" s="282"/>
    </row>
    <row r="133" spans="3:3" s="271" customFormat="1" ht="20.100000000000001" customHeight="1" x14ac:dyDescent="0.2">
      <c r="C133" s="282"/>
    </row>
    <row r="134" spans="3:3" s="271" customFormat="1" ht="20.100000000000001" customHeight="1" x14ac:dyDescent="0.2">
      <c r="C134" s="282"/>
    </row>
    <row r="135" spans="3:3" s="271" customFormat="1" ht="20.100000000000001" customHeight="1" x14ac:dyDescent="0.2">
      <c r="C135" s="282"/>
    </row>
    <row r="136" spans="3:3" s="271" customFormat="1" ht="20.100000000000001" customHeight="1" x14ac:dyDescent="0.2">
      <c r="C136" s="282"/>
    </row>
    <row r="137" spans="3:3" s="271" customFormat="1" ht="20.100000000000001" customHeight="1" x14ac:dyDescent="0.2">
      <c r="C137" s="282"/>
    </row>
    <row r="138" spans="3:3" s="271" customFormat="1" ht="20.100000000000001" customHeight="1" x14ac:dyDescent="0.2">
      <c r="C138" s="282"/>
    </row>
    <row r="139" spans="3:3" s="271" customFormat="1" ht="20.100000000000001" customHeight="1" x14ac:dyDescent="0.2">
      <c r="C139" s="282"/>
    </row>
    <row r="140" spans="3:3" s="271" customFormat="1" ht="20.100000000000001" customHeight="1" x14ac:dyDescent="0.2">
      <c r="C140" s="282"/>
    </row>
    <row r="141" spans="3:3" s="271" customFormat="1" ht="20.100000000000001" customHeight="1" x14ac:dyDescent="0.2">
      <c r="C141" s="282"/>
    </row>
    <row r="142" spans="3:3" s="271" customFormat="1" ht="20.100000000000001" customHeight="1" x14ac:dyDescent="0.2">
      <c r="C142" s="282"/>
    </row>
    <row r="143" spans="3:3" s="271" customFormat="1" ht="20.100000000000001" customHeight="1" x14ac:dyDescent="0.2">
      <c r="C143" s="282"/>
    </row>
    <row r="144" spans="3:3" s="271" customFormat="1" ht="20.100000000000001" customHeight="1" x14ac:dyDescent="0.2">
      <c r="C144" s="282"/>
    </row>
    <row r="145" spans="3:3" s="271" customFormat="1" ht="20.100000000000001" customHeight="1" x14ac:dyDescent="0.2">
      <c r="C145" s="282"/>
    </row>
    <row r="146" spans="3:3" s="271" customFormat="1" ht="20.100000000000001" customHeight="1" x14ac:dyDescent="0.2">
      <c r="C146" s="282"/>
    </row>
    <row r="147" spans="3:3" s="271" customFormat="1" ht="20.100000000000001" customHeight="1" x14ac:dyDescent="0.2">
      <c r="C147" s="282"/>
    </row>
    <row r="148" spans="3:3" s="271" customFormat="1" ht="20.100000000000001" customHeight="1" x14ac:dyDescent="0.2">
      <c r="C148" s="282"/>
    </row>
    <row r="149" spans="3:3" s="271" customFormat="1" ht="20.100000000000001" customHeight="1" x14ac:dyDescent="0.2">
      <c r="C149" s="282"/>
    </row>
    <row r="150" spans="3:3" s="271" customFormat="1" ht="20.100000000000001" customHeight="1" x14ac:dyDescent="0.2">
      <c r="C150" s="282"/>
    </row>
    <row r="151" spans="3:3" s="271" customFormat="1" ht="20.100000000000001" customHeight="1" x14ac:dyDescent="0.2">
      <c r="C151" s="282"/>
    </row>
    <row r="152" spans="3:3" s="271" customFormat="1" ht="20.100000000000001" customHeight="1" x14ac:dyDescent="0.2">
      <c r="C152" s="282"/>
    </row>
    <row r="153" spans="3:3" s="271" customFormat="1" ht="20.100000000000001" customHeight="1" x14ac:dyDescent="0.2">
      <c r="C153" s="282"/>
    </row>
    <row r="154" spans="3:3" s="271" customFormat="1" ht="20.100000000000001" customHeight="1" x14ac:dyDescent="0.2">
      <c r="C154" s="282"/>
    </row>
    <row r="155" spans="3:3" s="271" customFormat="1" ht="20.100000000000001" customHeight="1" x14ac:dyDescent="0.2">
      <c r="C155" s="282"/>
    </row>
  </sheetData>
  <sheetProtection algorithmName="SHA-512" hashValue="qChhWvDE2qTPVyA8bugVJxUzxC0lXYG1p6jlxdk0f6lhbnDNctVBd3Bbs1auK7SL2/KxaETz279+F8eBTTOfYg==" saltValue="fSxE0dOWTv9uP9oKlRxi2A==" spinCount="100000" sheet="1" formatCells="0" formatColumns="0" formatRows="0" insertColumns="0" insertRows="0" insertHyperlinks="0" deleteColumns="0" deleteRows="0" sort="0" autoFilter="0" pivotTables="0"/>
  <mergeCells count="31">
    <mergeCell ref="A11:B11"/>
    <mergeCell ref="A12:B12"/>
    <mergeCell ref="A13:B13"/>
    <mergeCell ref="A5:C5"/>
    <mergeCell ref="A6:C6"/>
    <mergeCell ref="A7:C7"/>
    <mergeCell ref="A8:C8"/>
    <mergeCell ref="D5:J5"/>
    <mergeCell ref="D6:J6"/>
    <mergeCell ref="D7:J7"/>
    <mergeCell ref="D8:J8"/>
    <mergeCell ref="A10:J10"/>
    <mergeCell ref="A15:B15"/>
    <mergeCell ref="A19:B19"/>
    <mergeCell ref="A23:B23"/>
    <mergeCell ref="A28:B28"/>
    <mergeCell ref="A31:J31"/>
    <mergeCell ref="A29:B29"/>
    <mergeCell ref="A1:B3"/>
    <mergeCell ref="C1:J1"/>
    <mergeCell ref="C2:J2"/>
    <mergeCell ref="C3:F3"/>
    <mergeCell ref="G3:J3"/>
    <mergeCell ref="A40:J40"/>
    <mergeCell ref="A44:B44"/>
    <mergeCell ref="A32:B32"/>
    <mergeCell ref="A33:B33"/>
    <mergeCell ref="A34:B34"/>
    <mergeCell ref="A37:J37"/>
    <mergeCell ref="A38:J38"/>
    <mergeCell ref="A36:J36"/>
  </mergeCells>
  <hyperlinks>
    <hyperlink ref="K1" location="ins" display="Instructivo" xr:uid="{00000000-0004-0000-1800-000000000000}"/>
  </hyperlinks>
  <printOptions horizontalCentered="1"/>
  <pageMargins left="0" right="0" top="0" bottom="0" header="0" footer="0"/>
  <pageSetup scale="90" fitToHeight="0" orientation="landscape" r:id="rId1"/>
  <drawing r:id="rId2"/>
  <legacyDrawing r:id="rId3"/>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Hoja21">
    <tabColor theme="7" tint="0.39997558519241921"/>
    <pageSetUpPr fitToPage="1"/>
  </sheetPr>
  <dimension ref="A1:G121"/>
  <sheetViews>
    <sheetView showGridLines="0" topLeftCell="A49" zoomScaleNormal="100" workbookViewId="0">
      <selection activeCell="A17" sqref="A17:E17"/>
    </sheetView>
  </sheetViews>
  <sheetFormatPr baseColWidth="10" defaultColWidth="18.83203125" defaultRowHeight="18" customHeight="1" x14ac:dyDescent="0.2"/>
  <cols>
    <col min="1" max="1" width="18.5" style="287" customWidth="1"/>
    <col min="2" max="16384" width="18.83203125" style="287"/>
  </cols>
  <sheetData>
    <row r="1" spans="1:7" ht="18" customHeight="1" x14ac:dyDescent="0.2">
      <c r="A1" s="1392"/>
      <c r="B1" s="1645"/>
      <c r="C1" s="1395" t="s">
        <v>0</v>
      </c>
      <c r="D1" s="1396"/>
      <c r="E1" s="1396"/>
      <c r="F1" s="1397"/>
      <c r="G1" s="339" t="s">
        <v>104</v>
      </c>
    </row>
    <row r="2" spans="1:7" ht="18" customHeight="1" x14ac:dyDescent="0.2">
      <c r="A2" s="1393"/>
      <c r="B2" s="1646"/>
      <c r="C2" s="1642" t="s">
        <v>973</v>
      </c>
      <c r="D2" s="1643"/>
      <c r="E2" s="1643"/>
      <c r="F2" s="1644"/>
    </row>
    <row r="3" spans="1:7" ht="20.25" customHeight="1" thickBot="1" x14ac:dyDescent="0.25">
      <c r="A3" s="1394"/>
      <c r="B3" s="1647"/>
      <c r="C3" s="953" t="s">
        <v>2</v>
      </c>
      <c r="D3" s="954"/>
      <c r="E3" s="1139" t="str">
        <f>Instructivo!G3</f>
        <v>VERSIÓN: 04</v>
      </c>
      <c r="F3" s="1182"/>
    </row>
    <row r="4" spans="1:7" ht="18" customHeight="1" thickBot="1" x14ac:dyDescent="0.25">
      <c r="A4" s="241"/>
      <c r="B4" s="67"/>
      <c r="C4" s="67"/>
      <c r="D4" s="67"/>
      <c r="E4" s="67"/>
      <c r="F4" s="67"/>
    </row>
    <row r="5" spans="1:7" ht="18" customHeight="1" thickBot="1" x14ac:dyDescent="0.25">
      <c r="A5" s="256" t="s">
        <v>820</v>
      </c>
      <c r="B5" s="1586">
        <v>2022</v>
      </c>
      <c r="C5" s="1651"/>
      <c r="D5" s="1651"/>
      <c r="E5" s="1651"/>
      <c r="F5" s="1587"/>
    </row>
    <row r="6" spans="1:7" ht="28.5" customHeight="1" thickBot="1" x14ac:dyDescent="0.25">
      <c r="A6" s="307" t="s">
        <v>974</v>
      </c>
      <c r="B6" s="1586" t="s">
        <v>975</v>
      </c>
      <c r="C6" s="1651"/>
      <c r="D6" s="1651"/>
      <c r="E6" s="1651"/>
      <c r="F6" s="1587"/>
    </row>
    <row r="7" spans="1:7" ht="18" customHeight="1" thickBot="1" x14ac:dyDescent="0.25">
      <c r="A7" s="241"/>
      <c r="B7" s="67"/>
      <c r="C7" s="67"/>
      <c r="D7" s="67"/>
      <c r="E7" s="67"/>
      <c r="F7" s="67"/>
    </row>
    <row r="8" spans="1:7" ht="30" customHeight="1" thickBot="1" x14ac:dyDescent="0.25">
      <c r="A8" s="1652" t="s">
        <v>976</v>
      </c>
      <c r="B8" s="1653"/>
      <c r="C8" s="1653"/>
      <c r="D8" s="1653"/>
      <c r="E8" s="1653"/>
      <c r="F8" s="1654"/>
    </row>
    <row r="9" spans="1:7" ht="18" customHeight="1" thickBot="1" x14ac:dyDescent="0.25"/>
    <row r="10" spans="1:7" ht="18" customHeight="1" x14ac:dyDescent="0.2">
      <c r="A10" s="1648" t="s">
        <v>977</v>
      </c>
      <c r="B10" s="1649"/>
      <c r="C10" s="1649"/>
      <c r="D10" s="1649"/>
      <c r="E10" s="1649"/>
      <c r="F10" s="1650"/>
    </row>
    <row r="11" spans="1:7" ht="44.25" customHeight="1" x14ac:dyDescent="0.2">
      <c r="A11" s="288" t="s">
        <v>978</v>
      </c>
      <c r="B11" s="289" t="s">
        <v>979</v>
      </c>
      <c r="C11" s="289" t="s">
        <v>980</v>
      </c>
      <c r="D11" s="289" t="s">
        <v>981</v>
      </c>
      <c r="E11" s="289" t="s">
        <v>982</v>
      </c>
      <c r="F11" s="290" t="s">
        <v>983</v>
      </c>
    </row>
    <row r="12" spans="1:7" ht="18" customHeight="1" x14ac:dyDescent="0.2">
      <c r="A12" s="291" t="s">
        <v>984</v>
      </c>
      <c r="B12" s="486">
        <v>908526</v>
      </c>
      <c r="C12" s="486">
        <f>B12*1.0726</f>
        <v>974484.98759999999</v>
      </c>
      <c r="D12" s="487">
        <f>C12*1.67</f>
        <v>1627389.9292919999</v>
      </c>
      <c r="E12" s="487">
        <f>D12/21</f>
        <v>77494.758537714282</v>
      </c>
      <c r="F12" s="488">
        <f>E12/8.8</f>
        <v>8806.2225611038957</v>
      </c>
    </row>
    <row r="13" spans="1:7" ht="18" customHeight="1" x14ac:dyDescent="0.2">
      <c r="A13" s="291" t="s">
        <v>985</v>
      </c>
      <c r="B13" s="486">
        <v>956878</v>
      </c>
      <c r="C13" s="486">
        <f t="shared" ref="C13:C76" si="0">B13*1.0726</f>
        <v>1026347.3428</v>
      </c>
      <c r="D13" s="487">
        <f t="shared" ref="D13:D76" si="1">C13*1.67</f>
        <v>1714000.0624759998</v>
      </c>
      <c r="E13" s="487">
        <f>D13/21</f>
        <v>81619.050594095228</v>
      </c>
      <c r="F13" s="488">
        <f>E13/8.8</f>
        <v>9274.8921129653663</v>
      </c>
    </row>
    <row r="14" spans="1:7" ht="18" customHeight="1" x14ac:dyDescent="0.2">
      <c r="A14" s="291" t="s">
        <v>986</v>
      </c>
      <c r="B14" s="486">
        <v>1047282</v>
      </c>
      <c r="C14" s="486">
        <f t="shared" si="0"/>
        <v>1123314.6732000001</v>
      </c>
      <c r="D14" s="487">
        <f t="shared" si="1"/>
        <v>1875935.504244</v>
      </c>
      <c r="E14" s="487">
        <f>D14/21</f>
        <v>89330.262106857146</v>
      </c>
      <c r="F14" s="488">
        <f>E14/8.8</f>
        <v>10151.166148506492</v>
      </c>
    </row>
    <row r="15" spans="1:7" ht="18" customHeight="1" x14ac:dyDescent="0.2">
      <c r="A15" s="291" t="s">
        <v>987</v>
      </c>
      <c r="B15" s="486">
        <v>1109674</v>
      </c>
      <c r="C15" s="486">
        <f t="shared" si="0"/>
        <v>1190236.3324</v>
      </c>
      <c r="D15" s="487">
        <f t="shared" si="1"/>
        <v>1987694.6751079999</v>
      </c>
      <c r="E15" s="487">
        <f t="shared" ref="E15:E74" si="2">D15/21</f>
        <v>94652.127386095235</v>
      </c>
      <c r="F15" s="488">
        <f t="shared" ref="F15:F74" si="3">E15/8.8</f>
        <v>10755.92356660173</v>
      </c>
    </row>
    <row r="16" spans="1:7" ht="18" customHeight="1" x14ac:dyDescent="0.2">
      <c r="A16" s="291" t="s">
        <v>988</v>
      </c>
      <c r="B16" s="486">
        <v>1180463</v>
      </c>
      <c r="C16" s="486">
        <f t="shared" si="0"/>
        <v>1266164.6137999999</v>
      </c>
      <c r="D16" s="487">
        <f t="shared" si="1"/>
        <v>2114494.9050459997</v>
      </c>
      <c r="E16" s="487">
        <f t="shared" si="2"/>
        <v>100690.23357361903</v>
      </c>
      <c r="F16" s="488">
        <f t="shared" si="3"/>
        <v>11442.071997002162</v>
      </c>
    </row>
    <row r="17" spans="1:6" ht="18" customHeight="1" x14ac:dyDescent="0.2">
      <c r="A17" s="291" t="s">
        <v>989</v>
      </c>
      <c r="B17" s="486">
        <v>1297465</v>
      </c>
      <c r="C17" s="486">
        <f t="shared" si="0"/>
        <v>1391660.959</v>
      </c>
      <c r="D17" s="487">
        <f t="shared" si="1"/>
        <v>2324073.8015299998</v>
      </c>
      <c r="E17" s="487">
        <f t="shared" si="2"/>
        <v>110670.18102523808</v>
      </c>
      <c r="F17" s="488">
        <f t="shared" si="3"/>
        <v>12576.156934686145</v>
      </c>
    </row>
    <row r="18" spans="1:6" ht="18" customHeight="1" x14ac:dyDescent="0.2">
      <c r="A18" s="291" t="s">
        <v>990</v>
      </c>
      <c r="B18" s="486">
        <v>1400462</v>
      </c>
      <c r="C18" s="486">
        <f t="shared" si="0"/>
        <v>1502135.5412000001</v>
      </c>
      <c r="D18" s="487">
        <f t="shared" si="1"/>
        <v>2508566.3538040002</v>
      </c>
      <c r="E18" s="487">
        <f t="shared" si="2"/>
        <v>119455.54065733335</v>
      </c>
      <c r="F18" s="488">
        <f t="shared" si="3"/>
        <v>13574.493256515152</v>
      </c>
    </row>
    <row r="19" spans="1:6" ht="18" customHeight="1" x14ac:dyDescent="0.2">
      <c r="A19" s="291" t="s">
        <v>991</v>
      </c>
      <c r="B19" s="486">
        <v>1503729</v>
      </c>
      <c r="C19" s="486">
        <f t="shared" si="0"/>
        <v>1612899.7254000001</v>
      </c>
      <c r="D19" s="487">
        <f t="shared" si="1"/>
        <v>2693542.5414180001</v>
      </c>
      <c r="E19" s="487">
        <f t="shared" si="2"/>
        <v>128263.93054371429</v>
      </c>
      <c r="F19" s="488">
        <f t="shared" si="3"/>
        <v>14575.446652694805</v>
      </c>
    </row>
    <row r="20" spans="1:6" ht="18" customHeight="1" x14ac:dyDescent="0.2">
      <c r="A20" s="291" t="s">
        <v>992</v>
      </c>
      <c r="B20" s="486">
        <v>1552338</v>
      </c>
      <c r="C20" s="486">
        <f t="shared" si="0"/>
        <v>1665037.7387999999</v>
      </c>
      <c r="D20" s="487">
        <f t="shared" si="1"/>
        <v>2780613.0237959996</v>
      </c>
      <c r="E20" s="487">
        <f t="shared" si="2"/>
        <v>132410.14399028569</v>
      </c>
      <c r="F20" s="488">
        <f t="shared" si="3"/>
        <v>15046.607271623374</v>
      </c>
    </row>
    <row r="21" spans="1:6" ht="18" customHeight="1" x14ac:dyDescent="0.2">
      <c r="A21" s="291" t="s">
        <v>993</v>
      </c>
      <c r="B21" s="486">
        <v>1586345</v>
      </c>
      <c r="C21" s="486">
        <f t="shared" si="0"/>
        <v>1701513.6469999999</v>
      </c>
      <c r="D21" s="487">
        <f t="shared" si="1"/>
        <v>2841527.7904899996</v>
      </c>
      <c r="E21" s="487">
        <f t="shared" si="2"/>
        <v>135310.84716619045</v>
      </c>
      <c r="F21" s="488">
        <f t="shared" si="3"/>
        <v>15376.23263252164</v>
      </c>
    </row>
    <row r="22" spans="1:6" ht="18" customHeight="1" x14ac:dyDescent="0.2">
      <c r="A22" s="291" t="s">
        <v>994</v>
      </c>
      <c r="B22" s="486">
        <v>1635651</v>
      </c>
      <c r="C22" s="486">
        <f t="shared" si="0"/>
        <v>1754399.2626</v>
      </c>
      <c r="D22" s="487">
        <f t="shared" si="1"/>
        <v>2929846.7685420001</v>
      </c>
      <c r="E22" s="487">
        <f t="shared" si="2"/>
        <v>139516.51278771428</v>
      </c>
      <c r="F22" s="488">
        <f t="shared" si="3"/>
        <v>15854.149180422077</v>
      </c>
    </row>
    <row r="23" spans="1:6" ht="18" customHeight="1" x14ac:dyDescent="0.2">
      <c r="A23" s="291" t="s">
        <v>995</v>
      </c>
      <c r="B23" s="486">
        <v>1708377</v>
      </c>
      <c r="C23" s="486">
        <f t="shared" si="0"/>
        <v>1832405.1702000001</v>
      </c>
      <c r="D23" s="487">
        <f t="shared" si="1"/>
        <v>3060116.634234</v>
      </c>
      <c r="E23" s="487">
        <f t="shared" si="2"/>
        <v>145719.83972542858</v>
      </c>
      <c r="F23" s="488">
        <f t="shared" si="3"/>
        <v>16559.072696071427</v>
      </c>
    </row>
    <row r="24" spans="1:6" ht="18" customHeight="1" x14ac:dyDescent="0.2">
      <c r="A24" s="291" t="s">
        <v>996</v>
      </c>
      <c r="B24" s="486">
        <v>1744455</v>
      </c>
      <c r="C24" s="486">
        <f t="shared" si="0"/>
        <v>1871102.433</v>
      </c>
      <c r="D24" s="487">
        <f t="shared" si="1"/>
        <v>3124741.06311</v>
      </c>
      <c r="E24" s="487">
        <f t="shared" si="2"/>
        <v>148797.19348142858</v>
      </c>
      <c r="F24" s="488">
        <f t="shared" si="3"/>
        <v>16908.771986525975</v>
      </c>
    </row>
    <row r="25" spans="1:6" ht="18" customHeight="1" x14ac:dyDescent="0.2">
      <c r="A25" s="291" t="s">
        <v>997</v>
      </c>
      <c r="B25" s="486">
        <v>1787727</v>
      </c>
      <c r="C25" s="486">
        <f t="shared" si="0"/>
        <v>1917515.9802000001</v>
      </c>
      <c r="D25" s="487">
        <f t="shared" si="1"/>
        <v>3202251.6869339999</v>
      </c>
      <c r="E25" s="487">
        <f t="shared" si="2"/>
        <v>152488.17556828572</v>
      </c>
      <c r="F25" s="488">
        <f t="shared" si="3"/>
        <v>17328.201769123374</v>
      </c>
    </row>
    <row r="26" spans="1:6" ht="18" customHeight="1" x14ac:dyDescent="0.2">
      <c r="A26" s="291" t="s">
        <v>998</v>
      </c>
      <c r="B26" s="486">
        <v>1833842</v>
      </c>
      <c r="C26" s="486">
        <f t="shared" si="0"/>
        <v>1966978.9291999999</v>
      </c>
      <c r="D26" s="487">
        <f t="shared" si="1"/>
        <v>3284854.8117639995</v>
      </c>
      <c r="E26" s="487">
        <f t="shared" si="2"/>
        <v>156421.65770304759</v>
      </c>
      <c r="F26" s="488">
        <f t="shared" si="3"/>
        <v>17775.188375346315</v>
      </c>
    </row>
    <row r="27" spans="1:6" ht="18" customHeight="1" x14ac:dyDescent="0.2">
      <c r="A27" s="291" t="s">
        <v>999</v>
      </c>
      <c r="B27" s="486">
        <v>1890818</v>
      </c>
      <c r="C27" s="486">
        <f t="shared" si="0"/>
        <v>2028091.3868</v>
      </c>
      <c r="D27" s="487">
        <f t="shared" si="1"/>
        <v>3386912.6159560001</v>
      </c>
      <c r="E27" s="487">
        <f t="shared" si="2"/>
        <v>161281.55314076191</v>
      </c>
      <c r="F27" s="488">
        <f t="shared" si="3"/>
        <v>18327.449220541126</v>
      </c>
    </row>
    <row r="28" spans="1:6" ht="18" customHeight="1" x14ac:dyDescent="0.2">
      <c r="A28" s="291" t="s">
        <v>1000</v>
      </c>
      <c r="B28" s="486">
        <v>1970395</v>
      </c>
      <c r="C28" s="486">
        <f t="shared" si="0"/>
        <v>2113445.6770000001</v>
      </c>
      <c r="D28" s="487">
        <f t="shared" si="1"/>
        <v>3529454.2805900001</v>
      </c>
      <c r="E28" s="487">
        <f t="shared" si="2"/>
        <v>168069.25145666668</v>
      </c>
      <c r="F28" s="488">
        <f t="shared" si="3"/>
        <v>19098.77857462121</v>
      </c>
    </row>
    <row r="29" spans="1:6" ht="18" customHeight="1" x14ac:dyDescent="0.2">
      <c r="A29" s="291" t="s">
        <v>1001</v>
      </c>
      <c r="B29" s="486">
        <v>2090953</v>
      </c>
      <c r="C29" s="486">
        <f t="shared" si="0"/>
        <v>2242756.1878</v>
      </c>
      <c r="D29" s="487">
        <f t="shared" si="1"/>
        <v>3745402.8336259997</v>
      </c>
      <c r="E29" s="487">
        <f t="shared" si="2"/>
        <v>178352.51588695237</v>
      </c>
      <c r="F29" s="488">
        <f t="shared" si="3"/>
        <v>20267.331350790042</v>
      </c>
    </row>
    <row r="30" spans="1:6" ht="18" customHeight="1" x14ac:dyDescent="0.2">
      <c r="A30" s="291" t="s">
        <v>1002</v>
      </c>
      <c r="B30" s="486">
        <v>2308791</v>
      </c>
      <c r="C30" s="486">
        <f t="shared" si="0"/>
        <v>2476409.2266000002</v>
      </c>
      <c r="D30" s="487">
        <f t="shared" si="1"/>
        <v>4135603.4084220002</v>
      </c>
      <c r="E30" s="487">
        <f t="shared" si="2"/>
        <v>196933.49563914287</v>
      </c>
      <c r="F30" s="488">
        <f t="shared" si="3"/>
        <v>22378.806322629869</v>
      </c>
    </row>
    <row r="31" spans="1:6" ht="18" customHeight="1" x14ac:dyDescent="0.2">
      <c r="A31" s="291" t="s">
        <v>1003</v>
      </c>
      <c r="B31" s="486">
        <v>2518224</v>
      </c>
      <c r="C31" s="486">
        <f t="shared" si="0"/>
        <v>2701047.0624000002</v>
      </c>
      <c r="D31" s="487">
        <f t="shared" si="1"/>
        <v>4510748.5942080002</v>
      </c>
      <c r="E31" s="487">
        <f t="shared" si="2"/>
        <v>214797.55210514288</v>
      </c>
      <c r="F31" s="488">
        <f t="shared" si="3"/>
        <v>24408.812739220779</v>
      </c>
    </row>
    <row r="32" spans="1:6" ht="18" customHeight="1" x14ac:dyDescent="0.2">
      <c r="A32" s="291" t="s">
        <v>1004</v>
      </c>
      <c r="B32" s="486">
        <v>2792944</v>
      </c>
      <c r="C32" s="486">
        <f t="shared" si="0"/>
        <v>2995711.7344</v>
      </c>
      <c r="D32" s="487">
        <f t="shared" si="1"/>
        <v>5002838.5964479996</v>
      </c>
      <c r="E32" s="487">
        <f t="shared" si="2"/>
        <v>238230.40935466666</v>
      </c>
      <c r="F32" s="488">
        <f t="shared" si="3"/>
        <v>27071.637426666664</v>
      </c>
    </row>
    <row r="33" spans="1:6" ht="18" customHeight="1" x14ac:dyDescent="0.2">
      <c r="A33" s="291" t="s">
        <v>1005</v>
      </c>
      <c r="B33" s="486">
        <v>3038369</v>
      </c>
      <c r="C33" s="486">
        <f t="shared" si="0"/>
        <v>3258954.5893999999</v>
      </c>
      <c r="D33" s="487">
        <f t="shared" si="1"/>
        <v>5442454.1642979998</v>
      </c>
      <c r="E33" s="487">
        <f t="shared" si="2"/>
        <v>259164.48401419047</v>
      </c>
      <c r="F33" s="488">
        <f t="shared" si="3"/>
        <v>29450.509547067097</v>
      </c>
    </row>
    <row r="34" spans="1:6" ht="18" customHeight="1" x14ac:dyDescent="0.2">
      <c r="A34" s="292" t="s">
        <v>1006</v>
      </c>
      <c r="B34" s="489">
        <v>928983</v>
      </c>
      <c r="C34" s="486">
        <f t="shared" si="0"/>
        <v>996427.16579999996</v>
      </c>
      <c r="D34" s="487">
        <f t="shared" si="1"/>
        <v>1664033.3668859999</v>
      </c>
      <c r="E34" s="487">
        <f t="shared" si="2"/>
        <v>79239.684137428572</v>
      </c>
      <c r="F34" s="488">
        <f t="shared" si="3"/>
        <v>9004.5095610714288</v>
      </c>
    </row>
    <row r="35" spans="1:6" ht="18" customHeight="1" x14ac:dyDescent="0.2">
      <c r="A35" s="292" t="s">
        <v>1007</v>
      </c>
      <c r="B35" s="489">
        <v>932377</v>
      </c>
      <c r="C35" s="486">
        <f t="shared" si="0"/>
        <v>1000067.5702</v>
      </c>
      <c r="D35" s="487">
        <f t="shared" si="1"/>
        <v>1670112.8422339999</v>
      </c>
      <c r="E35" s="487">
        <f t="shared" si="2"/>
        <v>79529.18296352381</v>
      </c>
      <c r="F35" s="488">
        <f t="shared" si="3"/>
        <v>9037.4071549458877</v>
      </c>
    </row>
    <row r="36" spans="1:6" ht="18" customHeight="1" x14ac:dyDescent="0.2">
      <c r="A36" s="292" t="s">
        <v>1008</v>
      </c>
      <c r="B36" s="489">
        <v>1047282</v>
      </c>
      <c r="C36" s="486">
        <f t="shared" si="0"/>
        <v>1123314.6732000001</v>
      </c>
      <c r="D36" s="487">
        <f t="shared" si="1"/>
        <v>1875935.504244</v>
      </c>
      <c r="E36" s="487">
        <f t="shared" si="2"/>
        <v>89330.262106857146</v>
      </c>
      <c r="F36" s="488">
        <f t="shared" si="3"/>
        <v>10151.166148506492</v>
      </c>
    </row>
    <row r="37" spans="1:6" ht="18" customHeight="1" x14ac:dyDescent="0.2">
      <c r="A37" s="292" t="s">
        <v>1009</v>
      </c>
      <c r="B37" s="489">
        <v>1109674</v>
      </c>
      <c r="C37" s="486">
        <f t="shared" si="0"/>
        <v>1190236.3324</v>
      </c>
      <c r="D37" s="487">
        <f t="shared" si="1"/>
        <v>1987694.6751079999</v>
      </c>
      <c r="E37" s="487">
        <f t="shared" si="2"/>
        <v>94652.127386095235</v>
      </c>
      <c r="F37" s="488">
        <f t="shared" si="3"/>
        <v>10755.92356660173</v>
      </c>
    </row>
    <row r="38" spans="1:6" ht="18" customHeight="1" x14ac:dyDescent="0.2">
      <c r="A38" s="292" t="s">
        <v>1010</v>
      </c>
      <c r="B38" s="489">
        <v>1180463</v>
      </c>
      <c r="C38" s="486">
        <f t="shared" si="0"/>
        <v>1266164.6137999999</v>
      </c>
      <c r="D38" s="487">
        <f t="shared" si="1"/>
        <v>2114494.9050459997</v>
      </c>
      <c r="E38" s="487">
        <f t="shared" si="2"/>
        <v>100690.23357361903</v>
      </c>
      <c r="F38" s="488">
        <f t="shared" si="3"/>
        <v>11442.071997002162</v>
      </c>
    </row>
    <row r="39" spans="1:6" ht="18" customHeight="1" x14ac:dyDescent="0.2">
      <c r="A39" s="292" t="s">
        <v>1011</v>
      </c>
      <c r="B39" s="489">
        <v>1420773</v>
      </c>
      <c r="C39" s="486">
        <f t="shared" si="0"/>
        <v>1523921.1198</v>
      </c>
      <c r="D39" s="487">
        <f t="shared" si="1"/>
        <v>2544948.2700660001</v>
      </c>
      <c r="E39" s="487">
        <f t="shared" si="2"/>
        <v>121188.01286028571</v>
      </c>
      <c r="F39" s="488">
        <f t="shared" si="3"/>
        <v>13771.365097759739</v>
      </c>
    </row>
    <row r="40" spans="1:6" ht="18" customHeight="1" x14ac:dyDescent="0.2">
      <c r="A40" s="292" t="s">
        <v>1012</v>
      </c>
      <c r="B40" s="489">
        <v>1513964</v>
      </c>
      <c r="C40" s="486">
        <f t="shared" si="0"/>
        <v>1623877.7864000001</v>
      </c>
      <c r="D40" s="487">
        <f t="shared" si="1"/>
        <v>2711875.9032880003</v>
      </c>
      <c r="E40" s="487">
        <f t="shared" si="2"/>
        <v>129136.94777561906</v>
      </c>
      <c r="F40" s="488">
        <f t="shared" si="3"/>
        <v>14674.653156320346</v>
      </c>
    </row>
    <row r="41" spans="1:6" ht="18" customHeight="1" x14ac:dyDescent="0.2">
      <c r="A41" s="292" t="s">
        <v>1013</v>
      </c>
      <c r="B41" s="489">
        <v>1552338</v>
      </c>
      <c r="C41" s="486">
        <f t="shared" si="0"/>
        <v>1665037.7387999999</v>
      </c>
      <c r="D41" s="487">
        <f t="shared" si="1"/>
        <v>2780613.0237959996</v>
      </c>
      <c r="E41" s="487">
        <f t="shared" si="2"/>
        <v>132410.14399028569</v>
      </c>
      <c r="F41" s="488">
        <f t="shared" si="3"/>
        <v>15046.607271623374</v>
      </c>
    </row>
    <row r="42" spans="1:6" ht="18" customHeight="1" x14ac:dyDescent="0.2">
      <c r="A42" s="292" t="s">
        <v>1014</v>
      </c>
      <c r="B42" s="489">
        <v>1708377</v>
      </c>
      <c r="C42" s="486">
        <f t="shared" si="0"/>
        <v>1832405.1702000001</v>
      </c>
      <c r="D42" s="487">
        <f t="shared" si="1"/>
        <v>3060116.634234</v>
      </c>
      <c r="E42" s="487">
        <f t="shared" si="2"/>
        <v>145719.83972542858</v>
      </c>
      <c r="F42" s="488">
        <f t="shared" si="3"/>
        <v>16559.072696071427</v>
      </c>
    </row>
    <row r="43" spans="1:6" ht="18" customHeight="1" x14ac:dyDescent="0.2">
      <c r="A43" s="292" t="s">
        <v>1015</v>
      </c>
      <c r="B43" s="489">
        <v>1787727</v>
      </c>
      <c r="C43" s="486">
        <f t="shared" si="0"/>
        <v>1917515.9802000001</v>
      </c>
      <c r="D43" s="487">
        <f t="shared" si="1"/>
        <v>3202251.6869339999</v>
      </c>
      <c r="E43" s="487">
        <f t="shared" si="2"/>
        <v>152488.17556828572</v>
      </c>
      <c r="F43" s="488">
        <f t="shared" si="3"/>
        <v>17328.201769123374</v>
      </c>
    </row>
    <row r="44" spans="1:6" ht="18" customHeight="1" x14ac:dyDescent="0.2">
      <c r="A44" s="292" t="s">
        <v>1016</v>
      </c>
      <c r="B44" s="489">
        <v>1884669</v>
      </c>
      <c r="C44" s="486">
        <f t="shared" si="0"/>
        <v>2021495.9694000001</v>
      </c>
      <c r="D44" s="487">
        <f t="shared" si="1"/>
        <v>3375898.268898</v>
      </c>
      <c r="E44" s="487">
        <f t="shared" si="2"/>
        <v>160757.06042371428</v>
      </c>
      <c r="F44" s="488">
        <f t="shared" si="3"/>
        <v>18267.847775422077</v>
      </c>
    </row>
    <row r="45" spans="1:6" ht="18" customHeight="1" x14ac:dyDescent="0.2">
      <c r="A45" s="292" t="s">
        <v>1017</v>
      </c>
      <c r="B45" s="489">
        <v>1998523</v>
      </c>
      <c r="C45" s="486">
        <f t="shared" si="0"/>
        <v>2143615.7697999999</v>
      </c>
      <c r="D45" s="487">
        <f t="shared" si="1"/>
        <v>3579838.3355659996</v>
      </c>
      <c r="E45" s="487">
        <f t="shared" si="2"/>
        <v>170468.4921698095</v>
      </c>
      <c r="F45" s="488">
        <f t="shared" si="3"/>
        <v>19371.419564751079</v>
      </c>
    </row>
    <row r="46" spans="1:6" ht="18" customHeight="1" x14ac:dyDescent="0.2">
      <c r="A46" s="292" t="s">
        <v>1018</v>
      </c>
      <c r="B46" s="489">
        <v>2131262</v>
      </c>
      <c r="C46" s="486">
        <f t="shared" si="0"/>
        <v>2285991.6211999999</v>
      </c>
      <c r="D46" s="487">
        <f t="shared" si="1"/>
        <v>3817606.0074039996</v>
      </c>
      <c r="E46" s="487">
        <f t="shared" si="2"/>
        <v>181790.76225733332</v>
      </c>
      <c r="F46" s="488">
        <f t="shared" si="3"/>
        <v>20658.041165606057</v>
      </c>
    </row>
    <row r="47" spans="1:6" ht="18" customHeight="1" x14ac:dyDescent="0.2">
      <c r="A47" s="292" t="s">
        <v>1019</v>
      </c>
      <c r="B47" s="489">
        <v>2209108</v>
      </c>
      <c r="C47" s="486">
        <f t="shared" si="0"/>
        <v>2369489.2407999998</v>
      </c>
      <c r="D47" s="487">
        <f t="shared" si="1"/>
        <v>3957047.0321359993</v>
      </c>
      <c r="E47" s="487">
        <f t="shared" si="2"/>
        <v>188430.81105409522</v>
      </c>
      <c r="F47" s="488">
        <f t="shared" si="3"/>
        <v>21412.592165238093</v>
      </c>
    </row>
    <row r="48" spans="1:6" ht="18" customHeight="1" x14ac:dyDescent="0.2">
      <c r="A48" s="292" t="s">
        <v>1020</v>
      </c>
      <c r="B48" s="489">
        <v>2308791</v>
      </c>
      <c r="C48" s="486">
        <f t="shared" si="0"/>
        <v>2476409.2266000002</v>
      </c>
      <c r="D48" s="487">
        <f t="shared" si="1"/>
        <v>4135603.4084220002</v>
      </c>
      <c r="E48" s="487">
        <f t="shared" si="2"/>
        <v>196933.49563914287</v>
      </c>
      <c r="F48" s="488">
        <f t="shared" si="3"/>
        <v>22378.806322629869</v>
      </c>
    </row>
    <row r="49" spans="1:6" ht="18" customHeight="1" x14ac:dyDescent="0.2">
      <c r="A49" s="292" t="s">
        <v>1021</v>
      </c>
      <c r="B49" s="489">
        <v>2608619</v>
      </c>
      <c r="C49" s="486">
        <f t="shared" si="0"/>
        <v>2798004.7393999998</v>
      </c>
      <c r="D49" s="487">
        <f t="shared" si="1"/>
        <v>4672667.9147979999</v>
      </c>
      <c r="E49" s="487">
        <f t="shared" si="2"/>
        <v>222507.99594276189</v>
      </c>
      <c r="F49" s="488">
        <f t="shared" si="3"/>
        <v>25284.999538950211</v>
      </c>
    </row>
    <row r="50" spans="1:6" ht="18" customHeight="1" x14ac:dyDescent="0.2">
      <c r="A50" s="292" t="s">
        <v>1022</v>
      </c>
      <c r="B50" s="489">
        <v>2792588</v>
      </c>
      <c r="C50" s="486">
        <f t="shared" si="0"/>
        <v>2995329.8887999998</v>
      </c>
      <c r="D50" s="487">
        <f t="shared" si="1"/>
        <v>5002200.9142959993</v>
      </c>
      <c r="E50" s="487">
        <f t="shared" si="2"/>
        <v>238200.04353790474</v>
      </c>
      <c r="F50" s="488">
        <f t="shared" si="3"/>
        <v>27068.186765670991</v>
      </c>
    </row>
    <row r="51" spans="1:6" ht="18" customHeight="1" x14ac:dyDescent="0.2">
      <c r="A51" s="292" t="s">
        <v>1023</v>
      </c>
      <c r="B51" s="489">
        <v>3068818</v>
      </c>
      <c r="C51" s="486">
        <f t="shared" si="0"/>
        <v>3291614.1867999998</v>
      </c>
      <c r="D51" s="487">
        <f t="shared" si="1"/>
        <v>5496995.6919559995</v>
      </c>
      <c r="E51" s="487">
        <f t="shared" si="2"/>
        <v>261761.69961695236</v>
      </c>
      <c r="F51" s="488">
        <f t="shared" si="3"/>
        <v>29745.647683744584</v>
      </c>
    </row>
    <row r="52" spans="1:6" ht="18" customHeight="1" x14ac:dyDescent="0.2">
      <c r="A52" s="292" t="s">
        <v>1024</v>
      </c>
      <c r="B52" s="489">
        <v>1998523</v>
      </c>
      <c r="C52" s="486">
        <f t="shared" si="0"/>
        <v>2143615.7697999999</v>
      </c>
      <c r="D52" s="487">
        <f t="shared" si="1"/>
        <v>3579838.3355659996</v>
      </c>
      <c r="E52" s="487">
        <f t="shared" si="2"/>
        <v>170468.4921698095</v>
      </c>
      <c r="F52" s="488">
        <f t="shared" si="3"/>
        <v>19371.419564751079</v>
      </c>
    </row>
    <row r="53" spans="1:6" ht="18" customHeight="1" x14ac:dyDescent="0.2">
      <c r="A53" s="292" t="s">
        <v>1025</v>
      </c>
      <c r="B53" s="489">
        <v>2209108</v>
      </c>
      <c r="C53" s="486">
        <f t="shared" si="0"/>
        <v>2369489.2407999998</v>
      </c>
      <c r="D53" s="487">
        <f t="shared" si="1"/>
        <v>3957047.0321359993</v>
      </c>
      <c r="E53" s="487">
        <f t="shared" si="2"/>
        <v>188430.81105409522</v>
      </c>
      <c r="F53" s="488">
        <f t="shared" si="3"/>
        <v>21412.592165238093</v>
      </c>
    </row>
    <row r="54" spans="1:6" ht="18" customHeight="1" x14ac:dyDescent="0.2">
      <c r="A54" s="292" t="s">
        <v>1026</v>
      </c>
      <c r="B54" s="489">
        <v>2308791</v>
      </c>
      <c r="C54" s="486">
        <f t="shared" si="0"/>
        <v>2476409.2266000002</v>
      </c>
      <c r="D54" s="487">
        <f t="shared" si="1"/>
        <v>4135603.4084220002</v>
      </c>
      <c r="E54" s="487">
        <f t="shared" si="2"/>
        <v>196933.49563914287</v>
      </c>
      <c r="F54" s="488">
        <f t="shared" si="3"/>
        <v>22378.806322629869</v>
      </c>
    </row>
    <row r="55" spans="1:6" ht="18" customHeight="1" x14ac:dyDescent="0.2">
      <c r="A55" s="292" t="s">
        <v>1027</v>
      </c>
      <c r="B55" s="489">
        <v>2431110</v>
      </c>
      <c r="C55" s="486">
        <f t="shared" si="0"/>
        <v>2607608.5860000001</v>
      </c>
      <c r="D55" s="487">
        <f t="shared" si="1"/>
        <v>4354706.3386199996</v>
      </c>
      <c r="E55" s="487">
        <f t="shared" si="2"/>
        <v>207366.96850571426</v>
      </c>
      <c r="F55" s="488">
        <f t="shared" si="3"/>
        <v>23564.428239285709</v>
      </c>
    </row>
    <row r="56" spans="1:6" ht="18" customHeight="1" x14ac:dyDescent="0.2">
      <c r="A56" s="292" t="s">
        <v>1028</v>
      </c>
      <c r="B56" s="489">
        <v>2571653</v>
      </c>
      <c r="C56" s="486">
        <f t="shared" si="0"/>
        <v>2758355.0077999998</v>
      </c>
      <c r="D56" s="487">
        <f t="shared" si="1"/>
        <v>4606452.8630259996</v>
      </c>
      <c r="E56" s="487">
        <f t="shared" si="2"/>
        <v>219354.89823933333</v>
      </c>
      <c r="F56" s="488">
        <f t="shared" si="3"/>
        <v>24926.692981742421</v>
      </c>
    </row>
    <row r="57" spans="1:6" ht="18" customHeight="1" x14ac:dyDescent="0.2">
      <c r="A57" s="292" t="s">
        <v>1029</v>
      </c>
      <c r="B57" s="489">
        <v>2661201</v>
      </c>
      <c r="C57" s="486">
        <f t="shared" si="0"/>
        <v>2854404.1926000002</v>
      </c>
      <c r="D57" s="487">
        <f t="shared" si="1"/>
        <v>4766855.0016419999</v>
      </c>
      <c r="E57" s="487">
        <f t="shared" si="2"/>
        <v>226993.0953162857</v>
      </c>
      <c r="F57" s="488">
        <f t="shared" si="3"/>
        <v>25794.669922305191</v>
      </c>
    </row>
    <row r="58" spans="1:6" ht="18" customHeight="1" x14ac:dyDescent="0.2">
      <c r="A58" s="292" t="s">
        <v>1030</v>
      </c>
      <c r="B58" s="489">
        <v>2792944</v>
      </c>
      <c r="C58" s="486">
        <f t="shared" si="0"/>
        <v>2995711.7344</v>
      </c>
      <c r="D58" s="487">
        <f t="shared" si="1"/>
        <v>5002838.5964479996</v>
      </c>
      <c r="E58" s="487">
        <f t="shared" si="2"/>
        <v>238230.40935466666</v>
      </c>
      <c r="F58" s="488">
        <f t="shared" si="3"/>
        <v>27071.637426666664</v>
      </c>
    </row>
    <row r="59" spans="1:6" ht="18" customHeight="1" x14ac:dyDescent="0.2">
      <c r="A59" s="292" t="s">
        <v>1031</v>
      </c>
      <c r="B59" s="489">
        <v>2931810</v>
      </c>
      <c r="C59" s="486">
        <f t="shared" si="0"/>
        <v>3144659.406</v>
      </c>
      <c r="D59" s="487">
        <f t="shared" si="1"/>
        <v>5251581.2080199998</v>
      </c>
      <c r="E59" s="487">
        <f t="shared" si="2"/>
        <v>250075.29561999999</v>
      </c>
      <c r="F59" s="488">
        <f t="shared" si="3"/>
        <v>28417.647229545451</v>
      </c>
    </row>
    <row r="60" spans="1:6" ht="18" customHeight="1" x14ac:dyDescent="0.2">
      <c r="A60" s="292" t="s">
        <v>1032</v>
      </c>
      <c r="B60" s="489">
        <v>3058011</v>
      </c>
      <c r="C60" s="486">
        <f t="shared" si="0"/>
        <v>3280022.5986000001</v>
      </c>
      <c r="D60" s="487">
        <f t="shared" si="1"/>
        <v>5477637.739662</v>
      </c>
      <c r="E60" s="487">
        <f t="shared" si="2"/>
        <v>260839.89236485714</v>
      </c>
      <c r="F60" s="488">
        <f t="shared" si="3"/>
        <v>29640.896859642853</v>
      </c>
    </row>
    <row r="61" spans="1:6" ht="18" customHeight="1" x14ac:dyDescent="0.2">
      <c r="A61" s="292" t="s">
        <v>1033</v>
      </c>
      <c r="B61" s="489">
        <v>3162357</v>
      </c>
      <c r="C61" s="486">
        <f t="shared" si="0"/>
        <v>3391944.1181999999</v>
      </c>
      <c r="D61" s="487">
        <f t="shared" si="1"/>
        <v>5664546.6773939999</v>
      </c>
      <c r="E61" s="487">
        <f t="shared" si="2"/>
        <v>269740.31797114282</v>
      </c>
      <c r="F61" s="488">
        <f t="shared" si="3"/>
        <v>30652.308860357138</v>
      </c>
    </row>
    <row r="62" spans="1:6" ht="18" customHeight="1" x14ac:dyDescent="0.2">
      <c r="A62" s="292" t="s">
        <v>1034</v>
      </c>
      <c r="B62" s="489">
        <v>3295498</v>
      </c>
      <c r="C62" s="486">
        <f t="shared" si="0"/>
        <v>3534751.1548000001</v>
      </c>
      <c r="D62" s="487">
        <f t="shared" si="1"/>
        <v>5903034.4285159996</v>
      </c>
      <c r="E62" s="487">
        <f t="shared" si="2"/>
        <v>281096.87754838093</v>
      </c>
      <c r="F62" s="488">
        <f t="shared" si="3"/>
        <v>31942.826994134193</v>
      </c>
    </row>
    <row r="63" spans="1:6" ht="18" customHeight="1" x14ac:dyDescent="0.2">
      <c r="A63" s="292" t="s">
        <v>1035</v>
      </c>
      <c r="B63" s="489">
        <v>3496349</v>
      </c>
      <c r="C63" s="486">
        <f t="shared" si="0"/>
        <v>3750183.9374000002</v>
      </c>
      <c r="D63" s="487">
        <f t="shared" si="1"/>
        <v>6262807.175458</v>
      </c>
      <c r="E63" s="487">
        <f t="shared" si="2"/>
        <v>298228.91311704763</v>
      </c>
      <c r="F63" s="488">
        <f t="shared" si="3"/>
        <v>33889.649217846316</v>
      </c>
    </row>
    <row r="64" spans="1:6" ht="18" customHeight="1" x14ac:dyDescent="0.2">
      <c r="A64" s="292" t="s">
        <v>1036</v>
      </c>
      <c r="B64" s="489">
        <v>3788145</v>
      </c>
      <c r="C64" s="486">
        <f t="shared" si="0"/>
        <v>4063164.327</v>
      </c>
      <c r="D64" s="487">
        <f t="shared" si="1"/>
        <v>6785484.4260900002</v>
      </c>
      <c r="E64" s="487">
        <f t="shared" si="2"/>
        <v>323118.3060042857</v>
      </c>
      <c r="F64" s="488">
        <f t="shared" si="3"/>
        <v>36717.989318668828</v>
      </c>
    </row>
    <row r="65" spans="1:6" ht="18" customHeight="1" x14ac:dyDescent="0.2">
      <c r="A65" s="292" t="s">
        <v>1037</v>
      </c>
      <c r="B65" s="489">
        <v>4053845</v>
      </c>
      <c r="C65" s="486">
        <f t="shared" si="0"/>
        <v>4348154.1469999999</v>
      </c>
      <c r="D65" s="487">
        <f t="shared" si="1"/>
        <v>7261417.4254899994</v>
      </c>
      <c r="E65" s="487">
        <f t="shared" si="2"/>
        <v>345781.78216619045</v>
      </c>
      <c r="F65" s="488">
        <f t="shared" si="3"/>
        <v>39293.384337067095</v>
      </c>
    </row>
    <row r="66" spans="1:6" ht="18" customHeight="1" x14ac:dyDescent="0.2">
      <c r="A66" s="292" t="s">
        <v>1038</v>
      </c>
      <c r="B66" s="489">
        <v>4481948</v>
      </c>
      <c r="C66" s="486">
        <f t="shared" si="0"/>
        <v>4807337.4248000002</v>
      </c>
      <c r="D66" s="487">
        <f t="shared" si="1"/>
        <v>8028253.4994160002</v>
      </c>
      <c r="E66" s="487">
        <f t="shared" si="2"/>
        <v>382297.78568647621</v>
      </c>
      <c r="F66" s="488">
        <f t="shared" si="3"/>
        <v>43442.93019164502</v>
      </c>
    </row>
    <row r="67" spans="1:6" ht="18" customHeight="1" x14ac:dyDescent="0.2">
      <c r="A67" s="292" t="s">
        <v>1039</v>
      </c>
      <c r="B67" s="489">
        <v>4832174</v>
      </c>
      <c r="C67" s="486">
        <f t="shared" si="0"/>
        <v>5182989.8323999997</v>
      </c>
      <c r="D67" s="487">
        <f t="shared" si="1"/>
        <v>8655593.0201079994</v>
      </c>
      <c r="E67" s="487">
        <f t="shared" si="2"/>
        <v>412171.09619561903</v>
      </c>
      <c r="F67" s="488">
        <f t="shared" si="3"/>
        <v>46837.624567683975</v>
      </c>
    </row>
    <row r="68" spans="1:6" ht="18" customHeight="1" x14ac:dyDescent="0.2">
      <c r="A68" s="292" t="s">
        <v>1040</v>
      </c>
      <c r="B68" s="489">
        <v>5082586</v>
      </c>
      <c r="C68" s="486">
        <f t="shared" si="0"/>
        <v>5451581.7435999997</v>
      </c>
      <c r="D68" s="487">
        <f t="shared" si="1"/>
        <v>9104141.5118119996</v>
      </c>
      <c r="E68" s="487">
        <f t="shared" si="2"/>
        <v>433530.5481815238</v>
      </c>
      <c r="F68" s="488">
        <f t="shared" si="3"/>
        <v>49264.835020627703</v>
      </c>
    </row>
    <row r="69" spans="1:6" ht="18" customHeight="1" x14ac:dyDescent="0.2">
      <c r="A69" s="292" t="s">
        <v>1041</v>
      </c>
      <c r="B69" s="489">
        <v>5473690</v>
      </c>
      <c r="C69" s="486">
        <f t="shared" si="0"/>
        <v>5871079.8940000003</v>
      </c>
      <c r="D69" s="487">
        <f t="shared" si="1"/>
        <v>9804703.4229799993</v>
      </c>
      <c r="E69" s="487">
        <f t="shared" si="2"/>
        <v>466890.63918952376</v>
      </c>
      <c r="F69" s="488">
        <f t="shared" si="3"/>
        <v>53055.754453354966</v>
      </c>
    </row>
    <row r="70" spans="1:6" ht="18" customHeight="1" x14ac:dyDescent="0.2">
      <c r="A70" s="292" t="s">
        <v>1042</v>
      </c>
      <c r="B70" s="489">
        <v>5887794</v>
      </c>
      <c r="C70" s="486">
        <f t="shared" si="0"/>
        <v>6315247.8443999998</v>
      </c>
      <c r="D70" s="487">
        <f t="shared" si="1"/>
        <v>10546463.900147999</v>
      </c>
      <c r="E70" s="487">
        <f t="shared" si="2"/>
        <v>502212.5666737142</v>
      </c>
      <c r="F70" s="488">
        <f t="shared" si="3"/>
        <v>57069.609849285698</v>
      </c>
    </row>
    <row r="71" spans="1:6" ht="18" customHeight="1" x14ac:dyDescent="0.2">
      <c r="A71" s="292" t="s">
        <v>1043</v>
      </c>
      <c r="B71" s="489">
        <v>6338071</v>
      </c>
      <c r="C71" s="486">
        <f t="shared" si="0"/>
        <v>6798214.9545999998</v>
      </c>
      <c r="D71" s="487">
        <f t="shared" si="1"/>
        <v>11353018.974181999</v>
      </c>
      <c r="E71" s="487">
        <f t="shared" si="2"/>
        <v>540619.95115152374</v>
      </c>
      <c r="F71" s="488">
        <f t="shared" si="3"/>
        <v>61434.08535812769</v>
      </c>
    </row>
    <row r="72" spans="1:6" ht="18" customHeight="1" x14ac:dyDescent="0.2">
      <c r="A72" s="292" t="s">
        <v>1044</v>
      </c>
      <c r="B72" s="489">
        <v>6755337</v>
      </c>
      <c r="C72" s="486">
        <f t="shared" si="0"/>
        <v>7245774.4661999997</v>
      </c>
      <c r="D72" s="487">
        <f t="shared" si="1"/>
        <v>12100443.358553998</v>
      </c>
      <c r="E72" s="487">
        <f t="shared" si="2"/>
        <v>576211.58850257134</v>
      </c>
      <c r="F72" s="488">
        <f t="shared" si="3"/>
        <v>65478.58960256492</v>
      </c>
    </row>
    <row r="73" spans="1:6" ht="18" customHeight="1" x14ac:dyDescent="0.2">
      <c r="A73" s="292" t="s">
        <v>1045</v>
      </c>
      <c r="B73" s="489">
        <v>7265579</v>
      </c>
      <c r="C73" s="486">
        <f t="shared" si="0"/>
        <v>7793060.0354000004</v>
      </c>
      <c r="D73" s="487">
        <f t="shared" si="1"/>
        <v>13014410.259118</v>
      </c>
      <c r="E73" s="487">
        <f t="shared" si="2"/>
        <v>619733.82186276186</v>
      </c>
      <c r="F73" s="488">
        <f t="shared" si="3"/>
        <v>70424.2979389502</v>
      </c>
    </row>
    <row r="74" spans="1:6" ht="18" customHeight="1" x14ac:dyDescent="0.2">
      <c r="A74" s="292" t="s">
        <v>1046</v>
      </c>
      <c r="B74" s="489">
        <v>7676941</v>
      </c>
      <c r="C74" s="486">
        <f t="shared" si="0"/>
        <v>8234286.9166000001</v>
      </c>
      <c r="D74" s="487">
        <f t="shared" si="1"/>
        <v>13751259.150721999</v>
      </c>
      <c r="E74" s="487">
        <f t="shared" si="2"/>
        <v>654821.86432009516</v>
      </c>
      <c r="F74" s="488">
        <f t="shared" si="3"/>
        <v>74411.575490919902</v>
      </c>
    </row>
    <row r="75" spans="1:6" ht="18" customHeight="1" x14ac:dyDescent="0.2">
      <c r="A75" s="292" t="s">
        <v>1047</v>
      </c>
      <c r="B75" s="489">
        <v>8278300</v>
      </c>
      <c r="C75" s="486">
        <f t="shared" si="0"/>
        <v>8879304.5800000001</v>
      </c>
      <c r="D75" s="487">
        <f t="shared" si="1"/>
        <v>14828438.648599999</v>
      </c>
      <c r="E75" s="487">
        <f t="shared" ref="E75:E121" si="4">D75/21</f>
        <v>706116.12612380949</v>
      </c>
      <c r="F75" s="488">
        <f t="shared" ref="F75:F121" si="5">E75/8.8</f>
        <v>80240.468877705614</v>
      </c>
    </row>
    <row r="76" spans="1:6" ht="18" customHeight="1" x14ac:dyDescent="0.2">
      <c r="A76" s="292" t="s">
        <v>1048</v>
      </c>
      <c r="B76" s="489">
        <v>3310192</v>
      </c>
      <c r="C76" s="486">
        <f t="shared" si="0"/>
        <v>3550511.9391999999</v>
      </c>
      <c r="D76" s="487">
        <f t="shared" si="1"/>
        <v>5929354.9384639999</v>
      </c>
      <c r="E76" s="487">
        <f t="shared" si="4"/>
        <v>282350.23516495235</v>
      </c>
      <c r="F76" s="488">
        <f t="shared" si="5"/>
        <v>32085.253996017309</v>
      </c>
    </row>
    <row r="77" spans="1:6" ht="18" customHeight="1" x14ac:dyDescent="0.2">
      <c r="A77" s="292" t="s">
        <v>1049</v>
      </c>
      <c r="B77" s="489">
        <v>3579600</v>
      </c>
      <c r="C77" s="486">
        <f t="shared" ref="C77:C121" si="6">B77*1.0726</f>
        <v>3839478.96</v>
      </c>
      <c r="D77" s="487">
        <f t="shared" ref="D77:D121" si="7">C77*1.67</f>
        <v>6411929.8631999996</v>
      </c>
      <c r="E77" s="487">
        <f t="shared" si="4"/>
        <v>305329.99348571425</v>
      </c>
      <c r="F77" s="488">
        <f t="shared" si="5"/>
        <v>34696.590168831164</v>
      </c>
    </row>
    <row r="78" spans="1:6" ht="18" customHeight="1" x14ac:dyDescent="0.2">
      <c r="A78" s="292" t="s">
        <v>1050</v>
      </c>
      <c r="B78" s="489">
        <v>3906492</v>
      </c>
      <c r="C78" s="486">
        <f t="shared" si="6"/>
        <v>4190103.3191999998</v>
      </c>
      <c r="D78" s="487">
        <f t="shared" si="7"/>
        <v>6997472.5430639992</v>
      </c>
      <c r="E78" s="487">
        <f t="shared" si="4"/>
        <v>333212.97824114282</v>
      </c>
      <c r="F78" s="488">
        <f t="shared" si="5"/>
        <v>37865.111163766225</v>
      </c>
    </row>
    <row r="79" spans="1:6" ht="18" customHeight="1" x14ac:dyDescent="0.2">
      <c r="A79" s="292" t="s">
        <v>1051</v>
      </c>
      <c r="B79" s="489">
        <v>4446049</v>
      </c>
      <c r="C79" s="486">
        <f t="shared" si="6"/>
        <v>4768832.1573999999</v>
      </c>
      <c r="D79" s="487">
        <f t="shared" si="7"/>
        <v>7963949.7028579991</v>
      </c>
      <c r="E79" s="487">
        <f t="shared" si="4"/>
        <v>379235.70013609517</v>
      </c>
      <c r="F79" s="488">
        <f t="shared" si="5"/>
        <v>43094.965924556265</v>
      </c>
    </row>
    <row r="80" spans="1:6" ht="18" customHeight="1" x14ac:dyDescent="0.2">
      <c r="A80" s="292" t="s">
        <v>1052</v>
      </c>
      <c r="B80" s="489">
        <v>4560188</v>
      </c>
      <c r="C80" s="486">
        <f t="shared" si="6"/>
        <v>4891257.6487999996</v>
      </c>
      <c r="D80" s="487">
        <f t="shared" si="7"/>
        <v>8168400.2734959992</v>
      </c>
      <c r="E80" s="487">
        <f t="shared" si="4"/>
        <v>388971.4415950476</v>
      </c>
      <c r="F80" s="488">
        <f t="shared" si="5"/>
        <v>44201.300181255407</v>
      </c>
    </row>
    <row r="81" spans="1:6" ht="18" customHeight="1" x14ac:dyDescent="0.2">
      <c r="A81" s="292" t="s">
        <v>1053</v>
      </c>
      <c r="B81" s="489">
        <v>5163475</v>
      </c>
      <c r="C81" s="486">
        <f t="shared" si="6"/>
        <v>5538343.2850000001</v>
      </c>
      <c r="D81" s="487">
        <f t="shared" si="7"/>
        <v>9249033.2859499995</v>
      </c>
      <c r="E81" s="487">
        <f t="shared" si="4"/>
        <v>440430.1564738095</v>
      </c>
      <c r="F81" s="488">
        <f t="shared" si="5"/>
        <v>50048.881417478347</v>
      </c>
    </row>
    <row r="82" spans="1:6" ht="18" customHeight="1" x14ac:dyDescent="0.2">
      <c r="A82" s="292" t="s">
        <v>1054</v>
      </c>
      <c r="B82" s="489">
        <v>5764758</v>
      </c>
      <c r="C82" s="486">
        <f t="shared" si="6"/>
        <v>6183279.4308000002</v>
      </c>
      <c r="D82" s="487">
        <f t="shared" si="7"/>
        <v>10326076.649436001</v>
      </c>
      <c r="E82" s="487">
        <f t="shared" si="4"/>
        <v>491717.93568742863</v>
      </c>
      <c r="F82" s="488">
        <f t="shared" si="5"/>
        <v>55877.038146298706</v>
      </c>
    </row>
    <row r="83" spans="1:6" ht="18" customHeight="1" x14ac:dyDescent="0.2">
      <c r="A83" s="292" t="s">
        <v>1055</v>
      </c>
      <c r="B83" s="489">
        <v>6308715</v>
      </c>
      <c r="C83" s="486">
        <f t="shared" si="6"/>
        <v>6766727.7089999998</v>
      </c>
      <c r="D83" s="487">
        <f t="shared" si="7"/>
        <v>11300435.27403</v>
      </c>
      <c r="E83" s="487">
        <f t="shared" si="4"/>
        <v>538115.96542999998</v>
      </c>
      <c r="F83" s="488">
        <f t="shared" si="5"/>
        <v>61149.54152613636</v>
      </c>
    </row>
    <row r="84" spans="1:6" ht="18" customHeight="1" x14ac:dyDescent="0.2">
      <c r="A84" s="292" t="s">
        <v>1056</v>
      </c>
      <c r="B84" s="489">
        <v>6630024</v>
      </c>
      <c r="C84" s="486">
        <f t="shared" si="6"/>
        <v>7111363.7423999999</v>
      </c>
      <c r="D84" s="487">
        <f t="shared" si="7"/>
        <v>11875977.449808</v>
      </c>
      <c r="E84" s="487">
        <f t="shared" si="4"/>
        <v>565522.73570514284</v>
      </c>
      <c r="F84" s="488">
        <f t="shared" si="5"/>
        <v>64263.947239220775</v>
      </c>
    </row>
    <row r="85" spans="1:6" ht="18" customHeight="1" x14ac:dyDescent="0.2">
      <c r="A85" s="292" t="s">
        <v>1057</v>
      </c>
      <c r="B85" s="489">
        <v>6894384</v>
      </c>
      <c r="C85" s="486">
        <f t="shared" si="6"/>
        <v>7394916.2784000002</v>
      </c>
      <c r="D85" s="487">
        <f t="shared" si="7"/>
        <v>12349510.184928</v>
      </c>
      <c r="E85" s="487">
        <f t="shared" si="4"/>
        <v>588071.91356799996</v>
      </c>
      <c r="F85" s="488">
        <f t="shared" si="5"/>
        <v>66826.353814545451</v>
      </c>
    </row>
    <row r="86" spans="1:6" ht="18" customHeight="1" x14ac:dyDescent="0.2">
      <c r="A86" s="292" t="s">
        <v>1058</v>
      </c>
      <c r="B86" s="489">
        <v>7249221</v>
      </c>
      <c r="C86" s="486">
        <f t="shared" si="6"/>
        <v>7775514.4446</v>
      </c>
      <c r="D86" s="487">
        <f t="shared" si="7"/>
        <v>12985109.122482</v>
      </c>
      <c r="E86" s="487">
        <f t="shared" si="4"/>
        <v>618338.52964199998</v>
      </c>
      <c r="F86" s="488">
        <f t="shared" si="5"/>
        <v>70265.742004772721</v>
      </c>
    </row>
    <row r="87" spans="1:6" ht="18" customHeight="1" x14ac:dyDescent="0.2">
      <c r="A87" s="292" t="s">
        <v>1059</v>
      </c>
      <c r="B87" s="489">
        <v>7613882</v>
      </c>
      <c r="C87" s="486">
        <f t="shared" si="6"/>
        <v>8166649.8332000002</v>
      </c>
      <c r="D87" s="487">
        <f t="shared" si="7"/>
        <v>13638305.221444</v>
      </c>
      <c r="E87" s="487">
        <f t="shared" si="4"/>
        <v>649443.10578304762</v>
      </c>
      <c r="F87" s="488">
        <f t="shared" si="5"/>
        <v>73800.352929891771</v>
      </c>
    </row>
    <row r="88" spans="1:6" ht="18" customHeight="1" x14ac:dyDescent="0.2">
      <c r="A88" s="292" t="s">
        <v>1060</v>
      </c>
      <c r="B88" s="489">
        <v>8347843</v>
      </c>
      <c r="C88" s="486">
        <f t="shared" si="6"/>
        <v>8953896.4017999992</v>
      </c>
      <c r="D88" s="487">
        <f t="shared" si="7"/>
        <v>14953006.991005998</v>
      </c>
      <c r="E88" s="487">
        <f t="shared" si="4"/>
        <v>712047.95195266663</v>
      </c>
      <c r="F88" s="488">
        <f t="shared" si="5"/>
        <v>80914.539994621198</v>
      </c>
    </row>
    <row r="89" spans="1:6" ht="18" customHeight="1" x14ac:dyDescent="0.2">
      <c r="A89" s="292" t="s">
        <v>1061</v>
      </c>
      <c r="B89" s="489">
        <v>8811600</v>
      </c>
      <c r="C89" s="486">
        <f t="shared" si="6"/>
        <v>9451322.1600000001</v>
      </c>
      <c r="D89" s="487">
        <f t="shared" si="7"/>
        <v>15783708.007199999</v>
      </c>
      <c r="E89" s="487">
        <f t="shared" si="4"/>
        <v>751605.14319999993</v>
      </c>
      <c r="F89" s="488">
        <f t="shared" si="5"/>
        <v>85409.675363636343</v>
      </c>
    </row>
    <row r="90" spans="1:6" ht="18" customHeight="1" x14ac:dyDescent="0.2">
      <c r="A90" s="292" t="s">
        <v>1062</v>
      </c>
      <c r="B90" s="489">
        <v>8992884</v>
      </c>
      <c r="C90" s="486">
        <f t="shared" si="6"/>
        <v>9645767.3783999998</v>
      </c>
      <c r="D90" s="487">
        <f t="shared" si="7"/>
        <v>16108431.521927999</v>
      </c>
      <c r="E90" s="487">
        <f t="shared" si="4"/>
        <v>767068.16771085712</v>
      </c>
      <c r="F90" s="488">
        <f t="shared" si="5"/>
        <v>87166.837239870118</v>
      </c>
    </row>
    <row r="91" spans="1:6" ht="18" customHeight="1" x14ac:dyDescent="0.2">
      <c r="A91" s="292" t="s">
        <v>1063</v>
      </c>
      <c r="B91" s="489">
        <v>9881584</v>
      </c>
      <c r="C91" s="486">
        <f t="shared" si="6"/>
        <v>10598986.998400001</v>
      </c>
      <c r="D91" s="487">
        <f t="shared" si="7"/>
        <v>17700308.287328001</v>
      </c>
      <c r="E91" s="487">
        <f t="shared" si="4"/>
        <v>842871.82320609526</v>
      </c>
      <c r="F91" s="488">
        <f t="shared" si="5"/>
        <v>95780.889000692638</v>
      </c>
    </row>
    <row r="92" spans="1:6" ht="18" customHeight="1" x14ac:dyDescent="0.2">
      <c r="A92" s="292" t="s">
        <v>1064</v>
      </c>
      <c r="B92" s="489">
        <v>10917438</v>
      </c>
      <c r="C92" s="486">
        <f t="shared" si="6"/>
        <v>11710043.9988</v>
      </c>
      <c r="D92" s="487">
        <f t="shared" si="7"/>
        <v>19555773.477995999</v>
      </c>
      <c r="E92" s="487">
        <f t="shared" si="4"/>
        <v>931227.30847599998</v>
      </c>
      <c r="F92" s="488">
        <f t="shared" si="5"/>
        <v>105821.2850540909</v>
      </c>
    </row>
    <row r="93" spans="1:6" ht="18" customHeight="1" x14ac:dyDescent="0.2">
      <c r="A93" s="292" t="s">
        <v>1065</v>
      </c>
      <c r="B93" s="489">
        <v>11850174</v>
      </c>
      <c r="C93" s="486">
        <f t="shared" si="6"/>
        <v>12710496.6324</v>
      </c>
      <c r="D93" s="487">
        <f t="shared" si="7"/>
        <v>21226529.376107998</v>
      </c>
      <c r="E93" s="487">
        <f t="shared" si="4"/>
        <v>1010787.1131479999</v>
      </c>
      <c r="F93" s="488">
        <f t="shared" si="5"/>
        <v>114862.17194863634</v>
      </c>
    </row>
    <row r="94" spans="1:6" ht="18" customHeight="1" x14ac:dyDescent="0.2">
      <c r="A94" s="292" t="s">
        <v>1066</v>
      </c>
      <c r="B94" s="489">
        <v>3391801</v>
      </c>
      <c r="C94" s="486">
        <f t="shared" si="6"/>
        <v>3638045.7525999998</v>
      </c>
      <c r="D94" s="487">
        <f t="shared" si="7"/>
        <v>6075536.4068419989</v>
      </c>
      <c r="E94" s="487">
        <f t="shared" si="4"/>
        <v>289311.25746866659</v>
      </c>
      <c r="F94" s="488">
        <f t="shared" si="5"/>
        <v>32876.27925780302</v>
      </c>
    </row>
    <row r="95" spans="1:6" ht="18" customHeight="1" x14ac:dyDescent="0.2">
      <c r="A95" s="292" t="s">
        <v>1067</v>
      </c>
      <c r="B95" s="489">
        <v>3793079</v>
      </c>
      <c r="C95" s="486">
        <f t="shared" si="6"/>
        <v>4068456.5353999999</v>
      </c>
      <c r="D95" s="487">
        <f t="shared" si="7"/>
        <v>6794322.4141179994</v>
      </c>
      <c r="E95" s="487">
        <f t="shared" si="4"/>
        <v>323539.16257704759</v>
      </c>
      <c r="F95" s="488">
        <f t="shared" si="5"/>
        <v>36765.813929209951</v>
      </c>
    </row>
    <row r="96" spans="1:6" ht="18" customHeight="1" x14ac:dyDescent="0.2">
      <c r="A96" s="292" t="s">
        <v>1068</v>
      </c>
      <c r="B96" s="489">
        <v>4005169</v>
      </c>
      <c r="C96" s="486">
        <f t="shared" si="6"/>
        <v>4295944.2693999996</v>
      </c>
      <c r="D96" s="487">
        <f t="shared" si="7"/>
        <v>7174226.9298979994</v>
      </c>
      <c r="E96" s="487">
        <f t="shared" si="4"/>
        <v>341629.85380466667</v>
      </c>
      <c r="F96" s="488">
        <f t="shared" si="5"/>
        <v>38821.574295984843</v>
      </c>
    </row>
    <row r="97" spans="1:6" ht="18" customHeight="1" x14ac:dyDescent="0.2">
      <c r="A97" s="292" t="s">
        <v>1069</v>
      </c>
      <c r="B97" s="489">
        <v>4256994</v>
      </c>
      <c r="C97" s="486">
        <f t="shared" si="6"/>
        <v>4566051.7643999998</v>
      </c>
      <c r="D97" s="487">
        <f t="shared" si="7"/>
        <v>7625306.446547999</v>
      </c>
      <c r="E97" s="487">
        <f t="shared" si="4"/>
        <v>363109.83078799996</v>
      </c>
      <c r="F97" s="488">
        <f t="shared" si="5"/>
        <v>41262.480771363626</v>
      </c>
    </row>
    <row r="98" spans="1:6" ht="18" customHeight="1" x14ac:dyDescent="0.2">
      <c r="A98" s="292" t="s">
        <v>1070</v>
      </c>
      <c r="B98" s="489">
        <v>4366542</v>
      </c>
      <c r="C98" s="486">
        <f t="shared" si="6"/>
        <v>4683552.9491999997</v>
      </c>
      <c r="D98" s="487">
        <f t="shared" si="7"/>
        <v>7821533.4251639992</v>
      </c>
      <c r="E98" s="487">
        <f t="shared" si="4"/>
        <v>372453.97262685711</v>
      </c>
      <c r="F98" s="488">
        <f t="shared" si="5"/>
        <v>42324.315071233759</v>
      </c>
    </row>
    <row r="99" spans="1:6" ht="18" customHeight="1" x14ac:dyDescent="0.2">
      <c r="A99" s="292" t="s">
        <v>1071</v>
      </c>
      <c r="B99" s="489">
        <v>4560188</v>
      </c>
      <c r="C99" s="486">
        <f t="shared" si="6"/>
        <v>4891257.6487999996</v>
      </c>
      <c r="D99" s="487">
        <f t="shared" si="7"/>
        <v>8168400.2734959992</v>
      </c>
      <c r="E99" s="487">
        <f t="shared" si="4"/>
        <v>388971.4415950476</v>
      </c>
      <c r="F99" s="488">
        <f t="shared" si="5"/>
        <v>44201.300181255407</v>
      </c>
    </row>
    <row r="100" spans="1:6" ht="18" customHeight="1" x14ac:dyDescent="0.2">
      <c r="A100" s="292" t="s">
        <v>1072</v>
      </c>
      <c r="B100" s="489">
        <v>4832864</v>
      </c>
      <c r="C100" s="486">
        <f t="shared" si="6"/>
        <v>5183729.9264000002</v>
      </c>
      <c r="D100" s="487">
        <f t="shared" si="7"/>
        <v>8656828.9770880006</v>
      </c>
      <c r="E100" s="487">
        <f t="shared" si="4"/>
        <v>412229.95128990477</v>
      </c>
      <c r="F100" s="488">
        <f t="shared" si="5"/>
        <v>46844.312646580081</v>
      </c>
    </row>
    <row r="101" spans="1:6" ht="18" customHeight="1" x14ac:dyDescent="0.2">
      <c r="A101" s="292" t="s">
        <v>1073</v>
      </c>
      <c r="B101" s="489">
        <v>4939449</v>
      </c>
      <c r="C101" s="486">
        <f t="shared" si="6"/>
        <v>5298052.9973999998</v>
      </c>
      <c r="D101" s="487">
        <f t="shared" si="7"/>
        <v>8847748.5056579988</v>
      </c>
      <c r="E101" s="487">
        <f t="shared" si="4"/>
        <v>421321.35741228564</v>
      </c>
      <c r="F101" s="488">
        <f t="shared" si="5"/>
        <v>47877.426978668816</v>
      </c>
    </row>
    <row r="102" spans="1:6" ht="18" customHeight="1" x14ac:dyDescent="0.2">
      <c r="A102" s="292" t="s">
        <v>1074</v>
      </c>
      <c r="B102" s="489">
        <v>5122535</v>
      </c>
      <c r="C102" s="486">
        <f t="shared" si="6"/>
        <v>5494431.0410000002</v>
      </c>
      <c r="D102" s="487">
        <f t="shared" si="7"/>
        <v>9175699.8384700008</v>
      </c>
      <c r="E102" s="487">
        <f t="shared" si="4"/>
        <v>436938.08754619054</v>
      </c>
      <c r="F102" s="488">
        <f t="shared" si="5"/>
        <v>49652.055402976192</v>
      </c>
    </row>
    <row r="103" spans="1:6" ht="18" customHeight="1" x14ac:dyDescent="0.2">
      <c r="A103" s="292" t="s">
        <v>1075</v>
      </c>
      <c r="B103" s="489">
        <v>5503067</v>
      </c>
      <c r="C103" s="486">
        <f t="shared" si="6"/>
        <v>5902589.6641999995</v>
      </c>
      <c r="D103" s="487">
        <f t="shared" si="7"/>
        <v>9857324.7392139994</v>
      </c>
      <c r="E103" s="487">
        <f t="shared" si="4"/>
        <v>469396.41615304758</v>
      </c>
      <c r="F103" s="488">
        <f t="shared" si="5"/>
        <v>53340.501835573581</v>
      </c>
    </row>
    <row r="104" spans="1:6" ht="18" customHeight="1" x14ac:dyDescent="0.2">
      <c r="A104" s="292" t="s">
        <v>1076</v>
      </c>
      <c r="B104" s="489">
        <v>5588420</v>
      </c>
      <c r="C104" s="486">
        <f t="shared" si="6"/>
        <v>5994139.2920000004</v>
      </c>
      <c r="D104" s="487">
        <f t="shared" si="7"/>
        <v>10010212.61764</v>
      </c>
      <c r="E104" s="487">
        <f t="shared" si="4"/>
        <v>476676.79131619044</v>
      </c>
      <c r="F104" s="488">
        <f t="shared" si="5"/>
        <v>54167.817195021635</v>
      </c>
    </row>
    <row r="105" spans="1:6" ht="18" customHeight="1" x14ac:dyDescent="0.2">
      <c r="A105" s="292" t="s">
        <v>1077</v>
      </c>
      <c r="B105" s="489">
        <v>5764758</v>
      </c>
      <c r="C105" s="486">
        <f t="shared" si="6"/>
        <v>6183279.4308000002</v>
      </c>
      <c r="D105" s="487">
        <f t="shared" si="7"/>
        <v>10326076.649436001</v>
      </c>
      <c r="E105" s="487">
        <f t="shared" si="4"/>
        <v>491717.93568742863</v>
      </c>
      <c r="F105" s="488">
        <f t="shared" si="5"/>
        <v>55877.038146298706</v>
      </c>
    </row>
    <row r="106" spans="1:6" ht="18" customHeight="1" x14ac:dyDescent="0.2">
      <c r="A106" s="292" t="s">
        <v>1078</v>
      </c>
      <c r="B106" s="489">
        <v>6014317</v>
      </c>
      <c r="C106" s="486">
        <f t="shared" si="6"/>
        <v>6450956.4141999995</v>
      </c>
      <c r="D106" s="487">
        <f t="shared" si="7"/>
        <v>10773097.211714</v>
      </c>
      <c r="E106" s="487">
        <f t="shared" si="4"/>
        <v>513004.62912923808</v>
      </c>
      <c r="F106" s="488">
        <f t="shared" si="5"/>
        <v>58295.98058286796</v>
      </c>
    </row>
    <row r="107" spans="1:6" ht="18" customHeight="1" x14ac:dyDescent="0.2">
      <c r="A107" s="292" t="s">
        <v>1079</v>
      </c>
      <c r="B107" s="489">
        <v>6338312</v>
      </c>
      <c r="C107" s="486">
        <f t="shared" si="6"/>
        <v>6798473.4512</v>
      </c>
      <c r="D107" s="487">
        <f t="shared" si="7"/>
        <v>11353450.663503999</v>
      </c>
      <c r="E107" s="487">
        <f t="shared" si="4"/>
        <v>540640.50778590469</v>
      </c>
      <c r="F107" s="488">
        <f t="shared" si="5"/>
        <v>61436.421339307344</v>
      </c>
    </row>
    <row r="108" spans="1:6" ht="18" customHeight="1" x14ac:dyDescent="0.2">
      <c r="A108" s="292" t="s">
        <v>1080</v>
      </c>
      <c r="B108" s="489">
        <v>6470179</v>
      </c>
      <c r="C108" s="486">
        <f t="shared" si="6"/>
        <v>6939913.9954000004</v>
      </c>
      <c r="D108" s="487">
        <f t="shared" si="7"/>
        <v>11589656.372318</v>
      </c>
      <c r="E108" s="487">
        <f t="shared" si="4"/>
        <v>551888.39868180954</v>
      </c>
      <c r="F108" s="488">
        <f t="shared" si="5"/>
        <v>62714.59075929653</v>
      </c>
    </row>
    <row r="109" spans="1:6" ht="18" customHeight="1" x14ac:dyDescent="0.2">
      <c r="A109" s="292" t="s">
        <v>1081</v>
      </c>
      <c r="B109" s="489">
        <v>6559643</v>
      </c>
      <c r="C109" s="486">
        <f t="shared" si="6"/>
        <v>7035873.0817999998</v>
      </c>
      <c r="D109" s="487">
        <f t="shared" si="7"/>
        <v>11749908.046605999</v>
      </c>
      <c r="E109" s="487">
        <f t="shared" si="4"/>
        <v>559519.43079076183</v>
      </c>
      <c r="F109" s="488">
        <f t="shared" si="5"/>
        <v>63581.753498950202</v>
      </c>
    </row>
    <row r="110" spans="1:6" ht="18" customHeight="1" x14ac:dyDescent="0.2">
      <c r="A110" s="292" t="s">
        <v>1082</v>
      </c>
      <c r="B110" s="489">
        <v>6918321</v>
      </c>
      <c r="C110" s="486">
        <f t="shared" si="6"/>
        <v>7420591.1046000002</v>
      </c>
      <c r="D110" s="487">
        <f t="shared" si="7"/>
        <v>12392387.144681999</v>
      </c>
      <c r="E110" s="487">
        <f t="shared" si="4"/>
        <v>590113.67355628568</v>
      </c>
      <c r="F110" s="488">
        <f t="shared" si="5"/>
        <v>67058.371995032459</v>
      </c>
    </row>
    <row r="111" spans="1:6" ht="18" customHeight="1" x14ac:dyDescent="0.2">
      <c r="A111" s="292" t="s">
        <v>1083</v>
      </c>
      <c r="B111" s="489">
        <v>7492779</v>
      </c>
      <c r="C111" s="486">
        <f t="shared" si="6"/>
        <v>8036754.7554000001</v>
      </c>
      <c r="D111" s="487">
        <f t="shared" si="7"/>
        <v>13421380.441517999</v>
      </c>
      <c r="E111" s="487">
        <f t="shared" si="4"/>
        <v>639113.35435799998</v>
      </c>
      <c r="F111" s="488">
        <f t="shared" si="5"/>
        <v>72626.517540681816</v>
      </c>
    </row>
    <row r="112" spans="1:6" ht="18" customHeight="1" x14ac:dyDescent="0.2">
      <c r="A112" s="292" t="s">
        <v>1084</v>
      </c>
      <c r="B112" s="489">
        <v>8068525</v>
      </c>
      <c r="C112" s="486">
        <f t="shared" si="6"/>
        <v>8654299.9149999991</v>
      </c>
      <c r="D112" s="487">
        <f t="shared" si="7"/>
        <v>14452680.858049998</v>
      </c>
      <c r="E112" s="487">
        <f t="shared" si="4"/>
        <v>688222.89800238085</v>
      </c>
      <c r="F112" s="488">
        <f t="shared" si="5"/>
        <v>78207.147500270541</v>
      </c>
    </row>
    <row r="113" spans="1:6" ht="18" customHeight="1" x14ac:dyDescent="0.2">
      <c r="A113" s="292" t="s">
        <v>1085</v>
      </c>
      <c r="B113" s="489">
        <v>8872530</v>
      </c>
      <c r="C113" s="486">
        <f t="shared" si="6"/>
        <v>9516675.6779999994</v>
      </c>
      <c r="D113" s="487">
        <f t="shared" si="7"/>
        <v>15892848.382259998</v>
      </c>
      <c r="E113" s="487">
        <f t="shared" si="4"/>
        <v>756802.3039171428</v>
      </c>
      <c r="F113" s="488">
        <f t="shared" si="5"/>
        <v>86000.261808766227</v>
      </c>
    </row>
    <row r="114" spans="1:6" ht="18" customHeight="1" x14ac:dyDescent="0.2">
      <c r="A114" s="292" t="s">
        <v>1086</v>
      </c>
      <c r="B114" s="489">
        <v>8994052</v>
      </c>
      <c r="C114" s="486">
        <f t="shared" si="6"/>
        <v>9647020.1752000004</v>
      </c>
      <c r="D114" s="487">
        <f t="shared" si="7"/>
        <v>16110523.692584001</v>
      </c>
      <c r="E114" s="487">
        <f t="shared" si="4"/>
        <v>767167.79488495237</v>
      </c>
      <c r="F114" s="488">
        <f t="shared" si="5"/>
        <v>87178.158509653673</v>
      </c>
    </row>
    <row r="115" spans="1:6" ht="18" customHeight="1" x14ac:dyDescent="0.2">
      <c r="A115" s="292" t="s">
        <v>1087</v>
      </c>
      <c r="B115" s="489">
        <v>9952423</v>
      </c>
      <c r="C115" s="486">
        <f t="shared" si="6"/>
        <v>10674968.9098</v>
      </c>
      <c r="D115" s="487">
        <f t="shared" si="7"/>
        <v>17827198.079365999</v>
      </c>
      <c r="E115" s="487">
        <f t="shared" si="4"/>
        <v>848914.19425552373</v>
      </c>
      <c r="F115" s="488">
        <f t="shared" si="5"/>
        <v>96467.522074491324</v>
      </c>
    </row>
    <row r="116" spans="1:6" ht="18" customHeight="1" x14ac:dyDescent="0.2">
      <c r="A116" s="292" t="s">
        <v>1088</v>
      </c>
      <c r="B116" s="489">
        <v>10931156</v>
      </c>
      <c r="C116" s="486">
        <f t="shared" si="6"/>
        <v>11724757.9256</v>
      </c>
      <c r="D116" s="487">
        <f t="shared" si="7"/>
        <v>19580345.735751998</v>
      </c>
      <c r="E116" s="487">
        <f t="shared" si="4"/>
        <v>932397.41598819033</v>
      </c>
      <c r="F116" s="488">
        <f t="shared" si="5"/>
        <v>105954.25181683981</v>
      </c>
    </row>
    <row r="117" spans="1:6" ht="18" customHeight="1" x14ac:dyDescent="0.2">
      <c r="A117" s="292" t="s">
        <v>1089</v>
      </c>
      <c r="B117" s="489">
        <v>11795368</v>
      </c>
      <c r="C117" s="486">
        <f t="shared" si="6"/>
        <v>12651711.716800001</v>
      </c>
      <c r="D117" s="487">
        <f t="shared" si="7"/>
        <v>21128358.567056</v>
      </c>
      <c r="E117" s="487">
        <f t="shared" si="4"/>
        <v>1006112.3127169524</v>
      </c>
      <c r="F117" s="488">
        <f t="shared" si="5"/>
        <v>114330.9446269264</v>
      </c>
    </row>
    <row r="118" spans="1:6" ht="18" customHeight="1" x14ac:dyDescent="0.2">
      <c r="A118" s="292" t="s">
        <v>1090</v>
      </c>
      <c r="B118" s="489">
        <v>12718013</v>
      </c>
      <c r="C118" s="486">
        <f t="shared" si="6"/>
        <v>13641340.743799999</v>
      </c>
      <c r="D118" s="487">
        <f t="shared" si="7"/>
        <v>22781039.042145997</v>
      </c>
      <c r="E118" s="487">
        <f t="shared" si="4"/>
        <v>1084811.3829593332</v>
      </c>
      <c r="F118" s="488">
        <f t="shared" si="5"/>
        <v>123274.02079083331</v>
      </c>
    </row>
    <row r="119" spans="1:6" ht="18" customHeight="1" x14ac:dyDescent="0.2">
      <c r="A119" s="292" t="s">
        <v>1091</v>
      </c>
      <c r="B119" s="489">
        <v>13379348</v>
      </c>
      <c r="C119" s="486">
        <f t="shared" si="6"/>
        <v>14350688.664799999</v>
      </c>
      <c r="D119" s="487">
        <f t="shared" si="7"/>
        <v>23965650.070215996</v>
      </c>
      <c r="E119" s="487">
        <f t="shared" si="4"/>
        <v>1141221.4319150473</v>
      </c>
      <c r="F119" s="488">
        <f t="shared" si="5"/>
        <v>129684.25362670992</v>
      </c>
    </row>
    <row r="120" spans="1:6" ht="18" customHeight="1" x14ac:dyDescent="0.2">
      <c r="A120" s="292" t="s">
        <v>1092</v>
      </c>
      <c r="B120" s="489">
        <v>14042684</v>
      </c>
      <c r="C120" s="486">
        <f t="shared" si="6"/>
        <v>15062182.8584</v>
      </c>
      <c r="D120" s="487">
        <f t="shared" si="7"/>
        <v>25153845.373528</v>
      </c>
      <c r="E120" s="487">
        <f t="shared" si="4"/>
        <v>1197802.1606441904</v>
      </c>
      <c r="F120" s="488">
        <f t="shared" si="5"/>
        <v>136113.88189138527</v>
      </c>
    </row>
    <row r="121" spans="1:6" ht="18" customHeight="1" thickBot="1" x14ac:dyDescent="0.25">
      <c r="A121" s="293" t="s">
        <v>1093</v>
      </c>
      <c r="B121" s="490">
        <v>14825106</v>
      </c>
      <c r="C121" s="491">
        <f t="shared" si="6"/>
        <v>15901408.695599999</v>
      </c>
      <c r="D121" s="492">
        <f t="shared" si="7"/>
        <v>26555352.521651998</v>
      </c>
      <c r="E121" s="492">
        <f t="shared" si="4"/>
        <v>1264540.5962691428</v>
      </c>
      <c r="F121" s="493">
        <f t="shared" si="5"/>
        <v>143697.79503058441</v>
      </c>
    </row>
  </sheetData>
  <sheetProtection algorithmName="SHA-512" hashValue="MmzzAnqUudJCrSB/KfsI2f7MAZp80wKuE8bTLSujLDFUD/vuQcH6qsJDkyE9eWWQ8yntCu6E8XZVFEwG6H29Zg==" saltValue="35v+USPawNVwwGvziGBUzA==" spinCount="100000" sheet="1" formatCells="0" formatColumns="0" formatRows="0" insertColumns="0" insertRows="0" insertHyperlinks="0" deleteColumns="0" deleteRows="0" sort="0" autoFilter="0" pivotTables="0"/>
  <mergeCells count="9">
    <mergeCell ref="C1:F1"/>
    <mergeCell ref="C2:F2"/>
    <mergeCell ref="C3:D3"/>
    <mergeCell ref="A1:B3"/>
    <mergeCell ref="A10:F10"/>
    <mergeCell ref="E3:F3"/>
    <mergeCell ref="B5:F5"/>
    <mergeCell ref="B6:F6"/>
    <mergeCell ref="A8:F8"/>
  </mergeCells>
  <hyperlinks>
    <hyperlink ref="G1" location="ins" display="Instructivo" xr:uid="{00000000-0004-0000-1900-000000000000}"/>
  </hyperlinks>
  <printOptions horizontalCentered="1"/>
  <pageMargins left="0" right="0" top="0" bottom="0" header="0" footer="0"/>
  <pageSetup fitToHeight="0" orientation="landscape" r:id="rId1"/>
  <drawing r:id="rId2"/>
  <legacyDrawing r:id="rId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Hoja23">
    <tabColor theme="7" tint="0.39997558519241921"/>
    <pageSetUpPr fitToPage="1"/>
  </sheetPr>
  <dimension ref="A1:F66"/>
  <sheetViews>
    <sheetView showGridLines="0" topLeftCell="A47" zoomScaleNormal="100" workbookViewId="0">
      <selection activeCell="A17" sqref="A17:E17"/>
    </sheetView>
  </sheetViews>
  <sheetFormatPr baseColWidth="10" defaultColWidth="13.33203125" defaultRowHeight="20.100000000000001" customHeight="1" x14ac:dyDescent="0.2"/>
  <cols>
    <col min="1" max="1" width="34.1640625" style="294" customWidth="1"/>
    <col min="2" max="2" width="32.83203125" style="294" customWidth="1"/>
    <col min="3" max="3" width="21.33203125" style="294" customWidth="1"/>
    <col min="4" max="4" width="22.83203125" style="294" customWidth="1"/>
    <col min="5" max="5" width="18.33203125" style="294" customWidth="1"/>
    <col min="6" max="238" width="13.33203125" style="294"/>
    <col min="239" max="239" width="2.83203125" style="294" customWidth="1"/>
    <col min="240" max="240" width="85" style="294" customWidth="1"/>
    <col min="241" max="241" width="13.5" style="294" customWidth="1"/>
    <col min="242" max="242" width="21.6640625" style="294" customWidth="1"/>
    <col min="243" max="494" width="13.33203125" style="294"/>
    <col min="495" max="495" width="2.83203125" style="294" customWidth="1"/>
    <col min="496" max="496" width="85" style="294" customWidth="1"/>
    <col min="497" max="497" width="13.5" style="294" customWidth="1"/>
    <col min="498" max="498" width="21.6640625" style="294" customWidth="1"/>
    <col min="499" max="750" width="13.33203125" style="294"/>
    <col min="751" max="751" width="2.83203125" style="294" customWidth="1"/>
    <col min="752" max="752" width="85" style="294" customWidth="1"/>
    <col min="753" max="753" width="13.5" style="294" customWidth="1"/>
    <col min="754" max="754" width="21.6640625" style="294" customWidth="1"/>
    <col min="755" max="1006" width="13.33203125" style="294"/>
    <col min="1007" max="1007" width="2.83203125" style="294" customWidth="1"/>
    <col min="1008" max="1008" width="85" style="294" customWidth="1"/>
    <col min="1009" max="1009" width="13.5" style="294" customWidth="1"/>
    <col min="1010" max="1010" width="21.6640625" style="294" customWidth="1"/>
    <col min="1011" max="1262" width="13.33203125" style="294"/>
    <col min="1263" max="1263" width="2.83203125" style="294" customWidth="1"/>
    <col min="1264" max="1264" width="85" style="294" customWidth="1"/>
    <col min="1265" max="1265" width="13.5" style="294" customWidth="1"/>
    <col min="1266" max="1266" width="21.6640625" style="294" customWidth="1"/>
    <col min="1267" max="1518" width="13.33203125" style="294"/>
    <col min="1519" max="1519" width="2.83203125" style="294" customWidth="1"/>
    <col min="1520" max="1520" width="85" style="294" customWidth="1"/>
    <col min="1521" max="1521" width="13.5" style="294" customWidth="1"/>
    <col min="1522" max="1522" width="21.6640625" style="294" customWidth="1"/>
    <col min="1523" max="1774" width="13.33203125" style="294"/>
    <col min="1775" max="1775" width="2.83203125" style="294" customWidth="1"/>
    <col min="1776" max="1776" width="85" style="294" customWidth="1"/>
    <col min="1777" max="1777" width="13.5" style="294" customWidth="1"/>
    <col min="1778" max="1778" width="21.6640625" style="294" customWidth="1"/>
    <col min="1779" max="2030" width="13.33203125" style="294"/>
    <col min="2031" max="2031" width="2.83203125" style="294" customWidth="1"/>
    <col min="2032" max="2032" width="85" style="294" customWidth="1"/>
    <col min="2033" max="2033" width="13.5" style="294" customWidth="1"/>
    <col min="2034" max="2034" width="21.6640625" style="294" customWidth="1"/>
    <col min="2035" max="2286" width="13.33203125" style="294"/>
    <col min="2287" max="2287" width="2.83203125" style="294" customWidth="1"/>
    <col min="2288" max="2288" width="85" style="294" customWidth="1"/>
    <col min="2289" max="2289" width="13.5" style="294" customWidth="1"/>
    <col min="2290" max="2290" width="21.6640625" style="294" customWidth="1"/>
    <col min="2291" max="2542" width="13.33203125" style="294"/>
    <col min="2543" max="2543" width="2.83203125" style="294" customWidth="1"/>
    <col min="2544" max="2544" width="85" style="294" customWidth="1"/>
    <col min="2545" max="2545" width="13.5" style="294" customWidth="1"/>
    <col min="2546" max="2546" width="21.6640625" style="294" customWidth="1"/>
    <col min="2547" max="2798" width="13.33203125" style="294"/>
    <col min="2799" max="2799" width="2.83203125" style="294" customWidth="1"/>
    <col min="2800" max="2800" width="85" style="294" customWidth="1"/>
    <col min="2801" max="2801" width="13.5" style="294" customWidth="1"/>
    <col min="2802" max="2802" width="21.6640625" style="294" customWidth="1"/>
    <col min="2803" max="3054" width="13.33203125" style="294"/>
    <col min="3055" max="3055" width="2.83203125" style="294" customWidth="1"/>
    <col min="3056" max="3056" width="85" style="294" customWidth="1"/>
    <col min="3057" max="3057" width="13.5" style="294" customWidth="1"/>
    <col min="3058" max="3058" width="21.6640625" style="294" customWidth="1"/>
    <col min="3059" max="3310" width="13.33203125" style="294"/>
    <col min="3311" max="3311" width="2.83203125" style="294" customWidth="1"/>
    <col min="3312" max="3312" width="85" style="294" customWidth="1"/>
    <col min="3313" max="3313" width="13.5" style="294" customWidth="1"/>
    <col min="3314" max="3314" width="21.6640625" style="294" customWidth="1"/>
    <col min="3315" max="3566" width="13.33203125" style="294"/>
    <col min="3567" max="3567" width="2.83203125" style="294" customWidth="1"/>
    <col min="3568" max="3568" width="85" style="294" customWidth="1"/>
    <col min="3569" max="3569" width="13.5" style="294" customWidth="1"/>
    <col min="3570" max="3570" width="21.6640625" style="294" customWidth="1"/>
    <col min="3571" max="3822" width="13.33203125" style="294"/>
    <col min="3823" max="3823" width="2.83203125" style="294" customWidth="1"/>
    <col min="3824" max="3824" width="85" style="294" customWidth="1"/>
    <col min="3825" max="3825" width="13.5" style="294" customWidth="1"/>
    <col min="3826" max="3826" width="21.6640625" style="294" customWidth="1"/>
    <col min="3827" max="4078" width="13.33203125" style="294"/>
    <col min="4079" max="4079" width="2.83203125" style="294" customWidth="1"/>
    <col min="4080" max="4080" width="85" style="294" customWidth="1"/>
    <col min="4081" max="4081" width="13.5" style="294" customWidth="1"/>
    <col min="4082" max="4082" width="21.6640625" style="294" customWidth="1"/>
    <col min="4083" max="4334" width="13.33203125" style="294"/>
    <col min="4335" max="4335" width="2.83203125" style="294" customWidth="1"/>
    <col min="4336" max="4336" width="85" style="294" customWidth="1"/>
    <col min="4337" max="4337" width="13.5" style="294" customWidth="1"/>
    <col min="4338" max="4338" width="21.6640625" style="294" customWidth="1"/>
    <col min="4339" max="4590" width="13.33203125" style="294"/>
    <col min="4591" max="4591" width="2.83203125" style="294" customWidth="1"/>
    <col min="4592" max="4592" width="85" style="294" customWidth="1"/>
    <col min="4593" max="4593" width="13.5" style="294" customWidth="1"/>
    <col min="4594" max="4594" width="21.6640625" style="294" customWidth="1"/>
    <col min="4595" max="4846" width="13.33203125" style="294"/>
    <col min="4847" max="4847" width="2.83203125" style="294" customWidth="1"/>
    <col min="4848" max="4848" width="85" style="294" customWidth="1"/>
    <col min="4849" max="4849" width="13.5" style="294" customWidth="1"/>
    <col min="4850" max="4850" width="21.6640625" style="294" customWidth="1"/>
    <col min="4851" max="5102" width="13.33203125" style="294"/>
    <col min="5103" max="5103" width="2.83203125" style="294" customWidth="1"/>
    <col min="5104" max="5104" width="85" style="294" customWidth="1"/>
    <col min="5105" max="5105" width="13.5" style="294" customWidth="1"/>
    <col min="5106" max="5106" width="21.6640625" style="294" customWidth="1"/>
    <col min="5107" max="5358" width="13.33203125" style="294"/>
    <col min="5359" max="5359" width="2.83203125" style="294" customWidth="1"/>
    <col min="5360" max="5360" width="85" style="294" customWidth="1"/>
    <col min="5361" max="5361" width="13.5" style="294" customWidth="1"/>
    <col min="5362" max="5362" width="21.6640625" style="294" customWidth="1"/>
    <col min="5363" max="5614" width="13.33203125" style="294"/>
    <col min="5615" max="5615" width="2.83203125" style="294" customWidth="1"/>
    <col min="5616" max="5616" width="85" style="294" customWidth="1"/>
    <col min="5617" max="5617" width="13.5" style="294" customWidth="1"/>
    <col min="5618" max="5618" width="21.6640625" style="294" customWidth="1"/>
    <col min="5619" max="5870" width="13.33203125" style="294"/>
    <col min="5871" max="5871" width="2.83203125" style="294" customWidth="1"/>
    <col min="5872" max="5872" width="85" style="294" customWidth="1"/>
    <col min="5873" max="5873" width="13.5" style="294" customWidth="1"/>
    <col min="5874" max="5874" width="21.6640625" style="294" customWidth="1"/>
    <col min="5875" max="6126" width="13.33203125" style="294"/>
    <col min="6127" max="6127" width="2.83203125" style="294" customWidth="1"/>
    <col min="6128" max="6128" width="85" style="294" customWidth="1"/>
    <col min="6129" max="6129" width="13.5" style="294" customWidth="1"/>
    <col min="6130" max="6130" width="21.6640625" style="294" customWidth="1"/>
    <col min="6131" max="6382" width="13.33203125" style="294"/>
    <col min="6383" max="6383" width="2.83203125" style="294" customWidth="1"/>
    <col min="6384" max="6384" width="85" style="294" customWidth="1"/>
    <col min="6385" max="6385" width="13.5" style="294" customWidth="1"/>
    <col min="6386" max="6386" width="21.6640625" style="294" customWidth="1"/>
    <col min="6387" max="6638" width="13.33203125" style="294"/>
    <col min="6639" max="6639" width="2.83203125" style="294" customWidth="1"/>
    <col min="6640" max="6640" width="85" style="294" customWidth="1"/>
    <col min="6641" max="6641" width="13.5" style="294" customWidth="1"/>
    <col min="6642" max="6642" width="21.6640625" style="294" customWidth="1"/>
    <col min="6643" max="6894" width="13.33203125" style="294"/>
    <col min="6895" max="6895" width="2.83203125" style="294" customWidth="1"/>
    <col min="6896" max="6896" width="85" style="294" customWidth="1"/>
    <col min="6897" max="6897" width="13.5" style="294" customWidth="1"/>
    <col min="6898" max="6898" width="21.6640625" style="294" customWidth="1"/>
    <col min="6899" max="7150" width="13.33203125" style="294"/>
    <col min="7151" max="7151" width="2.83203125" style="294" customWidth="1"/>
    <col min="7152" max="7152" width="85" style="294" customWidth="1"/>
    <col min="7153" max="7153" width="13.5" style="294" customWidth="1"/>
    <col min="7154" max="7154" width="21.6640625" style="294" customWidth="1"/>
    <col min="7155" max="7406" width="13.33203125" style="294"/>
    <col min="7407" max="7407" width="2.83203125" style="294" customWidth="1"/>
    <col min="7408" max="7408" width="85" style="294" customWidth="1"/>
    <col min="7409" max="7409" width="13.5" style="294" customWidth="1"/>
    <col min="7410" max="7410" width="21.6640625" style="294" customWidth="1"/>
    <col min="7411" max="7662" width="13.33203125" style="294"/>
    <col min="7663" max="7663" width="2.83203125" style="294" customWidth="1"/>
    <col min="7664" max="7664" width="85" style="294" customWidth="1"/>
    <col min="7665" max="7665" width="13.5" style="294" customWidth="1"/>
    <col min="7666" max="7666" width="21.6640625" style="294" customWidth="1"/>
    <col min="7667" max="7918" width="13.33203125" style="294"/>
    <col min="7919" max="7919" width="2.83203125" style="294" customWidth="1"/>
    <col min="7920" max="7920" width="85" style="294" customWidth="1"/>
    <col min="7921" max="7921" width="13.5" style="294" customWidth="1"/>
    <col min="7922" max="7922" width="21.6640625" style="294" customWidth="1"/>
    <col min="7923" max="8174" width="13.33203125" style="294"/>
    <col min="8175" max="8175" width="2.83203125" style="294" customWidth="1"/>
    <col min="8176" max="8176" width="85" style="294" customWidth="1"/>
    <col min="8177" max="8177" width="13.5" style="294" customWidth="1"/>
    <col min="8178" max="8178" width="21.6640625" style="294" customWidth="1"/>
    <col min="8179" max="8430" width="13.33203125" style="294"/>
    <col min="8431" max="8431" width="2.83203125" style="294" customWidth="1"/>
    <col min="8432" max="8432" width="85" style="294" customWidth="1"/>
    <col min="8433" max="8433" width="13.5" style="294" customWidth="1"/>
    <col min="8434" max="8434" width="21.6640625" style="294" customWidth="1"/>
    <col min="8435" max="8686" width="13.33203125" style="294"/>
    <col min="8687" max="8687" width="2.83203125" style="294" customWidth="1"/>
    <col min="8688" max="8688" width="85" style="294" customWidth="1"/>
    <col min="8689" max="8689" width="13.5" style="294" customWidth="1"/>
    <col min="8690" max="8690" width="21.6640625" style="294" customWidth="1"/>
    <col min="8691" max="8942" width="13.33203125" style="294"/>
    <col min="8943" max="8943" width="2.83203125" style="294" customWidth="1"/>
    <col min="8944" max="8944" width="85" style="294" customWidth="1"/>
    <col min="8945" max="8945" width="13.5" style="294" customWidth="1"/>
    <col min="8946" max="8946" width="21.6640625" style="294" customWidth="1"/>
    <col min="8947" max="9198" width="13.33203125" style="294"/>
    <col min="9199" max="9199" width="2.83203125" style="294" customWidth="1"/>
    <col min="9200" max="9200" width="85" style="294" customWidth="1"/>
    <col min="9201" max="9201" width="13.5" style="294" customWidth="1"/>
    <col min="9202" max="9202" width="21.6640625" style="294" customWidth="1"/>
    <col min="9203" max="9454" width="13.33203125" style="294"/>
    <col min="9455" max="9455" width="2.83203125" style="294" customWidth="1"/>
    <col min="9456" max="9456" width="85" style="294" customWidth="1"/>
    <col min="9457" max="9457" width="13.5" style="294" customWidth="1"/>
    <col min="9458" max="9458" width="21.6640625" style="294" customWidth="1"/>
    <col min="9459" max="9710" width="13.33203125" style="294"/>
    <col min="9711" max="9711" width="2.83203125" style="294" customWidth="1"/>
    <col min="9712" max="9712" width="85" style="294" customWidth="1"/>
    <col min="9713" max="9713" width="13.5" style="294" customWidth="1"/>
    <col min="9714" max="9714" width="21.6640625" style="294" customWidth="1"/>
    <col min="9715" max="9966" width="13.33203125" style="294"/>
    <col min="9967" max="9967" width="2.83203125" style="294" customWidth="1"/>
    <col min="9968" max="9968" width="85" style="294" customWidth="1"/>
    <col min="9969" max="9969" width="13.5" style="294" customWidth="1"/>
    <col min="9970" max="9970" width="21.6640625" style="294" customWidth="1"/>
    <col min="9971" max="10222" width="13.33203125" style="294"/>
    <col min="10223" max="10223" width="2.83203125" style="294" customWidth="1"/>
    <col min="10224" max="10224" width="85" style="294" customWidth="1"/>
    <col min="10225" max="10225" width="13.5" style="294" customWidth="1"/>
    <col min="10226" max="10226" width="21.6640625" style="294" customWidth="1"/>
    <col min="10227" max="10478" width="13.33203125" style="294"/>
    <col min="10479" max="10479" width="2.83203125" style="294" customWidth="1"/>
    <col min="10480" max="10480" width="85" style="294" customWidth="1"/>
    <col min="10481" max="10481" width="13.5" style="294" customWidth="1"/>
    <col min="10482" max="10482" width="21.6640625" style="294" customWidth="1"/>
    <col min="10483" max="10734" width="13.33203125" style="294"/>
    <col min="10735" max="10735" width="2.83203125" style="294" customWidth="1"/>
    <col min="10736" max="10736" width="85" style="294" customWidth="1"/>
    <col min="10737" max="10737" width="13.5" style="294" customWidth="1"/>
    <col min="10738" max="10738" width="21.6640625" style="294" customWidth="1"/>
    <col min="10739" max="10990" width="13.33203125" style="294"/>
    <col min="10991" max="10991" width="2.83203125" style="294" customWidth="1"/>
    <col min="10992" max="10992" width="85" style="294" customWidth="1"/>
    <col min="10993" max="10993" width="13.5" style="294" customWidth="1"/>
    <col min="10994" max="10994" width="21.6640625" style="294" customWidth="1"/>
    <col min="10995" max="11246" width="13.33203125" style="294"/>
    <col min="11247" max="11247" width="2.83203125" style="294" customWidth="1"/>
    <col min="11248" max="11248" width="85" style="294" customWidth="1"/>
    <col min="11249" max="11249" width="13.5" style="294" customWidth="1"/>
    <col min="11250" max="11250" width="21.6640625" style="294" customWidth="1"/>
    <col min="11251" max="11502" width="13.33203125" style="294"/>
    <col min="11503" max="11503" width="2.83203125" style="294" customWidth="1"/>
    <col min="11504" max="11504" width="85" style="294" customWidth="1"/>
    <col min="11505" max="11505" width="13.5" style="294" customWidth="1"/>
    <col min="11506" max="11506" width="21.6640625" style="294" customWidth="1"/>
    <col min="11507" max="11758" width="13.33203125" style="294"/>
    <col min="11759" max="11759" width="2.83203125" style="294" customWidth="1"/>
    <col min="11760" max="11760" width="85" style="294" customWidth="1"/>
    <col min="11761" max="11761" width="13.5" style="294" customWidth="1"/>
    <col min="11762" max="11762" width="21.6640625" style="294" customWidth="1"/>
    <col min="11763" max="12014" width="13.33203125" style="294"/>
    <col min="12015" max="12015" width="2.83203125" style="294" customWidth="1"/>
    <col min="12016" max="12016" width="85" style="294" customWidth="1"/>
    <col min="12017" max="12017" width="13.5" style="294" customWidth="1"/>
    <col min="12018" max="12018" width="21.6640625" style="294" customWidth="1"/>
    <col min="12019" max="12270" width="13.33203125" style="294"/>
    <col min="12271" max="12271" width="2.83203125" style="294" customWidth="1"/>
    <col min="12272" max="12272" width="85" style="294" customWidth="1"/>
    <col min="12273" max="12273" width="13.5" style="294" customWidth="1"/>
    <col min="12274" max="12274" width="21.6640625" style="294" customWidth="1"/>
    <col min="12275" max="12526" width="13.33203125" style="294"/>
    <col min="12527" max="12527" width="2.83203125" style="294" customWidth="1"/>
    <col min="12528" max="12528" width="85" style="294" customWidth="1"/>
    <col min="12529" max="12529" width="13.5" style="294" customWidth="1"/>
    <col min="12530" max="12530" width="21.6640625" style="294" customWidth="1"/>
    <col min="12531" max="12782" width="13.33203125" style="294"/>
    <col min="12783" max="12783" width="2.83203125" style="294" customWidth="1"/>
    <col min="12784" max="12784" width="85" style="294" customWidth="1"/>
    <col min="12785" max="12785" width="13.5" style="294" customWidth="1"/>
    <col min="12786" max="12786" width="21.6640625" style="294" customWidth="1"/>
    <col min="12787" max="13038" width="13.33203125" style="294"/>
    <col min="13039" max="13039" width="2.83203125" style="294" customWidth="1"/>
    <col min="13040" max="13040" width="85" style="294" customWidth="1"/>
    <col min="13041" max="13041" width="13.5" style="294" customWidth="1"/>
    <col min="13042" max="13042" width="21.6640625" style="294" customWidth="1"/>
    <col min="13043" max="13294" width="13.33203125" style="294"/>
    <col min="13295" max="13295" width="2.83203125" style="294" customWidth="1"/>
    <col min="13296" max="13296" width="85" style="294" customWidth="1"/>
    <col min="13297" max="13297" width="13.5" style="294" customWidth="1"/>
    <col min="13298" max="13298" width="21.6640625" style="294" customWidth="1"/>
    <col min="13299" max="13550" width="13.33203125" style="294"/>
    <col min="13551" max="13551" width="2.83203125" style="294" customWidth="1"/>
    <col min="13552" max="13552" width="85" style="294" customWidth="1"/>
    <col min="13553" max="13553" width="13.5" style="294" customWidth="1"/>
    <col min="13554" max="13554" width="21.6640625" style="294" customWidth="1"/>
    <col min="13555" max="13806" width="13.33203125" style="294"/>
    <col min="13807" max="13807" width="2.83203125" style="294" customWidth="1"/>
    <col min="13808" max="13808" width="85" style="294" customWidth="1"/>
    <col min="13809" max="13809" width="13.5" style="294" customWidth="1"/>
    <col min="13810" max="13810" width="21.6640625" style="294" customWidth="1"/>
    <col min="13811" max="14062" width="13.33203125" style="294"/>
    <col min="14063" max="14063" width="2.83203125" style="294" customWidth="1"/>
    <col min="14064" max="14064" width="85" style="294" customWidth="1"/>
    <col min="14065" max="14065" width="13.5" style="294" customWidth="1"/>
    <col min="14066" max="14066" width="21.6640625" style="294" customWidth="1"/>
    <col min="14067" max="14318" width="13.33203125" style="294"/>
    <col min="14319" max="14319" width="2.83203125" style="294" customWidth="1"/>
    <col min="14320" max="14320" width="85" style="294" customWidth="1"/>
    <col min="14321" max="14321" width="13.5" style="294" customWidth="1"/>
    <col min="14322" max="14322" width="21.6640625" style="294" customWidth="1"/>
    <col min="14323" max="14574" width="13.33203125" style="294"/>
    <col min="14575" max="14575" width="2.83203125" style="294" customWidth="1"/>
    <col min="14576" max="14576" width="85" style="294" customWidth="1"/>
    <col min="14577" max="14577" width="13.5" style="294" customWidth="1"/>
    <col min="14578" max="14578" width="21.6640625" style="294" customWidth="1"/>
    <col min="14579" max="14830" width="13.33203125" style="294"/>
    <col min="14831" max="14831" width="2.83203125" style="294" customWidth="1"/>
    <col min="14832" max="14832" width="85" style="294" customWidth="1"/>
    <col min="14833" max="14833" width="13.5" style="294" customWidth="1"/>
    <col min="14834" max="14834" width="21.6640625" style="294" customWidth="1"/>
    <col min="14835" max="15086" width="13.33203125" style="294"/>
    <col min="15087" max="15087" width="2.83203125" style="294" customWidth="1"/>
    <col min="15088" max="15088" width="85" style="294" customWidth="1"/>
    <col min="15089" max="15089" width="13.5" style="294" customWidth="1"/>
    <col min="15090" max="15090" width="21.6640625" style="294" customWidth="1"/>
    <col min="15091" max="15342" width="13.33203125" style="294"/>
    <col min="15343" max="15343" width="2.83203125" style="294" customWidth="1"/>
    <col min="15344" max="15344" width="85" style="294" customWidth="1"/>
    <col min="15345" max="15345" width="13.5" style="294" customWidth="1"/>
    <col min="15346" max="15346" width="21.6640625" style="294" customWidth="1"/>
    <col min="15347" max="15598" width="13.33203125" style="294"/>
    <col min="15599" max="15599" width="2.83203125" style="294" customWidth="1"/>
    <col min="15600" max="15600" width="85" style="294" customWidth="1"/>
    <col min="15601" max="15601" width="13.5" style="294" customWidth="1"/>
    <col min="15602" max="15602" width="21.6640625" style="294" customWidth="1"/>
    <col min="15603" max="15854" width="13.33203125" style="294"/>
    <col min="15855" max="15855" width="2.83203125" style="294" customWidth="1"/>
    <col min="15856" max="15856" width="85" style="294" customWidth="1"/>
    <col min="15857" max="15857" width="13.5" style="294" customWidth="1"/>
    <col min="15858" max="15858" width="21.6640625" style="294" customWidth="1"/>
    <col min="15859" max="16110" width="13.33203125" style="294"/>
    <col min="16111" max="16111" width="2.83203125" style="294" customWidth="1"/>
    <col min="16112" max="16112" width="85" style="294" customWidth="1"/>
    <col min="16113" max="16113" width="13.5" style="294" customWidth="1"/>
    <col min="16114" max="16114" width="21.6640625" style="294" customWidth="1"/>
    <col min="16115" max="16384" width="13.33203125" style="294"/>
  </cols>
  <sheetData>
    <row r="1" spans="1:6" ht="20.100000000000001" customHeight="1" x14ac:dyDescent="0.2">
      <c r="A1" s="1615"/>
      <c r="B1" s="1430" t="s">
        <v>0</v>
      </c>
      <c r="C1" s="1430"/>
      <c r="D1" s="1430"/>
      <c r="E1" s="1431"/>
      <c r="F1" s="339" t="s">
        <v>104</v>
      </c>
    </row>
    <row r="2" spans="1:6" ht="20.100000000000001" customHeight="1" x14ac:dyDescent="0.2">
      <c r="A2" s="1617"/>
      <c r="B2" s="1137" t="s">
        <v>1094</v>
      </c>
      <c r="C2" s="1137"/>
      <c r="D2" s="1137"/>
      <c r="E2" s="1138"/>
    </row>
    <row r="3" spans="1:6" ht="20.100000000000001" customHeight="1" thickBot="1" x14ac:dyDescent="0.25">
      <c r="A3" s="1619"/>
      <c r="B3" s="1139" t="s">
        <v>2</v>
      </c>
      <c r="C3" s="1139"/>
      <c r="D3" s="1139" t="str">
        <f>Instructivo!G3</f>
        <v>VERSIÓN: 04</v>
      </c>
      <c r="E3" s="1182"/>
    </row>
    <row r="4" spans="1:6" ht="22.5" customHeight="1" thickBot="1" x14ac:dyDescent="0.25">
      <c r="A4" s="1662"/>
      <c r="B4" s="1662"/>
      <c r="C4" s="1662"/>
      <c r="D4" s="1662"/>
    </row>
    <row r="5" spans="1:6" ht="24" customHeight="1" thickBot="1" x14ac:dyDescent="0.25">
      <c r="A5" s="256" t="s">
        <v>820</v>
      </c>
      <c r="B5" s="1586">
        <v>2020</v>
      </c>
      <c r="C5" s="1651"/>
      <c r="D5" s="1587"/>
    </row>
    <row r="6" spans="1:6" ht="24" customHeight="1" thickBot="1" x14ac:dyDescent="0.25">
      <c r="A6" s="256" t="s">
        <v>821</v>
      </c>
      <c r="B6" s="1586" t="s">
        <v>1095</v>
      </c>
      <c r="C6" s="1651"/>
      <c r="D6" s="1587"/>
    </row>
    <row r="8" spans="1:6" ht="30.75" customHeight="1" x14ac:dyDescent="0.2">
      <c r="A8" s="1657" t="s">
        <v>1096</v>
      </c>
      <c r="B8" s="1657"/>
      <c r="C8" s="1657"/>
      <c r="D8" s="1657"/>
    </row>
    <row r="9" spans="1:6" ht="20.100000000000001" customHeight="1" thickBot="1" x14ac:dyDescent="0.25">
      <c r="A9" s="295"/>
      <c r="B9" s="295"/>
      <c r="C9" s="295"/>
      <c r="D9" s="295"/>
    </row>
    <row r="10" spans="1:6" ht="39" customHeight="1" x14ac:dyDescent="0.2">
      <c r="A10" s="1665" t="s">
        <v>1097</v>
      </c>
      <c r="B10" s="1666"/>
      <c r="C10" s="296" t="s">
        <v>1098</v>
      </c>
      <c r="D10" s="297" t="s">
        <v>1099</v>
      </c>
    </row>
    <row r="11" spans="1:6" ht="20.100000000000001" customHeight="1" x14ac:dyDescent="0.2">
      <c r="A11" s="1660" t="s">
        <v>1100</v>
      </c>
      <c r="B11" s="1661"/>
      <c r="C11" s="1658" t="s">
        <v>1101</v>
      </c>
      <c r="D11" s="1659" t="s">
        <v>1102</v>
      </c>
    </row>
    <row r="12" spans="1:6" ht="20.100000000000001" customHeight="1" x14ac:dyDescent="0.2">
      <c r="A12" s="1660" t="s">
        <v>1103</v>
      </c>
      <c r="B12" s="1661"/>
      <c r="C12" s="1658"/>
      <c r="D12" s="1659"/>
    </row>
    <row r="13" spans="1:6" ht="25.5" customHeight="1" x14ac:dyDescent="0.2">
      <c r="A13" s="1660" t="s">
        <v>1104</v>
      </c>
      <c r="B13" s="1661"/>
      <c r="C13" s="1658"/>
      <c r="D13" s="1659"/>
    </row>
    <row r="14" spans="1:6" ht="27.75" customHeight="1" x14ac:dyDescent="0.2">
      <c r="A14" s="1660" t="s">
        <v>1105</v>
      </c>
      <c r="B14" s="1661"/>
      <c r="C14" s="1658"/>
      <c r="D14" s="1659"/>
    </row>
    <row r="15" spans="1:6" ht="20.100000000000001" customHeight="1" x14ac:dyDescent="0.2">
      <c r="A15" s="1660" t="s">
        <v>1106</v>
      </c>
      <c r="B15" s="1661"/>
      <c r="C15" s="1658"/>
      <c r="D15" s="1659"/>
    </row>
    <row r="16" spans="1:6" ht="20.100000000000001" customHeight="1" x14ac:dyDescent="0.2">
      <c r="A16" s="1660" t="s">
        <v>1107</v>
      </c>
      <c r="B16" s="1661"/>
      <c r="C16" s="1658"/>
      <c r="D16" s="1659"/>
    </row>
    <row r="17" spans="1:4" ht="20.100000000000001" customHeight="1" x14ac:dyDescent="0.2">
      <c r="A17" s="1663" t="s">
        <v>1108</v>
      </c>
      <c r="B17" s="1664"/>
      <c r="C17" s="298" t="s">
        <v>1098</v>
      </c>
      <c r="D17" s="299" t="s">
        <v>1099</v>
      </c>
    </row>
    <row r="18" spans="1:4" ht="20.100000000000001" customHeight="1" x14ac:dyDescent="0.2">
      <c r="A18" s="1660" t="s">
        <v>1109</v>
      </c>
      <c r="B18" s="1661"/>
      <c r="C18" s="1658" t="s">
        <v>1110</v>
      </c>
      <c r="D18" s="1659" t="s">
        <v>1102</v>
      </c>
    </row>
    <row r="19" spans="1:4" ht="20.100000000000001" customHeight="1" x14ac:dyDescent="0.2">
      <c r="A19" s="1660" t="s">
        <v>1111</v>
      </c>
      <c r="B19" s="1661"/>
      <c r="C19" s="1658"/>
      <c r="D19" s="1659"/>
    </row>
    <row r="20" spans="1:4" ht="20.100000000000001" customHeight="1" x14ac:dyDescent="0.2">
      <c r="A20" s="1660" t="s">
        <v>1112</v>
      </c>
      <c r="B20" s="1661"/>
      <c r="C20" s="1658"/>
      <c r="D20" s="1659"/>
    </row>
    <row r="21" spans="1:4" ht="52.5" customHeight="1" x14ac:dyDescent="0.2">
      <c r="A21" s="1660" t="s">
        <v>1113</v>
      </c>
      <c r="B21" s="1661"/>
      <c r="C21" s="1658"/>
      <c r="D21" s="1659"/>
    </row>
    <row r="22" spans="1:4" ht="20.100000000000001" customHeight="1" x14ac:dyDescent="0.2">
      <c r="A22" s="1660" t="s">
        <v>1114</v>
      </c>
      <c r="B22" s="1661"/>
      <c r="C22" s="1658"/>
      <c r="D22" s="1659"/>
    </row>
    <row r="23" spans="1:4" ht="20.100000000000001" customHeight="1" x14ac:dyDescent="0.2">
      <c r="A23" s="1660" t="s">
        <v>1115</v>
      </c>
      <c r="B23" s="1661"/>
      <c r="C23" s="1658"/>
      <c r="D23" s="1659"/>
    </row>
    <row r="24" spans="1:4" ht="20.100000000000001" customHeight="1" x14ac:dyDescent="0.2">
      <c r="A24" s="1660" t="s">
        <v>1116</v>
      </c>
      <c r="B24" s="1661"/>
      <c r="C24" s="1658"/>
      <c r="D24" s="1659"/>
    </row>
    <row r="25" spans="1:4" ht="20.100000000000001" customHeight="1" x14ac:dyDescent="0.2">
      <c r="A25" s="1660" t="s">
        <v>1117</v>
      </c>
      <c r="B25" s="1661"/>
      <c r="C25" s="1658"/>
      <c r="D25" s="1659"/>
    </row>
    <row r="26" spans="1:4" ht="30" customHeight="1" x14ac:dyDescent="0.2">
      <c r="A26" s="1663" t="s">
        <v>1118</v>
      </c>
      <c r="B26" s="1664"/>
      <c r="C26" s="298" t="s">
        <v>1098</v>
      </c>
      <c r="D26" s="299" t="s">
        <v>1099</v>
      </c>
    </row>
    <row r="27" spans="1:4" ht="20.100000000000001" customHeight="1" x14ac:dyDescent="0.2">
      <c r="A27" s="1660" t="s">
        <v>1119</v>
      </c>
      <c r="B27" s="1661"/>
      <c r="C27" s="1658" t="s">
        <v>1110</v>
      </c>
      <c r="D27" s="1659" t="s">
        <v>1102</v>
      </c>
    </row>
    <row r="28" spans="1:4" ht="20.100000000000001" customHeight="1" x14ac:dyDescent="0.2">
      <c r="A28" s="1660" t="s">
        <v>1120</v>
      </c>
      <c r="B28" s="1661"/>
      <c r="C28" s="1658"/>
      <c r="D28" s="1659"/>
    </row>
    <row r="29" spans="1:4" ht="27" customHeight="1" x14ac:dyDescent="0.2">
      <c r="A29" s="1660" t="s">
        <v>1121</v>
      </c>
      <c r="B29" s="1661"/>
      <c r="C29" s="1658"/>
      <c r="D29" s="1659"/>
    </row>
    <row r="30" spans="1:4" ht="24.75" customHeight="1" x14ac:dyDescent="0.2">
      <c r="A30" s="1660" t="s">
        <v>1122</v>
      </c>
      <c r="B30" s="1661"/>
      <c r="C30" s="1658"/>
      <c r="D30" s="1659"/>
    </row>
    <row r="31" spans="1:4" ht="26.25" customHeight="1" x14ac:dyDescent="0.2">
      <c r="A31" s="1660" t="s">
        <v>1123</v>
      </c>
      <c r="B31" s="1661"/>
      <c r="C31" s="1658"/>
      <c r="D31" s="1659"/>
    </row>
    <row r="32" spans="1:4" ht="20.100000000000001" customHeight="1" x14ac:dyDescent="0.2">
      <c r="A32" s="1660" t="s">
        <v>1124</v>
      </c>
      <c r="B32" s="1661"/>
      <c r="C32" s="1658"/>
      <c r="D32" s="1659"/>
    </row>
    <row r="33" spans="1:4" ht="24" customHeight="1" x14ac:dyDescent="0.2">
      <c r="A33" s="1667" t="s">
        <v>1125</v>
      </c>
      <c r="B33" s="1668"/>
      <c r="C33" s="298" t="s">
        <v>1098</v>
      </c>
      <c r="D33" s="299" t="s">
        <v>1099</v>
      </c>
    </row>
    <row r="34" spans="1:4" ht="26.25" customHeight="1" x14ac:dyDescent="0.2">
      <c r="A34" s="1655" t="s">
        <v>1126</v>
      </c>
      <c r="B34" s="1656"/>
      <c r="C34" s="1658" t="s">
        <v>1127</v>
      </c>
      <c r="D34" s="1659" t="s">
        <v>1102</v>
      </c>
    </row>
    <row r="35" spans="1:4" ht="27" customHeight="1" x14ac:dyDescent="0.2">
      <c r="A35" s="1655" t="s">
        <v>1128</v>
      </c>
      <c r="B35" s="1656"/>
      <c r="C35" s="1658"/>
      <c r="D35" s="1659"/>
    </row>
    <row r="36" spans="1:4" ht="20.100000000000001" customHeight="1" x14ac:dyDescent="0.2">
      <c r="A36" s="1655" t="s">
        <v>1129</v>
      </c>
      <c r="B36" s="1656"/>
      <c r="C36" s="1658"/>
      <c r="D36" s="1659"/>
    </row>
    <row r="37" spans="1:4" ht="20.100000000000001" customHeight="1" x14ac:dyDescent="0.2">
      <c r="A37" s="1655" t="s">
        <v>1130</v>
      </c>
      <c r="B37" s="1656"/>
      <c r="C37" s="1658"/>
      <c r="D37" s="1659"/>
    </row>
    <row r="38" spans="1:4" ht="29.25" customHeight="1" x14ac:dyDescent="0.2">
      <c r="A38" s="1667" t="s">
        <v>1131</v>
      </c>
      <c r="B38" s="1668"/>
      <c r="C38" s="298" t="s">
        <v>1098</v>
      </c>
      <c r="D38" s="1659"/>
    </row>
    <row r="39" spans="1:4" ht="20.100000000000001" customHeight="1" x14ac:dyDescent="0.2">
      <c r="A39" s="1655" t="s">
        <v>1132</v>
      </c>
      <c r="B39" s="1656"/>
      <c r="C39" s="300">
        <v>2500</v>
      </c>
      <c r="D39" s="1659"/>
    </row>
    <row r="40" spans="1:4" ht="20.100000000000001" customHeight="1" x14ac:dyDescent="0.2">
      <c r="A40" s="1667" t="s">
        <v>1133</v>
      </c>
      <c r="B40" s="1668"/>
      <c r="C40" s="298" t="s">
        <v>1098</v>
      </c>
      <c r="D40" s="1659"/>
    </row>
    <row r="41" spans="1:4" ht="28.5" customHeight="1" x14ac:dyDescent="0.2">
      <c r="A41" s="1655" t="s">
        <v>1134</v>
      </c>
      <c r="B41" s="1656"/>
      <c r="C41" s="301">
        <v>4500</v>
      </c>
      <c r="D41" s="1659"/>
    </row>
    <row r="42" spans="1:4" ht="26.25" customHeight="1" x14ac:dyDescent="0.2">
      <c r="A42" s="1667" t="s">
        <v>1135</v>
      </c>
      <c r="B42" s="1668"/>
      <c r="C42" s="298" t="s">
        <v>1098</v>
      </c>
      <c r="D42" s="1659"/>
    </row>
    <row r="43" spans="1:4" ht="26.25" customHeight="1" x14ac:dyDescent="0.2">
      <c r="A43" s="1655" t="s">
        <v>1136</v>
      </c>
      <c r="B43" s="1656"/>
      <c r="C43" s="1669" t="s">
        <v>1137</v>
      </c>
      <c r="D43" s="1659"/>
    </row>
    <row r="44" spans="1:4" ht="78.75" customHeight="1" x14ac:dyDescent="0.2">
      <c r="A44" s="1655" t="s">
        <v>1138</v>
      </c>
      <c r="B44" s="1656"/>
      <c r="C44" s="1669"/>
      <c r="D44" s="1659"/>
    </row>
    <row r="45" spans="1:4" ht="20.100000000000001" customHeight="1" x14ac:dyDescent="0.2">
      <c r="A45" s="1678" t="s">
        <v>1139</v>
      </c>
      <c r="B45" s="1679"/>
      <c r="C45" s="1679"/>
      <c r="D45" s="1680"/>
    </row>
    <row r="46" spans="1:4" ht="20.100000000000001" customHeight="1" x14ac:dyDescent="0.2">
      <c r="A46" s="1681" t="s">
        <v>1140</v>
      </c>
      <c r="B46" s="1682"/>
      <c r="C46" s="298" t="s">
        <v>1098</v>
      </c>
      <c r="D46" s="299" t="s">
        <v>1099</v>
      </c>
    </row>
    <row r="47" spans="1:4" ht="178.5" customHeight="1" thickBot="1" x14ac:dyDescent="0.25">
      <c r="A47" s="1683" t="s">
        <v>1141</v>
      </c>
      <c r="B47" s="1684"/>
      <c r="C47" s="302">
        <v>40000</v>
      </c>
      <c r="D47" s="303" t="s">
        <v>1142</v>
      </c>
    </row>
    <row r="48" spans="1:4" ht="20.100000000000001" customHeight="1" x14ac:dyDescent="0.2">
      <c r="A48" s="304"/>
      <c r="B48" s="304"/>
    </row>
    <row r="49" spans="1:6" ht="20.100000000000001" customHeight="1" x14ac:dyDescent="0.2">
      <c r="A49" s="1685" t="s">
        <v>1143</v>
      </c>
      <c r="B49" s="1686"/>
      <c r="C49" s="1686"/>
      <c r="D49" s="1686"/>
      <c r="E49" s="1686"/>
      <c r="F49" s="1686"/>
    </row>
    <row r="50" spans="1:6" ht="20.100000000000001" customHeight="1" x14ac:dyDescent="0.2">
      <c r="A50" s="1674" t="s">
        <v>1144</v>
      </c>
      <c r="B50" s="1675"/>
      <c r="C50" s="498" t="s">
        <v>419</v>
      </c>
      <c r="D50" s="499">
        <v>1.61E-2</v>
      </c>
      <c r="E50" s="500">
        <v>5.62E-2</v>
      </c>
      <c r="F50" s="787">
        <v>0.13120000000000001</v>
      </c>
    </row>
    <row r="51" spans="1:6" ht="20.100000000000001" customHeight="1" x14ac:dyDescent="0.2">
      <c r="A51" s="1676" t="s">
        <v>1145</v>
      </c>
      <c r="B51" s="1677"/>
      <c r="C51" s="498">
        <v>2020</v>
      </c>
      <c r="D51" s="498">
        <v>2021</v>
      </c>
      <c r="E51" s="501">
        <v>2022</v>
      </c>
      <c r="F51" s="788">
        <v>2023</v>
      </c>
    </row>
    <row r="52" spans="1:6" ht="20.100000000000001" customHeight="1" x14ac:dyDescent="0.2">
      <c r="A52" s="1691" t="s">
        <v>370</v>
      </c>
      <c r="B52" s="1692"/>
      <c r="C52" s="305" t="s">
        <v>1146</v>
      </c>
      <c r="D52" s="305" t="s">
        <v>1146</v>
      </c>
      <c r="E52" s="306" t="s">
        <v>1146</v>
      </c>
      <c r="F52" s="789" t="s">
        <v>1146</v>
      </c>
    </row>
    <row r="53" spans="1:6" ht="20.100000000000001" customHeight="1" x14ac:dyDescent="0.2">
      <c r="A53" s="1670" t="s">
        <v>1147</v>
      </c>
      <c r="B53" s="1671"/>
      <c r="C53" s="494">
        <v>10000</v>
      </c>
      <c r="D53" s="494">
        <f>ROUND((C53*$D$50)+C53,-2)</f>
        <v>10200</v>
      </c>
      <c r="E53" s="495">
        <f t="shared" ref="E53:E60" si="0">ROUND((D53*$E$50)+D53,-2)</f>
        <v>10800</v>
      </c>
      <c r="F53" s="790">
        <f>E53*$F$50+E53</f>
        <v>12216.96</v>
      </c>
    </row>
    <row r="54" spans="1:6" ht="20.100000000000001" customHeight="1" x14ac:dyDescent="0.2">
      <c r="A54" s="1670" t="s">
        <v>1148</v>
      </c>
      <c r="B54" s="1671"/>
      <c r="C54" s="494">
        <v>12000</v>
      </c>
      <c r="D54" s="494">
        <f t="shared" ref="D54:D64" si="1">ROUND((C54*$D$50)+C54,-2)</f>
        <v>12200</v>
      </c>
      <c r="E54" s="495">
        <f t="shared" si="0"/>
        <v>12900</v>
      </c>
      <c r="F54" s="790">
        <f t="shared" ref="F54:F64" si="2">E54*$F$50+E54</f>
        <v>14592.48</v>
      </c>
    </row>
    <row r="55" spans="1:6" ht="32.25" customHeight="1" x14ac:dyDescent="0.2">
      <c r="A55" s="1672" t="s">
        <v>1149</v>
      </c>
      <c r="B55" s="1673"/>
      <c r="C55" s="494">
        <v>15000</v>
      </c>
      <c r="D55" s="494">
        <f t="shared" si="1"/>
        <v>15200</v>
      </c>
      <c r="E55" s="495">
        <f t="shared" si="0"/>
        <v>16100</v>
      </c>
      <c r="F55" s="790">
        <f t="shared" si="2"/>
        <v>18212.32</v>
      </c>
    </row>
    <row r="56" spans="1:6" ht="32.25" customHeight="1" x14ac:dyDescent="0.2">
      <c r="A56" s="1672" t="s">
        <v>1150</v>
      </c>
      <c r="B56" s="1673"/>
      <c r="C56" s="494">
        <v>18000</v>
      </c>
      <c r="D56" s="494">
        <f t="shared" si="1"/>
        <v>18300</v>
      </c>
      <c r="E56" s="495">
        <f t="shared" si="0"/>
        <v>19300</v>
      </c>
      <c r="F56" s="790">
        <f t="shared" si="2"/>
        <v>21832.16</v>
      </c>
    </row>
    <row r="57" spans="1:6" ht="20.100000000000001" customHeight="1" x14ac:dyDescent="0.2">
      <c r="A57" s="1670" t="s">
        <v>1151</v>
      </c>
      <c r="B57" s="1671"/>
      <c r="C57" s="494">
        <v>15000</v>
      </c>
      <c r="D57" s="494">
        <f t="shared" si="1"/>
        <v>15200</v>
      </c>
      <c r="E57" s="495">
        <f t="shared" si="0"/>
        <v>16100</v>
      </c>
      <c r="F57" s="790">
        <f t="shared" si="2"/>
        <v>18212.32</v>
      </c>
    </row>
    <row r="58" spans="1:6" ht="20.100000000000001" customHeight="1" x14ac:dyDescent="0.2">
      <c r="A58" s="1670" t="s">
        <v>1152</v>
      </c>
      <c r="B58" s="1671"/>
      <c r="C58" s="494">
        <v>18000</v>
      </c>
      <c r="D58" s="494">
        <f t="shared" si="1"/>
        <v>18300</v>
      </c>
      <c r="E58" s="495">
        <f t="shared" si="0"/>
        <v>19300</v>
      </c>
      <c r="F58" s="790">
        <f t="shared" si="2"/>
        <v>21832.16</v>
      </c>
    </row>
    <row r="59" spans="1:6" ht="33.75" customHeight="1" x14ac:dyDescent="0.2">
      <c r="A59" s="1672" t="s">
        <v>1125</v>
      </c>
      <c r="B59" s="1673"/>
      <c r="C59" s="494">
        <v>8000</v>
      </c>
      <c r="D59" s="494">
        <f t="shared" si="1"/>
        <v>8100</v>
      </c>
      <c r="E59" s="495">
        <f t="shared" si="0"/>
        <v>8600</v>
      </c>
      <c r="F59" s="790">
        <f t="shared" si="2"/>
        <v>9728.32</v>
      </c>
    </row>
    <row r="60" spans="1:6" ht="32.25" customHeight="1" x14ac:dyDescent="0.2">
      <c r="A60" s="1672" t="s">
        <v>1131</v>
      </c>
      <c r="B60" s="1673"/>
      <c r="C60" s="494">
        <v>2500</v>
      </c>
      <c r="D60" s="494">
        <f t="shared" si="1"/>
        <v>2500</v>
      </c>
      <c r="E60" s="495">
        <f t="shared" si="0"/>
        <v>2600</v>
      </c>
      <c r="F60" s="790">
        <f t="shared" si="2"/>
        <v>2941.12</v>
      </c>
    </row>
    <row r="61" spans="1:6" ht="20.100000000000001" customHeight="1" x14ac:dyDescent="0.2">
      <c r="A61" s="1670" t="s">
        <v>1133</v>
      </c>
      <c r="B61" s="1671"/>
      <c r="C61" s="494">
        <v>4500</v>
      </c>
      <c r="D61" s="494">
        <f t="shared" si="1"/>
        <v>4600</v>
      </c>
      <c r="E61" s="495">
        <f t="shared" ref="E61:E64" si="3">ROUND((D61*$E$50)+D61,-2)</f>
        <v>4900</v>
      </c>
      <c r="F61" s="790">
        <f t="shared" si="2"/>
        <v>5542.88</v>
      </c>
    </row>
    <row r="62" spans="1:6" ht="33" customHeight="1" x14ac:dyDescent="0.2">
      <c r="A62" s="1672" t="s">
        <v>1153</v>
      </c>
      <c r="B62" s="1673"/>
      <c r="C62" s="494">
        <v>5000</v>
      </c>
      <c r="D62" s="494">
        <f t="shared" si="1"/>
        <v>5100</v>
      </c>
      <c r="E62" s="495">
        <f t="shared" si="3"/>
        <v>5400</v>
      </c>
      <c r="F62" s="790">
        <f t="shared" si="2"/>
        <v>6108.48</v>
      </c>
    </row>
    <row r="63" spans="1:6" ht="44.25" customHeight="1" x14ac:dyDescent="0.2">
      <c r="A63" s="1672" t="s">
        <v>1154</v>
      </c>
      <c r="B63" s="1673"/>
      <c r="C63" s="494">
        <v>8000</v>
      </c>
      <c r="D63" s="494">
        <f t="shared" si="1"/>
        <v>8100</v>
      </c>
      <c r="E63" s="495">
        <f t="shared" si="3"/>
        <v>8600</v>
      </c>
      <c r="F63" s="790">
        <f t="shared" si="2"/>
        <v>9728.32</v>
      </c>
    </row>
    <row r="64" spans="1:6" ht="20.100000000000001" customHeight="1" thickBot="1" x14ac:dyDescent="0.25">
      <c r="A64" s="1689" t="s">
        <v>1155</v>
      </c>
      <c r="B64" s="1690"/>
      <c r="C64" s="496">
        <v>40000</v>
      </c>
      <c r="D64" s="496">
        <f t="shared" si="1"/>
        <v>40600</v>
      </c>
      <c r="E64" s="497">
        <f t="shared" si="3"/>
        <v>42900</v>
      </c>
      <c r="F64" s="790">
        <f t="shared" si="2"/>
        <v>48528.480000000003</v>
      </c>
    </row>
    <row r="65" spans="1:5" ht="20.100000000000001" customHeight="1" thickBot="1" x14ac:dyDescent="0.25"/>
    <row r="66" spans="1:5" ht="61.5" customHeight="1" thickBot="1" x14ac:dyDescent="0.25">
      <c r="A66" s="1018" t="s">
        <v>1156</v>
      </c>
      <c r="B66" s="1687"/>
      <c r="C66" s="1687"/>
      <c r="D66" s="1687"/>
      <c r="E66" s="1688"/>
    </row>
  </sheetData>
  <sheetProtection algorithmName="SHA-512" hashValue="GlPYRMvNOgcB6+uydvVPX6I5da+j6DZYw0SNjB/vnnAxJ7CsJZ+H9FTvwzslt6uNuTDkrYURAj1CNLz6vpLf/w==" saltValue="wyudh6PK+hXLNXx7Pnj5YA==" spinCount="100000" sheet="1" formatCells="0" formatColumns="0" formatRows="0" insertColumns="0" insertRows="0" insertHyperlinks="0" deleteColumns="0" deleteRows="0" sort="0" autoFilter="0" pivotTables="0"/>
  <mergeCells count="73">
    <mergeCell ref="A49:F49"/>
    <mergeCell ref="A66:E66"/>
    <mergeCell ref="B1:E1"/>
    <mergeCell ref="B2:E2"/>
    <mergeCell ref="D3:E3"/>
    <mergeCell ref="B3:C3"/>
    <mergeCell ref="A62:B62"/>
    <mergeCell ref="A63:B63"/>
    <mergeCell ref="A64:B64"/>
    <mergeCell ref="A57:B57"/>
    <mergeCell ref="A58:B58"/>
    <mergeCell ref="A59:B59"/>
    <mergeCell ref="A60:B60"/>
    <mergeCell ref="A61:B61"/>
    <mergeCell ref="A52:B52"/>
    <mergeCell ref="A53:B53"/>
    <mergeCell ref="A54:B54"/>
    <mergeCell ref="A55:B55"/>
    <mergeCell ref="A56:B56"/>
    <mergeCell ref="A15:B15"/>
    <mergeCell ref="A16:B16"/>
    <mergeCell ref="A26:B26"/>
    <mergeCell ref="A27:B27"/>
    <mergeCell ref="A28:B28"/>
    <mergeCell ref="A50:B50"/>
    <mergeCell ref="A51:B51"/>
    <mergeCell ref="A45:D45"/>
    <mergeCell ref="A40:B40"/>
    <mergeCell ref="A46:B46"/>
    <mergeCell ref="A47:B47"/>
    <mergeCell ref="A41:B41"/>
    <mergeCell ref="A42:B42"/>
    <mergeCell ref="C27:C32"/>
    <mergeCell ref="D27:D32"/>
    <mergeCell ref="C34:C37"/>
    <mergeCell ref="D34:D44"/>
    <mergeCell ref="A29:B29"/>
    <mergeCell ref="A30:B30"/>
    <mergeCell ref="A31:B31"/>
    <mergeCell ref="A32:B32"/>
    <mergeCell ref="A33:B33"/>
    <mergeCell ref="A34:B34"/>
    <mergeCell ref="A35:B35"/>
    <mergeCell ref="A36:B36"/>
    <mergeCell ref="A37:B37"/>
    <mergeCell ref="A38:B38"/>
    <mergeCell ref="A39:B39"/>
    <mergeCell ref="C43:C44"/>
    <mergeCell ref="D18:D25"/>
    <mergeCell ref="A22:B22"/>
    <mergeCell ref="A18:B18"/>
    <mergeCell ref="A19:B19"/>
    <mergeCell ref="A20:B20"/>
    <mergeCell ref="A21:B21"/>
    <mergeCell ref="A23:B23"/>
    <mergeCell ref="A24:B24"/>
    <mergeCell ref="A25:B25"/>
    <mergeCell ref="A43:B43"/>
    <mergeCell ref="A44:B44"/>
    <mergeCell ref="A1:A3"/>
    <mergeCell ref="A8:D8"/>
    <mergeCell ref="C11:C16"/>
    <mergeCell ref="D11:D16"/>
    <mergeCell ref="B5:D5"/>
    <mergeCell ref="B6:D6"/>
    <mergeCell ref="A14:B14"/>
    <mergeCell ref="A4:D4"/>
    <mergeCell ref="A17:B17"/>
    <mergeCell ref="A10:B10"/>
    <mergeCell ref="A11:B11"/>
    <mergeCell ref="A12:B12"/>
    <mergeCell ref="A13:B13"/>
    <mergeCell ref="C18:C25"/>
  </mergeCells>
  <hyperlinks>
    <hyperlink ref="F1" location="ins" display="Instructivo" xr:uid="{00000000-0004-0000-1A00-000000000000}"/>
  </hyperlinks>
  <printOptions horizontalCentered="1"/>
  <pageMargins left="0" right="0" top="0" bottom="0" header="0" footer="0"/>
  <pageSetup fitToHeight="0" orientation="landscape" r:id="rId1"/>
  <drawing r:id="rId2"/>
  <legacyDrawing r:id="rId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Hoja24">
    <tabColor theme="7" tint="0.39997558519241921"/>
    <pageSetUpPr fitToPage="1"/>
  </sheetPr>
  <dimension ref="A1:H16"/>
  <sheetViews>
    <sheetView showGridLines="0" zoomScaleNormal="100" workbookViewId="0">
      <selection activeCell="A17" sqref="A17:E17"/>
    </sheetView>
  </sheetViews>
  <sheetFormatPr baseColWidth="10" defaultColWidth="12" defaultRowHeight="20.100000000000001" customHeight="1" x14ac:dyDescent="0.2"/>
  <cols>
    <col min="1" max="1" width="37.5" style="71" customWidth="1"/>
    <col min="2" max="2" width="35.5" style="71" customWidth="1"/>
    <col min="3" max="3" width="21" style="71" customWidth="1"/>
    <col min="4" max="246" width="12" style="71"/>
    <col min="247" max="247" width="36.33203125" style="71" customWidth="1"/>
    <col min="248" max="248" width="22.33203125" style="71" customWidth="1"/>
    <col min="249" max="249" width="12" style="71"/>
    <col min="250" max="250" width="14.33203125" style="71" customWidth="1"/>
    <col min="251" max="502" width="12" style="71"/>
    <col min="503" max="503" width="36.33203125" style="71" customWidth="1"/>
    <col min="504" max="504" width="22.33203125" style="71" customWidth="1"/>
    <col min="505" max="505" width="12" style="71"/>
    <col min="506" max="506" width="14.33203125" style="71" customWidth="1"/>
    <col min="507" max="758" width="12" style="71"/>
    <col min="759" max="759" width="36.33203125" style="71" customWidth="1"/>
    <col min="760" max="760" width="22.33203125" style="71" customWidth="1"/>
    <col min="761" max="761" width="12" style="71"/>
    <col min="762" max="762" width="14.33203125" style="71" customWidth="1"/>
    <col min="763" max="1014" width="12" style="71"/>
    <col min="1015" max="1015" width="36.33203125" style="71" customWidth="1"/>
    <col min="1016" max="1016" width="22.33203125" style="71" customWidth="1"/>
    <col min="1017" max="1017" width="12" style="71"/>
    <col min="1018" max="1018" width="14.33203125" style="71" customWidth="1"/>
    <col min="1019" max="1270" width="12" style="71"/>
    <col min="1271" max="1271" width="36.33203125" style="71" customWidth="1"/>
    <col min="1272" max="1272" width="22.33203125" style="71" customWidth="1"/>
    <col min="1273" max="1273" width="12" style="71"/>
    <col min="1274" max="1274" width="14.33203125" style="71" customWidth="1"/>
    <col min="1275" max="1526" width="12" style="71"/>
    <col min="1527" max="1527" width="36.33203125" style="71" customWidth="1"/>
    <col min="1528" max="1528" width="22.33203125" style="71" customWidth="1"/>
    <col min="1529" max="1529" width="12" style="71"/>
    <col min="1530" max="1530" width="14.33203125" style="71" customWidth="1"/>
    <col min="1531" max="1782" width="12" style="71"/>
    <col min="1783" max="1783" width="36.33203125" style="71" customWidth="1"/>
    <col min="1784" max="1784" width="22.33203125" style="71" customWidth="1"/>
    <col min="1785" max="1785" width="12" style="71"/>
    <col min="1786" max="1786" width="14.33203125" style="71" customWidth="1"/>
    <col min="1787" max="2038" width="12" style="71"/>
    <col min="2039" max="2039" width="36.33203125" style="71" customWidth="1"/>
    <col min="2040" max="2040" width="22.33203125" style="71" customWidth="1"/>
    <col min="2041" max="2041" width="12" style="71"/>
    <col min="2042" max="2042" width="14.33203125" style="71" customWidth="1"/>
    <col min="2043" max="2294" width="12" style="71"/>
    <col min="2295" max="2295" width="36.33203125" style="71" customWidth="1"/>
    <col min="2296" max="2296" width="22.33203125" style="71" customWidth="1"/>
    <col min="2297" max="2297" width="12" style="71"/>
    <col min="2298" max="2298" width="14.33203125" style="71" customWidth="1"/>
    <col min="2299" max="2550" width="12" style="71"/>
    <col min="2551" max="2551" width="36.33203125" style="71" customWidth="1"/>
    <col min="2552" max="2552" width="22.33203125" style="71" customWidth="1"/>
    <col min="2553" max="2553" width="12" style="71"/>
    <col min="2554" max="2554" width="14.33203125" style="71" customWidth="1"/>
    <col min="2555" max="2806" width="12" style="71"/>
    <col min="2807" max="2807" width="36.33203125" style="71" customWidth="1"/>
    <col min="2808" max="2808" width="22.33203125" style="71" customWidth="1"/>
    <col min="2809" max="2809" width="12" style="71"/>
    <col min="2810" max="2810" width="14.33203125" style="71" customWidth="1"/>
    <col min="2811" max="3062" width="12" style="71"/>
    <col min="3063" max="3063" width="36.33203125" style="71" customWidth="1"/>
    <col min="3064" max="3064" width="22.33203125" style="71" customWidth="1"/>
    <col min="3065" max="3065" width="12" style="71"/>
    <col min="3066" max="3066" width="14.33203125" style="71" customWidth="1"/>
    <col min="3067" max="3318" width="12" style="71"/>
    <col min="3319" max="3319" width="36.33203125" style="71" customWidth="1"/>
    <col min="3320" max="3320" width="22.33203125" style="71" customWidth="1"/>
    <col min="3321" max="3321" width="12" style="71"/>
    <col min="3322" max="3322" width="14.33203125" style="71" customWidth="1"/>
    <col min="3323" max="3574" width="12" style="71"/>
    <col min="3575" max="3575" width="36.33203125" style="71" customWidth="1"/>
    <col min="3576" max="3576" width="22.33203125" style="71" customWidth="1"/>
    <col min="3577" max="3577" width="12" style="71"/>
    <col min="3578" max="3578" width="14.33203125" style="71" customWidth="1"/>
    <col min="3579" max="3830" width="12" style="71"/>
    <col min="3831" max="3831" width="36.33203125" style="71" customWidth="1"/>
    <col min="3832" max="3832" width="22.33203125" style="71" customWidth="1"/>
    <col min="3833" max="3833" width="12" style="71"/>
    <col min="3834" max="3834" width="14.33203125" style="71" customWidth="1"/>
    <col min="3835" max="4086" width="12" style="71"/>
    <col min="4087" max="4087" width="36.33203125" style="71" customWidth="1"/>
    <col min="4088" max="4088" width="22.33203125" style="71" customWidth="1"/>
    <col min="4089" max="4089" width="12" style="71"/>
    <col min="4090" max="4090" width="14.33203125" style="71" customWidth="1"/>
    <col min="4091" max="4342" width="12" style="71"/>
    <col min="4343" max="4343" width="36.33203125" style="71" customWidth="1"/>
    <col min="4344" max="4344" width="22.33203125" style="71" customWidth="1"/>
    <col min="4345" max="4345" width="12" style="71"/>
    <col min="4346" max="4346" width="14.33203125" style="71" customWidth="1"/>
    <col min="4347" max="4598" width="12" style="71"/>
    <col min="4599" max="4599" width="36.33203125" style="71" customWidth="1"/>
    <col min="4600" max="4600" width="22.33203125" style="71" customWidth="1"/>
    <col min="4601" max="4601" width="12" style="71"/>
    <col min="4602" max="4602" width="14.33203125" style="71" customWidth="1"/>
    <col min="4603" max="4854" width="12" style="71"/>
    <col min="4855" max="4855" width="36.33203125" style="71" customWidth="1"/>
    <col min="4856" max="4856" width="22.33203125" style="71" customWidth="1"/>
    <col min="4857" max="4857" width="12" style="71"/>
    <col min="4858" max="4858" width="14.33203125" style="71" customWidth="1"/>
    <col min="4859" max="5110" width="12" style="71"/>
    <col min="5111" max="5111" width="36.33203125" style="71" customWidth="1"/>
    <col min="5112" max="5112" width="22.33203125" style="71" customWidth="1"/>
    <col min="5113" max="5113" width="12" style="71"/>
    <col min="5114" max="5114" width="14.33203125" style="71" customWidth="1"/>
    <col min="5115" max="5366" width="12" style="71"/>
    <col min="5367" max="5367" width="36.33203125" style="71" customWidth="1"/>
    <col min="5368" max="5368" width="22.33203125" style="71" customWidth="1"/>
    <col min="5369" max="5369" width="12" style="71"/>
    <col min="5370" max="5370" width="14.33203125" style="71" customWidth="1"/>
    <col min="5371" max="5622" width="12" style="71"/>
    <col min="5623" max="5623" width="36.33203125" style="71" customWidth="1"/>
    <col min="5624" max="5624" width="22.33203125" style="71" customWidth="1"/>
    <col min="5625" max="5625" width="12" style="71"/>
    <col min="5626" max="5626" width="14.33203125" style="71" customWidth="1"/>
    <col min="5627" max="5878" width="12" style="71"/>
    <col min="5879" max="5879" width="36.33203125" style="71" customWidth="1"/>
    <col min="5880" max="5880" width="22.33203125" style="71" customWidth="1"/>
    <col min="5881" max="5881" width="12" style="71"/>
    <col min="5882" max="5882" width="14.33203125" style="71" customWidth="1"/>
    <col min="5883" max="6134" width="12" style="71"/>
    <col min="6135" max="6135" width="36.33203125" style="71" customWidth="1"/>
    <col min="6136" max="6136" width="22.33203125" style="71" customWidth="1"/>
    <col min="6137" max="6137" width="12" style="71"/>
    <col min="6138" max="6138" width="14.33203125" style="71" customWidth="1"/>
    <col min="6139" max="6390" width="12" style="71"/>
    <col min="6391" max="6391" width="36.33203125" style="71" customWidth="1"/>
    <col min="6392" max="6392" width="22.33203125" style="71" customWidth="1"/>
    <col min="6393" max="6393" width="12" style="71"/>
    <col min="6394" max="6394" width="14.33203125" style="71" customWidth="1"/>
    <col min="6395" max="6646" width="12" style="71"/>
    <col min="6647" max="6647" width="36.33203125" style="71" customWidth="1"/>
    <col min="6648" max="6648" width="22.33203125" style="71" customWidth="1"/>
    <col min="6649" max="6649" width="12" style="71"/>
    <col min="6650" max="6650" width="14.33203125" style="71" customWidth="1"/>
    <col min="6651" max="6902" width="12" style="71"/>
    <col min="6903" max="6903" width="36.33203125" style="71" customWidth="1"/>
    <col min="6904" max="6904" width="22.33203125" style="71" customWidth="1"/>
    <col min="6905" max="6905" width="12" style="71"/>
    <col min="6906" max="6906" width="14.33203125" style="71" customWidth="1"/>
    <col min="6907" max="7158" width="12" style="71"/>
    <col min="7159" max="7159" width="36.33203125" style="71" customWidth="1"/>
    <col min="7160" max="7160" width="22.33203125" style="71" customWidth="1"/>
    <col min="7161" max="7161" width="12" style="71"/>
    <col min="7162" max="7162" width="14.33203125" style="71" customWidth="1"/>
    <col min="7163" max="7414" width="12" style="71"/>
    <col min="7415" max="7415" width="36.33203125" style="71" customWidth="1"/>
    <col min="7416" max="7416" width="22.33203125" style="71" customWidth="1"/>
    <col min="7417" max="7417" width="12" style="71"/>
    <col min="7418" max="7418" width="14.33203125" style="71" customWidth="1"/>
    <col min="7419" max="7670" width="12" style="71"/>
    <col min="7671" max="7671" width="36.33203125" style="71" customWidth="1"/>
    <col min="7672" max="7672" width="22.33203125" style="71" customWidth="1"/>
    <col min="7673" max="7673" width="12" style="71"/>
    <col min="7674" max="7674" width="14.33203125" style="71" customWidth="1"/>
    <col min="7675" max="7926" width="12" style="71"/>
    <col min="7927" max="7927" width="36.33203125" style="71" customWidth="1"/>
    <col min="7928" max="7928" width="22.33203125" style="71" customWidth="1"/>
    <col min="7929" max="7929" width="12" style="71"/>
    <col min="7930" max="7930" width="14.33203125" style="71" customWidth="1"/>
    <col min="7931" max="8182" width="12" style="71"/>
    <col min="8183" max="8183" width="36.33203125" style="71" customWidth="1"/>
    <col min="8184" max="8184" width="22.33203125" style="71" customWidth="1"/>
    <col min="8185" max="8185" width="12" style="71"/>
    <col min="8186" max="8186" width="14.33203125" style="71" customWidth="1"/>
    <col min="8187" max="8438" width="12" style="71"/>
    <col min="8439" max="8439" width="36.33203125" style="71" customWidth="1"/>
    <col min="8440" max="8440" width="22.33203125" style="71" customWidth="1"/>
    <col min="8441" max="8441" width="12" style="71"/>
    <col min="8442" max="8442" width="14.33203125" style="71" customWidth="1"/>
    <col min="8443" max="8694" width="12" style="71"/>
    <col min="8695" max="8695" width="36.33203125" style="71" customWidth="1"/>
    <col min="8696" max="8696" width="22.33203125" style="71" customWidth="1"/>
    <col min="8697" max="8697" width="12" style="71"/>
    <col min="8698" max="8698" width="14.33203125" style="71" customWidth="1"/>
    <col min="8699" max="8950" width="12" style="71"/>
    <col min="8951" max="8951" width="36.33203125" style="71" customWidth="1"/>
    <col min="8952" max="8952" width="22.33203125" style="71" customWidth="1"/>
    <col min="8953" max="8953" width="12" style="71"/>
    <col min="8954" max="8954" width="14.33203125" style="71" customWidth="1"/>
    <col min="8955" max="9206" width="12" style="71"/>
    <col min="9207" max="9207" width="36.33203125" style="71" customWidth="1"/>
    <col min="9208" max="9208" width="22.33203125" style="71" customWidth="1"/>
    <col min="9209" max="9209" width="12" style="71"/>
    <col min="9210" max="9210" width="14.33203125" style="71" customWidth="1"/>
    <col min="9211" max="9462" width="12" style="71"/>
    <col min="9463" max="9463" width="36.33203125" style="71" customWidth="1"/>
    <col min="9464" max="9464" width="22.33203125" style="71" customWidth="1"/>
    <col min="9465" max="9465" width="12" style="71"/>
    <col min="9466" max="9466" width="14.33203125" style="71" customWidth="1"/>
    <col min="9467" max="9718" width="12" style="71"/>
    <col min="9719" max="9719" width="36.33203125" style="71" customWidth="1"/>
    <col min="9720" max="9720" width="22.33203125" style="71" customWidth="1"/>
    <col min="9721" max="9721" width="12" style="71"/>
    <col min="9722" max="9722" width="14.33203125" style="71" customWidth="1"/>
    <col min="9723" max="9974" width="12" style="71"/>
    <col min="9975" max="9975" width="36.33203125" style="71" customWidth="1"/>
    <col min="9976" max="9976" width="22.33203125" style="71" customWidth="1"/>
    <col min="9977" max="9977" width="12" style="71"/>
    <col min="9978" max="9978" width="14.33203125" style="71" customWidth="1"/>
    <col min="9979" max="10230" width="12" style="71"/>
    <col min="10231" max="10231" width="36.33203125" style="71" customWidth="1"/>
    <col min="10232" max="10232" width="22.33203125" style="71" customWidth="1"/>
    <col min="10233" max="10233" width="12" style="71"/>
    <col min="10234" max="10234" width="14.33203125" style="71" customWidth="1"/>
    <col min="10235" max="10486" width="12" style="71"/>
    <col min="10487" max="10487" width="36.33203125" style="71" customWidth="1"/>
    <col min="10488" max="10488" width="22.33203125" style="71" customWidth="1"/>
    <col min="10489" max="10489" width="12" style="71"/>
    <col min="10490" max="10490" width="14.33203125" style="71" customWidth="1"/>
    <col min="10491" max="10742" width="12" style="71"/>
    <col min="10743" max="10743" width="36.33203125" style="71" customWidth="1"/>
    <col min="10744" max="10744" width="22.33203125" style="71" customWidth="1"/>
    <col min="10745" max="10745" width="12" style="71"/>
    <col min="10746" max="10746" width="14.33203125" style="71" customWidth="1"/>
    <col min="10747" max="10998" width="12" style="71"/>
    <col min="10999" max="10999" width="36.33203125" style="71" customWidth="1"/>
    <col min="11000" max="11000" width="22.33203125" style="71" customWidth="1"/>
    <col min="11001" max="11001" width="12" style="71"/>
    <col min="11002" max="11002" width="14.33203125" style="71" customWidth="1"/>
    <col min="11003" max="11254" width="12" style="71"/>
    <col min="11255" max="11255" width="36.33203125" style="71" customWidth="1"/>
    <col min="11256" max="11256" width="22.33203125" style="71" customWidth="1"/>
    <col min="11257" max="11257" width="12" style="71"/>
    <col min="11258" max="11258" width="14.33203125" style="71" customWidth="1"/>
    <col min="11259" max="11510" width="12" style="71"/>
    <col min="11511" max="11511" width="36.33203125" style="71" customWidth="1"/>
    <col min="11512" max="11512" width="22.33203125" style="71" customWidth="1"/>
    <col min="11513" max="11513" width="12" style="71"/>
    <col min="11514" max="11514" width="14.33203125" style="71" customWidth="1"/>
    <col min="11515" max="11766" width="12" style="71"/>
    <col min="11767" max="11767" width="36.33203125" style="71" customWidth="1"/>
    <col min="11768" max="11768" width="22.33203125" style="71" customWidth="1"/>
    <col min="11769" max="11769" width="12" style="71"/>
    <col min="11770" max="11770" width="14.33203125" style="71" customWidth="1"/>
    <col min="11771" max="12022" width="12" style="71"/>
    <col min="12023" max="12023" width="36.33203125" style="71" customWidth="1"/>
    <col min="12024" max="12024" width="22.33203125" style="71" customWidth="1"/>
    <col min="12025" max="12025" width="12" style="71"/>
    <col min="12026" max="12026" width="14.33203125" style="71" customWidth="1"/>
    <col min="12027" max="12278" width="12" style="71"/>
    <col min="12279" max="12279" width="36.33203125" style="71" customWidth="1"/>
    <col min="12280" max="12280" width="22.33203125" style="71" customWidth="1"/>
    <col min="12281" max="12281" width="12" style="71"/>
    <col min="12282" max="12282" width="14.33203125" style="71" customWidth="1"/>
    <col min="12283" max="12534" width="12" style="71"/>
    <col min="12535" max="12535" width="36.33203125" style="71" customWidth="1"/>
    <col min="12536" max="12536" width="22.33203125" style="71" customWidth="1"/>
    <col min="12537" max="12537" width="12" style="71"/>
    <col min="12538" max="12538" width="14.33203125" style="71" customWidth="1"/>
    <col min="12539" max="12790" width="12" style="71"/>
    <col min="12791" max="12791" width="36.33203125" style="71" customWidth="1"/>
    <col min="12792" max="12792" width="22.33203125" style="71" customWidth="1"/>
    <col min="12793" max="12793" width="12" style="71"/>
    <col min="12794" max="12794" width="14.33203125" style="71" customWidth="1"/>
    <col min="12795" max="13046" width="12" style="71"/>
    <col min="13047" max="13047" width="36.33203125" style="71" customWidth="1"/>
    <col min="13048" max="13048" width="22.33203125" style="71" customWidth="1"/>
    <col min="13049" max="13049" width="12" style="71"/>
    <col min="13050" max="13050" width="14.33203125" style="71" customWidth="1"/>
    <col min="13051" max="13302" width="12" style="71"/>
    <col min="13303" max="13303" width="36.33203125" style="71" customWidth="1"/>
    <col min="13304" max="13304" width="22.33203125" style="71" customWidth="1"/>
    <col min="13305" max="13305" width="12" style="71"/>
    <col min="13306" max="13306" width="14.33203125" style="71" customWidth="1"/>
    <col min="13307" max="13558" width="12" style="71"/>
    <col min="13559" max="13559" width="36.33203125" style="71" customWidth="1"/>
    <col min="13560" max="13560" width="22.33203125" style="71" customWidth="1"/>
    <col min="13561" max="13561" width="12" style="71"/>
    <col min="13562" max="13562" width="14.33203125" style="71" customWidth="1"/>
    <col min="13563" max="13814" width="12" style="71"/>
    <col min="13815" max="13815" width="36.33203125" style="71" customWidth="1"/>
    <col min="13816" max="13816" width="22.33203125" style="71" customWidth="1"/>
    <col min="13817" max="13817" width="12" style="71"/>
    <col min="13818" max="13818" width="14.33203125" style="71" customWidth="1"/>
    <col min="13819" max="14070" width="12" style="71"/>
    <col min="14071" max="14071" width="36.33203125" style="71" customWidth="1"/>
    <col min="14072" max="14072" width="22.33203125" style="71" customWidth="1"/>
    <col min="14073" max="14073" width="12" style="71"/>
    <col min="14074" max="14074" width="14.33203125" style="71" customWidth="1"/>
    <col min="14075" max="14326" width="12" style="71"/>
    <col min="14327" max="14327" width="36.33203125" style="71" customWidth="1"/>
    <col min="14328" max="14328" width="22.33203125" style="71" customWidth="1"/>
    <col min="14329" max="14329" width="12" style="71"/>
    <col min="14330" max="14330" width="14.33203125" style="71" customWidth="1"/>
    <col min="14331" max="14582" width="12" style="71"/>
    <col min="14583" max="14583" width="36.33203125" style="71" customWidth="1"/>
    <col min="14584" max="14584" width="22.33203125" style="71" customWidth="1"/>
    <col min="14585" max="14585" width="12" style="71"/>
    <col min="14586" max="14586" width="14.33203125" style="71" customWidth="1"/>
    <col min="14587" max="14838" width="12" style="71"/>
    <col min="14839" max="14839" width="36.33203125" style="71" customWidth="1"/>
    <col min="14840" max="14840" width="22.33203125" style="71" customWidth="1"/>
    <col min="14841" max="14841" width="12" style="71"/>
    <col min="14842" max="14842" width="14.33203125" style="71" customWidth="1"/>
    <col min="14843" max="15094" width="12" style="71"/>
    <col min="15095" max="15095" width="36.33203125" style="71" customWidth="1"/>
    <col min="15096" max="15096" width="22.33203125" style="71" customWidth="1"/>
    <col min="15097" max="15097" width="12" style="71"/>
    <col min="15098" max="15098" width="14.33203125" style="71" customWidth="1"/>
    <col min="15099" max="15350" width="12" style="71"/>
    <col min="15351" max="15351" width="36.33203125" style="71" customWidth="1"/>
    <col min="15352" max="15352" width="22.33203125" style="71" customWidth="1"/>
    <col min="15353" max="15353" width="12" style="71"/>
    <col min="15354" max="15354" width="14.33203125" style="71" customWidth="1"/>
    <col min="15355" max="15606" width="12" style="71"/>
    <col min="15607" max="15607" width="36.33203125" style="71" customWidth="1"/>
    <col min="15608" max="15608" width="22.33203125" style="71" customWidth="1"/>
    <col min="15609" max="15609" width="12" style="71"/>
    <col min="15610" max="15610" width="14.33203125" style="71" customWidth="1"/>
    <col min="15611" max="15862" width="12" style="71"/>
    <col min="15863" max="15863" width="36.33203125" style="71" customWidth="1"/>
    <col min="15864" max="15864" width="22.33203125" style="71" customWidth="1"/>
    <col min="15865" max="15865" width="12" style="71"/>
    <col min="15866" max="15866" width="14.33203125" style="71" customWidth="1"/>
    <col min="15867" max="16118" width="12" style="71"/>
    <col min="16119" max="16119" width="36.33203125" style="71" customWidth="1"/>
    <col min="16120" max="16120" width="22.33203125" style="71" customWidth="1"/>
    <col min="16121" max="16121" width="12" style="71"/>
    <col min="16122" max="16122" width="14.33203125" style="71" customWidth="1"/>
    <col min="16123" max="16384" width="12" style="71"/>
  </cols>
  <sheetData>
    <row r="1" spans="1:8" ht="20.100000000000001" customHeight="1" x14ac:dyDescent="0.2">
      <c r="A1" s="1319"/>
      <c r="B1" s="1430" t="s">
        <v>0</v>
      </c>
      <c r="C1" s="1431"/>
      <c r="D1" s="339" t="s">
        <v>104</v>
      </c>
      <c r="E1" s="62"/>
    </row>
    <row r="2" spans="1:8" ht="20.100000000000001" customHeight="1" x14ac:dyDescent="0.2">
      <c r="A2" s="1321"/>
      <c r="B2" s="1137" t="s">
        <v>1157</v>
      </c>
      <c r="C2" s="1138"/>
    </row>
    <row r="3" spans="1:8" ht="20.100000000000001" customHeight="1" thickBot="1" x14ac:dyDescent="0.25">
      <c r="A3" s="1323"/>
      <c r="B3" s="719" t="s">
        <v>2</v>
      </c>
      <c r="C3" s="718" t="str">
        <f>Instructivo!G3</f>
        <v>VERSIÓN: 04</v>
      </c>
    </row>
    <row r="4" spans="1:8" ht="20.100000000000001" customHeight="1" thickBot="1" x14ac:dyDescent="0.25">
      <c r="A4" s="255"/>
      <c r="B4" s="255"/>
      <c r="C4" s="255"/>
    </row>
    <row r="5" spans="1:8" ht="20.100000000000001" customHeight="1" thickBot="1" x14ac:dyDescent="0.25">
      <c r="A5" s="256" t="s">
        <v>820</v>
      </c>
      <c r="B5" s="1586">
        <v>2022</v>
      </c>
      <c r="C5" s="1587"/>
    </row>
    <row r="6" spans="1:8" ht="25.9" customHeight="1" thickBot="1" x14ac:dyDescent="0.25">
      <c r="A6" s="307" t="s">
        <v>1158</v>
      </c>
      <c r="B6" s="1586" t="s">
        <v>1159</v>
      </c>
      <c r="C6" s="1587"/>
      <c r="E6" s="308"/>
      <c r="F6" s="308"/>
      <c r="G6" s="308"/>
      <c r="H6" s="308"/>
    </row>
    <row r="7" spans="1:8" ht="25.9" customHeight="1" thickBot="1" x14ac:dyDescent="0.25">
      <c r="A7" s="309"/>
      <c r="B7" s="310"/>
      <c r="C7" s="310"/>
      <c r="E7" s="308"/>
      <c r="F7" s="308"/>
      <c r="G7" s="308"/>
      <c r="H7" s="308"/>
    </row>
    <row r="8" spans="1:8" ht="29.25" customHeight="1" x14ac:dyDescent="0.2">
      <c r="A8" s="1697" t="s">
        <v>537</v>
      </c>
      <c r="B8" s="1698"/>
      <c r="C8" s="274" t="s">
        <v>1160</v>
      </c>
    </row>
    <row r="9" spans="1:8" ht="20.100000000000001" customHeight="1" x14ac:dyDescent="0.2">
      <c r="A9" s="1699" t="s">
        <v>1161</v>
      </c>
      <c r="B9" s="1700"/>
      <c r="C9" s="557">
        <v>59000</v>
      </c>
    </row>
    <row r="10" spans="1:8" ht="20.100000000000001" customHeight="1" x14ac:dyDescent="0.2">
      <c r="A10" s="1699" t="s">
        <v>1162</v>
      </c>
      <c r="B10" s="1700"/>
      <c r="C10" s="557">
        <v>30000</v>
      </c>
    </row>
    <row r="11" spans="1:8" ht="20.100000000000001" customHeight="1" x14ac:dyDescent="0.2">
      <c r="A11" s="1699" t="s">
        <v>1163</v>
      </c>
      <c r="B11" s="1700"/>
      <c r="C11" s="557">
        <v>51999</v>
      </c>
    </row>
    <row r="12" spans="1:8" ht="20.100000000000001" customHeight="1" x14ac:dyDescent="0.2">
      <c r="A12" s="1699" t="s">
        <v>1164</v>
      </c>
      <c r="B12" s="1700"/>
      <c r="C12" s="557">
        <v>47000</v>
      </c>
    </row>
    <row r="13" spans="1:8" ht="20.100000000000001" customHeight="1" x14ac:dyDescent="0.2">
      <c r="A13" s="1699" t="s">
        <v>1165</v>
      </c>
      <c r="B13" s="1700"/>
      <c r="C13" s="557">
        <v>94000</v>
      </c>
    </row>
    <row r="14" spans="1:8" ht="20.100000000000001" customHeight="1" thickBot="1" x14ac:dyDescent="0.25">
      <c r="A14" s="1695" t="s">
        <v>1166</v>
      </c>
      <c r="B14" s="1696"/>
      <c r="C14" s="558">
        <v>78000</v>
      </c>
    </row>
    <row r="15" spans="1:8" ht="20.100000000000001" customHeight="1" thickBot="1" x14ac:dyDescent="0.25">
      <c r="A15" s="269"/>
      <c r="B15" s="269"/>
      <c r="C15" s="269"/>
    </row>
    <row r="16" spans="1:8" ht="54" customHeight="1" thickBot="1" x14ac:dyDescent="0.25">
      <c r="A16" s="1588" t="s">
        <v>1167</v>
      </c>
      <c r="B16" s="1693"/>
      <c r="C16" s="1694"/>
    </row>
  </sheetData>
  <sheetProtection algorithmName="SHA-512" hashValue="IkRg4cH81eY5yW26T23Qx/40nltTNKoifDFcpwQkh5PRFFa7xDXGXmiv3lOnJ/QTgUfxFzmicUDqj1Tt0LojDw==" saltValue="bNB0OcDHWsoN5uPBy1unvQ==" spinCount="100000" sheet="1" formatCells="0" formatColumns="0" formatRows="0" insertColumns="0" insertRows="0" insertHyperlinks="0" deleteColumns="0" deleteRows="0" sort="0" autoFilter="0" pivotTables="0"/>
  <mergeCells count="13">
    <mergeCell ref="A16:C16"/>
    <mergeCell ref="A14:B14"/>
    <mergeCell ref="A1:A3"/>
    <mergeCell ref="B1:C1"/>
    <mergeCell ref="B2:C2"/>
    <mergeCell ref="B5:C5"/>
    <mergeCell ref="B6:C6"/>
    <mergeCell ref="A8:B8"/>
    <mergeCell ref="A9:B9"/>
    <mergeCell ref="A10:B10"/>
    <mergeCell ref="A12:B12"/>
    <mergeCell ref="A13:B13"/>
    <mergeCell ref="A11:B11"/>
  </mergeCells>
  <hyperlinks>
    <hyperlink ref="D1" location="ins" display="Instructivo" xr:uid="{00000000-0004-0000-1B00-000000000000}"/>
  </hyperlinks>
  <printOptions horizontalCentered="1"/>
  <pageMargins left="0" right="0" top="0" bottom="0" header="0" footer="0"/>
  <pageSetup fitToHeight="0" orientation="landscape" horizontalDpi="4294967292" verticalDpi="4294967292" r:id="rId1"/>
  <headerFooter>
    <oddFooter>&amp;R&amp;"Arial,Normal"&amp;K01+000Página &amp;P de &amp;N</oddFooter>
  </headerFooter>
  <drawing r:id="rId2"/>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Hoja30">
    <tabColor theme="0" tint="-0.249977111117893"/>
    <pageSetUpPr fitToPage="1"/>
  </sheetPr>
  <dimension ref="A1:D17"/>
  <sheetViews>
    <sheetView showGridLines="0" zoomScale="90" zoomScaleNormal="90" workbookViewId="0">
      <selection activeCell="A17" sqref="A17:E17"/>
    </sheetView>
  </sheetViews>
  <sheetFormatPr baseColWidth="10" defaultColWidth="11.5" defaultRowHeight="18" customHeight="1" x14ac:dyDescent="0.2"/>
  <cols>
    <col min="1" max="3" width="28.83203125" style="204" customWidth="1"/>
    <col min="4" max="4" width="15.83203125" style="204" customWidth="1"/>
    <col min="5" max="16384" width="11.5" style="204"/>
  </cols>
  <sheetData>
    <row r="1" spans="1:4" ht="18" customHeight="1" x14ac:dyDescent="0.2">
      <c r="A1" s="1319"/>
      <c r="B1" s="1135" t="s">
        <v>0</v>
      </c>
      <c r="C1" s="1136"/>
      <c r="D1" s="401" t="s">
        <v>104</v>
      </c>
    </row>
    <row r="2" spans="1:4" ht="18" customHeight="1" x14ac:dyDescent="0.2">
      <c r="A2" s="1321"/>
      <c r="B2" s="1702" t="s">
        <v>1168</v>
      </c>
      <c r="C2" s="1703"/>
    </row>
    <row r="3" spans="1:4" ht="21" customHeight="1" thickBot="1" x14ac:dyDescent="0.25">
      <c r="A3" s="1323"/>
      <c r="B3" s="719" t="s">
        <v>2</v>
      </c>
      <c r="C3" s="718" t="str">
        <f>Instructivo!G3</f>
        <v>VERSIÓN: 04</v>
      </c>
    </row>
    <row r="4" spans="1:4" ht="18" customHeight="1" thickBot="1" x14ac:dyDescent="0.25"/>
    <row r="5" spans="1:4" ht="18" customHeight="1" thickBot="1" x14ac:dyDescent="0.25">
      <c r="A5" s="556" t="s">
        <v>820</v>
      </c>
      <c r="B5" s="1586">
        <f>Honorarios!B5</f>
        <v>2023</v>
      </c>
      <c r="C5" s="1587"/>
    </row>
    <row r="6" spans="1:4" ht="18" customHeight="1" thickBot="1" x14ac:dyDescent="0.25">
      <c r="A6" s="555" t="s">
        <v>1169</v>
      </c>
      <c r="B6" s="1706" t="s">
        <v>1170</v>
      </c>
      <c r="C6" s="1707"/>
    </row>
    <row r="7" spans="1:4" ht="13.5" thickBot="1" x14ac:dyDescent="0.25"/>
    <row r="8" spans="1:4" ht="18" customHeight="1" thickBot="1" x14ac:dyDescent="0.25">
      <c r="A8" s="556" t="s">
        <v>1171</v>
      </c>
      <c r="B8" s="1704">
        <f>Jornal!D7</f>
        <v>1160000</v>
      </c>
      <c r="C8" s="1705"/>
    </row>
    <row r="9" spans="1:4" ht="18" customHeight="1" thickBot="1" x14ac:dyDescent="0.25">
      <c r="A9" s="555" t="s">
        <v>1172</v>
      </c>
      <c r="B9" s="1704">
        <v>164026683397</v>
      </c>
      <c r="C9" s="1705"/>
    </row>
    <row r="10" spans="1:4" ht="18" customHeight="1" thickBot="1" x14ac:dyDescent="0.25"/>
    <row r="11" spans="1:4" ht="57.75" customHeight="1" thickBot="1" x14ac:dyDescent="0.25">
      <c r="A11" s="1708" t="s">
        <v>1173</v>
      </c>
      <c r="B11" s="1709"/>
      <c r="C11" s="1710"/>
    </row>
    <row r="12" spans="1:4" ht="18" customHeight="1" thickBot="1" x14ac:dyDescent="0.25"/>
    <row r="13" spans="1:4" ht="18" customHeight="1" thickBot="1" x14ac:dyDescent="0.25">
      <c r="A13" s="1196" t="s">
        <v>1168</v>
      </c>
      <c r="B13" s="1197"/>
      <c r="C13" s="1701"/>
    </row>
    <row r="14" spans="1:4" ht="18" customHeight="1" x14ac:dyDescent="0.2">
      <c r="A14" s="408" t="s">
        <v>1174</v>
      </c>
      <c r="B14" s="409" t="s">
        <v>1175</v>
      </c>
      <c r="C14" s="409" t="s">
        <v>1175</v>
      </c>
    </row>
    <row r="15" spans="1:4" ht="18" customHeight="1" x14ac:dyDescent="0.2">
      <c r="A15" s="399" t="s">
        <v>1176</v>
      </c>
      <c r="B15" s="781">
        <v>1</v>
      </c>
      <c r="C15" s="781">
        <v>45000000</v>
      </c>
    </row>
    <row r="16" spans="1:4" ht="18" customHeight="1" x14ac:dyDescent="0.2">
      <c r="A16" s="399" t="s">
        <v>1177</v>
      </c>
      <c r="B16" s="781">
        <v>45000001</v>
      </c>
      <c r="C16" s="781">
        <v>450000000</v>
      </c>
    </row>
    <row r="17" spans="1:3" ht="18" customHeight="1" x14ac:dyDescent="0.2">
      <c r="A17" s="550" t="s">
        <v>1178</v>
      </c>
      <c r="B17" s="782">
        <v>450000001</v>
      </c>
      <c r="C17" s="782" t="s">
        <v>1179</v>
      </c>
    </row>
  </sheetData>
  <mergeCells count="9">
    <mergeCell ref="A13:C13"/>
    <mergeCell ref="A1:A3"/>
    <mergeCell ref="B1:C1"/>
    <mergeCell ref="B2:C2"/>
    <mergeCell ref="B9:C9"/>
    <mergeCell ref="B5:C5"/>
    <mergeCell ref="B6:C6"/>
    <mergeCell ref="B8:C8"/>
    <mergeCell ref="A11:C11"/>
  </mergeCells>
  <hyperlinks>
    <hyperlink ref="D1" location="ins" display="Instructivo" xr:uid="{00000000-0004-0000-1C00-000000000000}"/>
  </hyperlinks>
  <printOptions horizontalCentered="1"/>
  <pageMargins left="0" right="0" top="0" bottom="0" header="0" footer="0"/>
  <pageSetup fitToHeight="0" orientation="landscape" r:id="rId1"/>
  <drawing r:id="rId2"/>
  <legacyDrawing r:id="rId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Hoja31">
    <tabColor theme="0" tint="-0.249977111117893"/>
    <pageSetUpPr fitToPage="1"/>
  </sheetPr>
  <dimension ref="A1:D49"/>
  <sheetViews>
    <sheetView showGridLines="0" zoomScale="90" zoomScaleNormal="90" workbookViewId="0">
      <selection activeCell="A17" sqref="A17:E17"/>
    </sheetView>
  </sheetViews>
  <sheetFormatPr baseColWidth="10" defaultColWidth="11.5" defaultRowHeight="18" customHeight="1" x14ac:dyDescent="0.2"/>
  <cols>
    <col min="1" max="1" width="28" style="204" customWidth="1"/>
    <col min="2" max="2" width="22.1640625" style="204" bestFit="1" customWidth="1"/>
    <col min="3" max="3" width="154.5" style="204" customWidth="1"/>
    <col min="4" max="4" width="15.83203125" style="204" customWidth="1"/>
    <col min="5" max="16384" width="11.5" style="204"/>
  </cols>
  <sheetData>
    <row r="1" spans="1:4" ht="18" customHeight="1" x14ac:dyDescent="0.2">
      <c r="A1" s="1319"/>
      <c r="B1" s="1135" t="s">
        <v>0</v>
      </c>
      <c r="C1" s="1135"/>
      <c r="D1" s="401" t="s">
        <v>104</v>
      </c>
    </row>
    <row r="2" spans="1:4" ht="18" customHeight="1" x14ac:dyDescent="0.2">
      <c r="A2" s="1321"/>
      <c r="B2" s="1433" t="s">
        <v>1180</v>
      </c>
      <c r="C2" s="1433"/>
    </row>
    <row r="3" spans="1:4" ht="18" customHeight="1" thickBot="1" x14ac:dyDescent="0.25">
      <c r="A3" s="1323"/>
      <c r="B3" s="709" t="s">
        <v>1181</v>
      </c>
      <c r="C3" s="709" t="str">
        <f>Instructivo!G3</f>
        <v>VERSIÓN: 04</v>
      </c>
    </row>
    <row r="4" spans="1:4" ht="18" customHeight="1" thickBot="1" x14ac:dyDescent="0.25"/>
    <row r="5" spans="1:4" ht="18" customHeight="1" thickBot="1" x14ac:dyDescent="0.25">
      <c r="A5" s="1231" t="s">
        <v>1182</v>
      </c>
      <c r="B5" s="1232"/>
      <c r="C5" s="1233"/>
    </row>
    <row r="6" spans="1:4" ht="18" customHeight="1" x14ac:dyDescent="0.2">
      <c r="A6" s="408" t="s">
        <v>1183</v>
      </c>
      <c r="B6" s="409" t="s">
        <v>1184</v>
      </c>
      <c r="C6" s="410" t="s">
        <v>1185</v>
      </c>
    </row>
    <row r="7" spans="1:4" ht="12.75" x14ac:dyDescent="0.2">
      <c r="A7" s="403" t="s">
        <v>1186</v>
      </c>
      <c r="B7" s="420">
        <v>34270</v>
      </c>
      <c r="C7" s="404" t="s">
        <v>1187</v>
      </c>
    </row>
    <row r="8" spans="1:4" ht="12.75" x14ac:dyDescent="0.2">
      <c r="A8" s="403" t="s">
        <v>1188</v>
      </c>
      <c r="B8" s="420">
        <v>37809</v>
      </c>
      <c r="C8" s="404" t="s">
        <v>1189</v>
      </c>
    </row>
    <row r="9" spans="1:4" ht="25.5" x14ac:dyDescent="0.2">
      <c r="A9" s="403" t="s">
        <v>1190</v>
      </c>
      <c r="B9" s="420">
        <v>38201</v>
      </c>
      <c r="C9" s="404" t="s">
        <v>1191</v>
      </c>
    </row>
    <row r="10" spans="1:4" ht="25.5" x14ac:dyDescent="0.2">
      <c r="A10" s="403" t="s">
        <v>1192</v>
      </c>
      <c r="B10" s="420">
        <v>39053</v>
      </c>
      <c r="C10" s="404" t="s">
        <v>1193</v>
      </c>
    </row>
    <row r="11" spans="1:4" ht="25.5" x14ac:dyDescent="0.2">
      <c r="A11" s="403" t="s">
        <v>1194</v>
      </c>
      <c r="B11" s="420">
        <v>39279</v>
      </c>
      <c r="C11" s="404" t="s">
        <v>1195</v>
      </c>
    </row>
    <row r="12" spans="1:4" ht="12.75" x14ac:dyDescent="0.2">
      <c r="A12" s="403" t="s">
        <v>1196</v>
      </c>
      <c r="B12" s="420">
        <v>41628</v>
      </c>
      <c r="C12" s="404" t="s">
        <v>1197</v>
      </c>
    </row>
    <row r="13" spans="1:4" ht="12.75" x14ac:dyDescent="0.2">
      <c r="A13" s="403" t="s">
        <v>1198</v>
      </c>
      <c r="B13" s="420">
        <v>44034</v>
      </c>
      <c r="C13" s="405" t="s">
        <v>1199</v>
      </c>
    </row>
    <row r="14" spans="1:4" ht="12.75" x14ac:dyDescent="0.2">
      <c r="A14" s="403" t="s">
        <v>1200</v>
      </c>
      <c r="B14" s="420">
        <v>40850</v>
      </c>
      <c r="C14" s="405" t="s">
        <v>1201</v>
      </c>
    </row>
    <row r="15" spans="1:4" ht="12.75" x14ac:dyDescent="0.2">
      <c r="A15" s="403" t="s">
        <v>1202</v>
      </c>
      <c r="B15" s="420">
        <v>41472</v>
      </c>
      <c r="C15" s="405" t="s">
        <v>1203</v>
      </c>
    </row>
    <row r="16" spans="1:4" ht="12.75" x14ac:dyDescent="0.2">
      <c r="A16" s="403" t="s">
        <v>1204</v>
      </c>
      <c r="B16" s="420">
        <v>42181</v>
      </c>
      <c r="C16" s="405" t="s">
        <v>1205</v>
      </c>
    </row>
    <row r="17" spans="1:3" ht="38.25" x14ac:dyDescent="0.2">
      <c r="A17" s="403" t="s">
        <v>1206</v>
      </c>
      <c r="B17" s="420">
        <v>44280</v>
      </c>
      <c r="C17" s="405" t="s">
        <v>1207</v>
      </c>
    </row>
    <row r="18" spans="1:3" ht="25.5" x14ac:dyDescent="0.2">
      <c r="A18" s="403" t="s">
        <v>1208</v>
      </c>
      <c r="B18" s="420">
        <v>44299</v>
      </c>
      <c r="C18" s="405" t="s">
        <v>1209</v>
      </c>
    </row>
    <row r="19" spans="1:3" ht="38.25" x14ac:dyDescent="0.2">
      <c r="A19" s="403" t="s">
        <v>1210</v>
      </c>
      <c r="B19" s="420">
        <v>44347</v>
      </c>
      <c r="C19" s="405" t="s">
        <v>1211</v>
      </c>
    </row>
    <row r="20" spans="1:3" ht="39" customHeight="1" x14ac:dyDescent="0.2">
      <c r="A20" s="403" t="s">
        <v>1212</v>
      </c>
      <c r="B20" s="420">
        <v>44369</v>
      </c>
      <c r="C20" s="405" t="s">
        <v>1213</v>
      </c>
    </row>
    <row r="21" spans="1:3" ht="25.5" x14ac:dyDescent="0.2">
      <c r="A21" s="403" t="s">
        <v>1214</v>
      </c>
      <c r="B21" s="420">
        <v>44482</v>
      </c>
      <c r="C21" s="405" t="s">
        <v>1215</v>
      </c>
    </row>
    <row r="22" spans="1:3" ht="25.5" x14ac:dyDescent="0.2">
      <c r="A22" s="403" t="s">
        <v>1216</v>
      </c>
      <c r="B22" s="420">
        <v>44554</v>
      </c>
      <c r="C22" s="405" t="s">
        <v>1217</v>
      </c>
    </row>
    <row r="23" spans="1:3" ht="26.25" thickBot="1" x14ac:dyDescent="0.25">
      <c r="A23" s="406" t="s">
        <v>1218</v>
      </c>
      <c r="B23" s="421">
        <v>44648</v>
      </c>
      <c r="C23" s="407" t="s">
        <v>1219</v>
      </c>
    </row>
    <row r="24" spans="1:3" ht="18" customHeight="1" thickBot="1" x14ac:dyDescent="0.25"/>
    <row r="25" spans="1:3" ht="18" customHeight="1" thickBot="1" x14ac:dyDescent="0.25">
      <c r="A25" s="1231" t="s">
        <v>1220</v>
      </c>
      <c r="B25" s="1232"/>
      <c r="C25" s="1233"/>
    </row>
    <row r="26" spans="1:3" ht="18" customHeight="1" x14ac:dyDescent="0.2">
      <c r="A26" s="1718" t="s">
        <v>1185</v>
      </c>
      <c r="B26" s="1719"/>
      <c r="C26" s="410" t="s">
        <v>1221</v>
      </c>
    </row>
    <row r="27" spans="1:3" ht="39" customHeight="1" x14ac:dyDescent="0.2">
      <c r="A27" s="1714" t="s">
        <v>1222</v>
      </c>
      <c r="B27" s="1715"/>
      <c r="C27" s="411" t="s">
        <v>1223</v>
      </c>
    </row>
    <row r="28" spans="1:3" ht="40.5" customHeight="1" x14ac:dyDescent="0.2">
      <c r="A28" s="1714" t="s">
        <v>1224</v>
      </c>
      <c r="B28" s="1715"/>
      <c r="C28" s="411" t="s">
        <v>1225</v>
      </c>
    </row>
    <row r="29" spans="1:3" ht="38.25" customHeight="1" x14ac:dyDescent="0.2">
      <c r="A29" s="1716" t="s">
        <v>1226</v>
      </c>
      <c r="B29" s="1717"/>
      <c r="C29" s="411" t="s">
        <v>1227</v>
      </c>
    </row>
    <row r="30" spans="1:3" ht="25.5" customHeight="1" x14ac:dyDescent="0.2">
      <c r="A30" s="1714" t="s">
        <v>1228</v>
      </c>
      <c r="B30" s="1715"/>
      <c r="C30" s="411" t="s">
        <v>1229</v>
      </c>
    </row>
    <row r="31" spans="1:3" ht="36.75" customHeight="1" thickBot="1" x14ac:dyDescent="0.25">
      <c r="A31" s="1720" t="s">
        <v>1230</v>
      </c>
      <c r="B31" s="1721"/>
      <c r="C31" s="412" t="s">
        <v>1231</v>
      </c>
    </row>
    <row r="32" spans="1:3" ht="25.5" customHeight="1" thickBot="1" x14ac:dyDescent="0.25">
      <c r="A32" s="1711" t="s">
        <v>1232</v>
      </c>
      <c r="B32" s="1712"/>
      <c r="C32" s="1713"/>
    </row>
    <row r="33" spans="1:3" ht="18" customHeight="1" thickBot="1" x14ac:dyDescent="0.25"/>
    <row r="34" spans="1:3" ht="18" customHeight="1" thickBot="1" x14ac:dyDescent="0.25">
      <c r="A34" s="1196" t="s">
        <v>1233</v>
      </c>
      <c r="B34" s="1197"/>
      <c r="C34" s="1197"/>
    </row>
    <row r="35" spans="1:3" ht="18" customHeight="1" x14ac:dyDescent="0.2">
      <c r="A35" s="408" t="s">
        <v>1234</v>
      </c>
      <c r="B35" s="409" t="s">
        <v>1184</v>
      </c>
      <c r="C35" s="409" t="s">
        <v>1235</v>
      </c>
    </row>
    <row r="36" spans="1:3" ht="34.5" customHeight="1" x14ac:dyDescent="0.2">
      <c r="A36" s="419" t="s">
        <v>1236</v>
      </c>
      <c r="B36" s="402">
        <v>43935</v>
      </c>
      <c r="C36" s="399" t="s">
        <v>1237</v>
      </c>
    </row>
    <row r="37" spans="1:3" ht="54.75" customHeight="1" x14ac:dyDescent="0.2">
      <c r="A37" s="419" t="s">
        <v>1238</v>
      </c>
      <c r="B37" s="402">
        <v>43348</v>
      </c>
      <c r="C37" s="399" t="s">
        <v>1239</v>
      </c>
    </row>
    <row r="38" spans="1:3" ht="54" customHeight="1" x14ac:dyDescent="0.2">
      <c r="A38" s="419" t="s">
        <v>1240</v>
      </c>
      <c r="B38" s="402">
        <v>43634</v>
      </c>
      <c r="C38" s="399" t="s">
        <v>1241</v>
      </c>
    </row>
    <row r="39" spans="1:3" ht="28.5" customHeight="1" thickBot="1" x14ac:dyDescent="0.25">
      <c r="A39" s="414" t="s">
        <v>1242</v>
      </c>
      <c r="B39" s="415">
        <v>44237</v>
      </c>
      <c r="C39" s="416" t="s">
        <v>1243</v>
      </c>
    </row>
    <row r="40" spans="1:3" ht="18" customHeight="1" thickBot="1" x14ac:dyDescent="0.25"/>
    <row r="41" spans="1:3" ht="18" customHeight="1" thickBot="1" x14ac:dyDescent="0.25">
      <c r="A41" s="1231" t="s">
        <v>1244</v>
      </c>
      <c r="B41" s="1232"/>
      <c r="C41" s="1233"/>
    </row>
    <row r="42" spans="1:3" ht="18" customHeight="1" x14ac:dyDescent="0.2">
      <c r="A42" s="408" t="s">
        <v>1245</v>
      </c>
      <c r="B42" s="409" t="s">
        <v>1184</v>
      </c>
      <c r="C42" s="410" t="s">
        <v>1235</v>
      </c>
    </row>
    <row r="43" spans="1:3" ht="18" customHeight="1" x14ac:dyDescent="0.2">
      <c r="A43" s="413" t="s">
        <v>1246</v>
      </c>
      <c r="B43" s="402">
        <v>40940</v>
      </c>
      <c r="C43" s="400" t="s">
        <v>1247</v>
      </c>
    </row>
    <row r="44" spans="1:3" ht="18" customHeight="1" x14ac:dyDescent="0.2">
      <c r="A44" s="413" t="s">
        <v>1248</v>
      </c>
      <c r="B44" s="417" t="s">
        <v>1249</v>
      </c>
      <c r="C44" s="400" t="s">
        <v>1250</v>
      </c>
    </row>
    <row r="45" spans="1:3" ht="18" customHeight="1" x14ac:dyDescent="0.2">
      <c r="A45" s="413" t="s">
        <v>1251</v>
      </c>
      <c r="B45" s="402">
        <v>43514</v>
      </c>
      <c r="C45" s="400" t="s">
        <v>1252</v>
      </c>
    </row>
    <row r="46" spans="1:3" ht="18" customHeight="1" x14ac:dyDescent="0.2">
      <c r="A46" s="413" t="s">
        <v>1253</v>
      </c>
      <c r="B46" s="402">
        <v>43613</v>
      </c>
      <c r="C46" s="400" t="s">
        <v>1254</v>
      </c>
    </row>
    <row r="47" spans="1:3" ht="18" customHeight="1" x14ac:dyDescent="0.2">
      <c r="A47" s="413" t="s">
        <v>1255</v>
      </c>
      <c r="B47" s="402">
        <v>44237</v>
      </c>
      <c r="C47" s="400" t="s">
        <v>1256</v>
      </c>
    </row>
    <row r="48" spans="1:3" ht="18" customHeight="1" x14ac:dyDescent="0.2">
      <c r="A48" s="413" t="s">
        <v>1257</v>
      </c>
      <c r="B48" s="402">
        <v>44312</v>
      </c>
      <c r="C48" s="400" t="s">
        <v>1258</v>
      </c>
    </row>
    <row r="49" spans="1:3" ht="18" customHeight="1" thickBot="1" x14ac:dyDescent="0.25">
      <c r="A49" s="414" t="s">
        <v>1259</v>
      </c>
      <c r="B49" s="415">
        <v>44483</v>
      </c>
      <c r="C49" s="418" t="s">
        <v>1260</v>
      </c>
    </row>
  </sheetData>
  <mergeCells count="14">
    <mergeCell ref="A41:C41"/>
    <mergeCell ref="A25:C25"/>
    <mergeCell ref="A1:A3"/>
    <mergeCell ref="A32:C32"/>
    <mergeCell ref="A30:B30"/>
    <mergeCell ref="A29:B29"/>
    <mergeCell ref="A27:B27"/>
    <mergeCell ref="A34:C34"/>
    <mergeCell ref="B1:C1"/>
    <mergeCell ref="B2:C2"/>
    <mergeCell ref="A5:C5"/>
    <mergeCell ref="A26:B26"/>
    <mergeCell ref="A31:B31"/>
    <mergeCell ref="A28:B28"/>
  </mergeCells>
  <hyperlinks>
    <hyperlink ref="D1" location="ins" display="Instructivo" xr:uid="{00000000-0004-0000-1D00-000000000000}"/>
    <hyperlink ref="C31" r:id="rId1" xr:uid="{00000000-0004-0000-1D00-000001000000}"/>
    <hyperlink ref="C28" r:id="rId2" xr:uid="{00000000-0004-0000-1D00-000002000000}"/>
    <hyperlink ref="C30" r:id="rId3" xr:uid="{00000000-0004-0000-1D00-000003000000}"/>
    <hyperlink ref="C29" r:id="rId4" xr:uid="{00000000-0004-0000-1D00-000004000000}"/>
    <hyperlink ref="C27" r:id="rId5" xr:uid="{00000000-0004-0000-1D00-000005000000}"/>
  </hyperlinks>
  <printOptions horizontalCentered="1"/>
  <pageMargins left="0" right="0" top="0" bottom="0" header="0" footer="0"/>
  <pageSetup scale="76" fitToHeight="0" orientation="landscape" r:id="rId6"/>
  <drawing r:id="rId7"/>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Hoja32">
    <tabColor theme="0" tint="-0.249977111117893"/>
    <pageSetUpPr fitToPage="1"/>
  </sheetPr>
  <dimension ref="A1:E37"/>
  <sheetViews>
    <sheetView showGridLines="0" zoomScale="90" zoomScaleNormal="90" workbookViewId="0">
      <selection activeCell="A17" sqref="A17:E17"/>
    </sheetView>
  </sheetViews>
  <sheetFormatPr baseColWidth="10" defaultColWidth="11.5" defaultRowHeight="18" customHeight="1" x14ac:dyDescent="0.2"/>
  <cols>
    <col min="1" max="1" width="26.6640625" style="204" customWidth="1"/>
    <col min="2" max="2" width="48.6640625" style="204" customWidth="1"/>
    <col min="3" max="3" width="46" style="204" customWidth="1"/>
    <col min="4" max="4" width="16.83203125" style="204" customWidth="1"/>
    <col min="5" max="16384" width="11.5" style="204"/>
  </cols>
  <sheetData>
    <row r="1" spans="1:5" ht="18" customHeight="1" x14ac:dyDescent="0.2">
      <c r="A1" s="1319"/>
      <c r="B1" s="947" t="s">
        <v>0</v>
      </c>
      <c r="C1" s="949"/>
      <c r="D1" s="375" t="s">
        <v>104</v>
      </c>
      <c r="E1" s="62"/>
    </row>
    <row r="2" spans="1:5" ht="18" customHeight="1" x14ac:dyDescent="0.2">
      <c r="A2" s="1321"/>
      <c r="B2" s="1702" t="s">
        <v>1261</v>
      </c>
      <c r="C2" s="1703"/>
      <c r="D2" s="375"/>
    </row>
    <row r="3" spans="1:5" ht="18" customHeight="1" thickBot="1" x14ac:dyDescent="0.25">
      <c r="A3" s="1323"/>
      <c r="B3" s="719" t="s">
        <v>2</v>
      </c>
      <c r="C3" s="718" t="str">
        <f>Instructivo!G3</f>
        <v>VERSIÓN: 04</v>
      </c>
    </row>
    <row r="4" spans="1:5" ht="18" customHeight="1" thickBot="1" x14ac:dyDescent="0.25"/>
    <row r="5" spans="1:5" ht="18" customHeight="1" x14ac:dyDescent="0.2">
      <c r="A5" s="1722" t="s">
        <v>1262</v>
      </c>
      <c r="B5" s="1723"/>
      <c r="C5" s="1724"/>
    </row>
    <row r="6" spans="1:5" ht="169.5" customHeight="1" x14ac:dyDescent="0.2">
      <c r="A6" s="1725" t="s">
        <v>1263</v>
      </c>
      <c r="B6" s="1726"/>
      <c r="C6" s="1727"/>
    </row>
    <row r="7" spans="1:5" ht="18" customHeight="1" thickBot="1" x14ac:dyDescent="0.25">
      <c r="A7" s="1728" t="s">
        <v>1264</v>
      </c>
      <c r="B7" s="1729"/>
      <c r="C7" s="1730"/>
    </row>
    <row r="8" spans="1:5" ht="18" customHeight="1" thickBot="1" x14ac:dyDescent="0.25">
      <c r="A8" s="395"/>
      <c r="B8" s="398"/>
      <c r="C8" s="398"/>
    </row>
    <row r="9" spans="1:5" ht="18" customHeight="1" x14ac:dyDescent="0.2">
      <c r="A9" s="1722" t="s">
        <v>1265</v>
      </c>
      <c r="B9" s="1723"/>
      <c r="C9" s="1724"/>
    </row>
    <row r="10" spans="1:5" ht="18" customHeight="1" x14ac:dyDescent="0.2">
      <c r="A10" s="1735" t="s">
        <v>1266</v>
      </c>
      <c r="B10" s="1736"/>
      <c r="C10" s="1737"/>
    </row>
    <row r="11" spans="1:5" ht="42" customHeight="1" x14ac:dyDescent="0.2">
      <c r="A11" s="1735" t="s">
        <v>1267</v>
      </c>
      <c r="B11" s="1736"/>
      <c r="C11" s="1737"/>
    </row>
    <row r="12" spans="1:5" ht="31.5" customHeight="1" x14ac:dyDescent="0.2">
      <c r="A12" s="1735" t="s">
        <v>1268</v>
      </c>
      <c r="B12" s="1736"/>
      <c r="C12" s="1737"/>
    </row>
    <row r="13" spans="1:5" ht="114" customHeight="1" thickBot="1" x14ac:dyDescent="0.25">
      <c r="A13" s="1738" t="s">
        <v>1269</v>
      </c>
      <c r="B13" s="1739"/>
      <c r="C13" s="1740"/>
    </row>
    <row r="14" spans="1:5" ht="18" customHeight="1" thickBot="1" x14ac:dyDescent="0.25">
      <c r="A14" s="1726"/>
      <c r="B14" s="1726"/>
      <c r="C14" s="1726"/>
    </row>
    <row r="15" spans="1:5" ht="18" customHeight="1" x14ac:dyDescent="0.2">
      <c r="A15" s="1722" t="s">
        <v>1270</v>
      </c>
      <c r="B15" s="1723"/>
      <c r="C15" s="1724"/>
    </row>
    <row r="16" spans="1:5" ht="62.25" customHeight="1" x14ac:dyDescent="0.2">
      <c r="A16" s="1725" t="s">
        <v>1271</v>
      </c>
      <c r="B16" s="1726"/>
      <c r="C16" s="1727"/>
    </row>
    <row r="17" spans="1:3" ht="18" customHeight="1" thickBot="1" x14ac:dyDescent="0.25">
      <c r="A17" s="1731" t="s">
        <v>1272</v>
      </c>
      <c r="B17" s="1732"/>
      <c r="C17" s="1733"/>
    </row>
    <row r="18" spans="1:3" ht="18" customHeight="1" thickBot="1" x14ac:dyDescent="0.25">
      <c r="A18" s="1726"/>
      <c r="B18" s="1726"/>
      <c r="C18" s="1726"/>
    </row>
    <row r="19" spans="1:3" ht="18" customHeight="1" x14ac:dyDescent="0.2">
      <c r="A19" s="1722" t="s">
        <v>1273</v>
      </c>
      <c r="B19" s="1723"/>
      <c r="C19" s="1724"/>
    </row>
    <row r="20" spans="1:3" ht="28.5" customHeight="1" x14ac:dyDescent="0.2">
      <c r="A20" s="1725" t="s">
        <v>1274</v>
      </c>
      <c r="B20" s="1726"/>
      <c r="C20" s="1727"/>
    </row>
    <row r="21" spans="1:3" ht="28.5" customHeight="1" thickBot="1" x14ac:dyDescent="0.25">
      <c r="A21" s="1728" t="s">
        <v>1275</v>
      </c>
      <c r="B21" s="1729"/>
      <c r="C21" s="1730"/>
    </row>
    <row r="22" spans="1:3" ht="18" customHeight="1" thickBot="1" x14ac:dyDescent="0.25">
      <c r="A22" s="1734"/>
      <c r="B22" s="1726"/>
      <c r="C22" s="1726"/>
    </row>
    <row r="23" spans="1:3" ht="27.75" customHeight="1" x14ac:dyDescent="0.2">
      <c r="A23" s="1722" t="s">
        <v>1276</v>
      </c>
      <c r="B23" s="1723"/>
      <c r="C23" s="1724"/>
    </row>
    <row r="24" spans="1:3" ht="69" customHeight="1" thickBot="1" x14ac:dyDescent="0.25">
      <c r="A24" s="1728" t="s">
        <v>1277</v>
      </c>
      <c r="B24" s="1729"/>
      <c r="C24" s="1730"/>
    </row>
    <row r="25" spans="1:3" ht="18" customHeight="1" thickBot="1" x14ac:dyDescent="0.25">
      <c r="A25" s="1726"/>
      <c r="B25" s="1726"/>
      <c r="C25" s="1726"/>
    </row>
    <row r="26" spans="1:3" ht="26.25" customHeight="1" x14ac:dyDescent="0.2">
      <c r="A26" s="1722" t="s">
        <v>1278</v>
      </c>
      <c r="B26" s="1723"/>
      <c r="C26" s="1724"/>
    </row>
    <row r="27" spans="1:3" ht="96.75" customHeight="1" x14ac:dyDescent="0.2">
      <c r="A27" s="1725" t="s">
        <v>1279</v>
      </c>
      <c r="B27" s="1726"/>
      <c r="C27" s="1727"/>
    </row>
    <row r="28" spans="1:3" ht="36" customHeight="1" x14ac:dyDescent="0.2">
      <c r="A28" s="1725" t="s">
        <v>1280</v>
      </c>
      <c r="B28" s="1726"/>
      <c r="C28" s="1727"/>
    </row>
    <row r="29" spans="1:3" ht="159.75" customHeight="1" thickBot="1" x14ac:dyDescent="0.25">
      <c r="A29" s="1728" t="s">
        <v>1281</v>
      </c>
      <c r="B29" s="1729"/>
      <c r="C29" s="1730"/>
    </row>
    <row r="30" spans="1:3" ht="18" customHeight="1" thickBot="1" x14ac:dyDescent="0.25">
      <c r="A30" s="1726"/>
      <c r="B30" s="1726"/>
      <c r="C30" s="1726"/>
    </row>
    <row r="31" spans="1:3" ht="18" customHeight="1" x14ac:dyDescent="0.2">
      <c r="A31" s="1722" t="s">
        <v>1282</v>
      </c>
      <c r="B31" s="1723"/>
      <c r="C31" s="1724"/>
    </row>
    <row r="32" spans="1:3" ht="72" customHeight="1" x14ac:dyDescent="0.2">
      <c r="A32" s="1725" t="s">
        <v>1283</v>
      </c>
      <c r="B32" s="1726"/>
      <c r="C32" s="1727"/>
    </row>
    <row r="33" spans="1:3" ht="30.75" customHeight="1" thickBot="1" x14ac:dyDescent="0.25">
      <c r="A33" s="1728" t="s">
        <v>1284</v>
      </c>
      <c r="B33" s="1729"/>
      <c r="C33" s="1730"/>
    </row>
    <row r="34" spans="1:3" ht="18" customHeight="1" thickBot="1" x14ac:dyDescent="0.25">
      <c r="A34" s="1726"/>
      <c r="B34" s="1726"/>
      <c r="C34" s="1726"/>
    </row>
    <row r="35" spans="1:3" ht="18" customHeight="1" x14ac:dyDescent="0.2">
      <c r="A35" s="1722" t="s">
        <v>1285</v>
      </c>
      <c r="B35" s="1723"/>
      <c r="C35" s="1724"/>
    </row>
    <row r="36" spans="1:3" ht="180.75" customHeight="1" x14ac:dyDescent="0.2">
      <c r="A36" s="1725" t="s">
        <v>1286</v>
      </c>
      <c r="B36" s="1726"/>
      <c r="C36" s="1727"/>
    </row>
    <row r="37" spans="1:3" ht="120" customHeight="1" thickBot="1" x14ac:dyDescent="0.25">
      <c r="A37" s="1728" t="s">
        <v>1287</v>
      </c>
      <c r="B37" s="1729"/>
      <c r="C37" s="1730"/>
    </row>
  </sheetData>
  <mergeCells count="35">
    <mergeCell ref="A37:C37"/>
    <mergeCell ref="A1:A3"/>
    <mergeCell ref="A21:C21"/>
    <mergeCell ref="A29:C29"/>
    <mergeCell ref="A28:C28"/>
    <mergeCell ref="A9:C9"/>
    <mergeCell ref="A10:C10"/>
    <mergeCell ref="A11:C11"/>
    <mergeCell ref="A12:C12"/>
    <mergeCell ref="A13:C13"/>
    <mergeCell ref="A33:C33"/>
    <mergeCell ref="A34:C34"/>
    <mergeCell ref="A35:C35"/>
    <mergeCell ref="A36:C36"/>
    <mergeCell ref="A24:C24"/>
    <mergeCell ref="A25:C25"/>
    <mergeCell ref="A31:C31"/>
    <mergeCell ref="A32:C32"/>
    <mergeCell ref="A14:C14"/>
    <mergeCell ref="A15:C15"/>
    <mergeCell ref="A16:C16"/>
    <mergeCell ref="A17:C17"/>
    <mergeCell ref="A20:C20"/>
    <mergeCell ref="A22:C22"/>
    <mergeCell ref="A26:C26"/>
    <mergeCell ref="A27:C27"/>
    <mergeCell ref="A30:C30"/>
    <mergeCell ref="A18:C18"/>
    <mergeCell ref="A19:C19"/>
    <mergeCell ref="A23:C23"/>
    <mergeCell ref="B1:C1"/>
    <mergeCell ref="B2:C2"/>
    <mergeCell ref="A5:C5"/>
    <mergeCell ref="A6:C6"/>
    <mergeCell ref="A7:C7"/>
  </mergeCells>
  <hyperlinks>
    <hyperlink ref="D1" location="ins" display="Instructivo" xr:uid="{00000000-0004-0000-1E00-000000000000}"/>
  </hyperlinks>
  <printOptions horizontalCentered="1"/>
  <pageMargins left="0" right="0" top="0" bottom="0" header="0" footer="0"/>
  <pageSetup fitToHeight="0" orientation="landscape" r:id="rId1"/>
  <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Hoja33">
    <tabColor theme="0" tint="-0.249977111117893"/>
    <pageSetUpPr fitToPage="1"/>
  </sheetPr>
  <dimension ref="A1:AX292"/>
  <sheetViews>
    <sheetView showGridLines="0" topLeftCell="A22" zoomScaleNormal="100" workbookViewId="0">
      <selection activeCell="A17" sqref="A17:E17"/>
    </sheetView>
  </sheetViews>
  <sheetFormatPr baseColWidth="10" defaultColWidth="11.5" defaultRowHeight="18" customHeight="1" x14ac:dyDescent="0.2"/>
  <cols>
    <col min="1" max="1" width="33.1640625" style="205" customWidth="1"/>
    <col min="2" max="2" width="47.1640625" style="205" customWidth="1"/>
    <col min="3" max="3" width="17.33203125" style="205" customWidth="1"/>
    <col min="4" max="4" width="18.6640625" style="205" customWidth="1"/>
    <col min="5" max="5" width="24.83203125" style="213" customWidth="1"/>
    <col min="6" max="6" width="16.83203125" style="204" customWidth="1"/>
    <col min="7" max="50" width="11.5" style="204"/>
    <col min="51" max="16384" width="11.5" style="205"/>
  </cols>
  <sheetData>
    <row r="1" spans="1:7" ht="18" customHeight="1" x14ac:dyDescent="0.2">
      <c r="A1" s="1615"/>
      <c r="B1" s="1135" t="s">
        <v>0</v>
      </c>
      <c r="C1" s="1135"/>
      <c r="D1" s="1135"/>
      <c r="E1" s="1136"/>
      <c r="F1" s="339" t="s">
        <v>104</v>
      </c>
      <c r="G1" s="62"/>
    </row>
    <row r="2" spans="1:7" ht="18" customHeight="1" x14ac:dyDescent="0.2">
      <c r="A2" s="1617"/>
      <c r="B2" s="1433" t="s">
        <v>1288</v>
      </c>
      <c r="C2" s="1433"/>
      <c r="D2" s="1433"/>
      <c r="E2" s="1434"/>
    </row>
    <row r="3" spans="1:7" ht="18" customHeight="1" thickBot="1" x14ac:dyDescent="0.25">
      <c r="A3" s="1619"/>
      <c r="B3" s="1139" t="s">
        <v>2</v>
      </c>
      <c r="C3" s="1139"/>
      <c r="D3" s="1139" t="str">
        <f>Instructivo!G3</f>
        <v>VERSIÓN: 04</v>
      </c>
      <c r="E3" s="1182"/>
    </row>
    <row r="4" spans="1:7" ht="18" customHeight="1" thickBot="1" x14ac:dyDescent="0.25">
      <c r="A4" s="204"/>
      <c r="B4" s="204"/>
      <c r="C4" s="204"/>
      <c r="D4" s="204"/>
      <c r="E4" s="206"/>
    </row>
    <row r="5" spans="1:7" s="204" customFormat="1" ht="18" customHeight="1" thickBot="1" x14ac:dyDescent="0.25">
      <c r="A5" s="1231" t="s">
        <v>1289</v>
      </c>
      <c r="B5" s="1232"/>
      <c r="C5" s="1232"/>
      <c r="D5" s="1232"/>
      <c r="E5" s="1233"/>
    </row>
    <row r="6" spans="1:7" s="204" customFormat="1" ht="30.75" customHeight="1" thickBot="1" x14ac:dyDescent="0.25">
      <c r="A6" s="1756" t="s">
        <v>1290</v>
      </c>
      <c r="B6" s="1043"/>
      <c r="C6" s="1043"/>
      <c r="D6" s="1043"/>
      <c r="E6" s="1757"/>
    </row>
    <row r="7" spans="1:7" s="204" customFormat="1" ht="21.95" customHeight="1" thickBot="1" x14ac:dyDescent="0.25">
      <c r="A7" s="1750" t="s">
        <v>1291</v>
      </c>
      <c r="B7" s="1751"/>
      <c r="C7" s="1751"/>
      <c r="D7" s="1752"/>
      <c r="E7" s="214">
        <v>0</v>
      </c>
    </row>
    <row r="8" spans="1:7" s="204" customFormat="1" ht="18" customHeight="1" x14ac:dyDescent="0.2">
      <c r="A8" s="209" t="s">
        <v>370</v>
      </c>
      <c r="B8" s="108" t="s">
        <v>18</v>
      </c>
      <c r="C8" s="108" t="s">
        <v>944</v>
      </c>
      <c r="D8" s="108" t="s">
        <v>1292</v>
      </c>
      <c r="E8" s="215" t="s">
        <v>945</v>
      </c>
    </row>
    <row r="9" spans="1:7" s="204" customFormat="1" ht="18" customHeight="1" x14ac:dyDescent="0.2">
      <c r="A9" s="1753" t="s">
        <v>1293</v>
      </c>
      <c r="B9" s="1754"/>
      <c r="C9" s="1754"/>
      <c r="D9" s="1754"/>
      <c r="E9" s="1755"/>
    </row>
    <row r="10" spans="1:7" s="204" customFormat="1" ht="30.75" customHeight="1" x14ac:dyDescent="0.2">
      <c r="A10" s="216" t="s">
        <v>1294</v>
      </c>
      <c r="B10" s="217" t="s">
        <v>1295</v>
      </c>
      <c r="C10" s="218">
        <v>3.2000000000000001E-2</v>
      </c>
      <c r="D10" s="707"/>
      <c r="E10" s="708">
        <f>IF(D10="SI",C10*$E$7,0)</f>
        <v>0</v>
      </c>
    </row>
    <row r="11" spans="1:7" s="204" customFormat="1" ht="54.75" customHeight="1" x14ac:dyDescent="0.2">
      <c r="A11" s="216" t="s">
        <v>1296</v>
      </c>
      <c r="B11" s="217" t="s">
        <v>1297</v>
      </c>
      <c r="C11" s="218">
        <v>1.15E-2</v>
      </c>
      <c r="D11" s="707"/>
      <c r="E11" s="708">
        <f>IF(D11="SI",C11*$E$7,0)</f>
        <v>0</v>
      </c>
    </row>
    <row r="12" spans="1:7" s="204" customFormat="1" ht="42.75" customHeight="1" x14ac:dyDescent="0.2">
      <c r="A12" s="216" t="s">
        <v>1298</v>
      </c>
      <c r="B12" s="217" t="s">
        <v>1299</v>
      </c>
      <c r="C12" s="218">
        <v>4.0000000000000001E-3</v>
      </c>
      <c r="D12" s="707"/>
      <c r="E12" s="708">
        <f>IF(D12="SI",C12*$E$7,0)</f>
        <v>0</v>
      </c>
    </row>
    <row r="13" spans="1:7" s="204" customFormat="1" ht="54" customHeight="1" x14ac:dyDescent="0.2">
      <c r="A13" s="216" t="s">
        <v>1300</v>
      </c>
      <c r="B13" s="217" t="s">
        <v>1301</v>
      </c>
      <c r="C13" s="218">
        <v>0.05</v>
      </c>
      <c r="D13" s="707"/>
      <c r="E13" s="708">
        <f>IF(D13="SI",C13*$E$7,0)</f>
        <v>0</v>
      </c>
    </row>
    <row r="14" spans="1:7" s="204" customFormat="1" ht="65.25" customHeight="1" x14ac:dyDescent="0.2">
      <c r="A14" s="216" t="s">
        <v>1302</v>
      </c>
      <c r="B14" s="217" t="s">
        <v>1303</v>
      </c>
      <c r="C14" s="219">
        <v>0</v>
      </c>
      <c r="D14" s="707"/>
      <c r="E14" s="708">
        <f>IF(D14="SI",C14*$E$7,0)</f>
        <v>0</v>
      </c>
    </row>
    <row r="15" spans="1:7" s="204" customFormat="1" ht="18" customHeight="1" x14ac:dyDescent="0.2">
      <c r="A15" s="1750" t="s">
        <v>1293</v>
      </c>
      <c r="B15" s="1751"/>
      <c r="C15" s="1751"/>
      <c r="D15" s="1751"/>
      <c r="E15" s="502">
        <f>SUM(E10:E14)</f>
        <v>0</v>
      </c>
    </row>
    <row r="16" spans="1:7" s="204" customFormat="1" ht="18" customHeight="1" x14ac:dyDescent="0.2">
      <c r="A16" s="1753" t="s">
        <v>1304</v>
      </c>
      <c r="B16" s="1754"/>
      <c r="C16" s="1754"/>
      <c r="D16" s="1754"/>
      <c r="E16" s="1755"/>
    </row>
    <row r="17" spans="1:5" s="204" customFormat="1" ht="32.25" customHeight="1" x14ac:dyDescent="0.2">
      <c r="A17" s="220" t="s">
        <v>1294</v>
      </c>
      <c r="B17" s="217" t="s">
        <v>1295</v>
      </c>
      <c r="C17" s="218">
        <v>1.6E-2</v>
      </c>
      <c r="D17" s="707"/>
      <c r="E17" s="708">
        <f t="shared" ref="E17:E22" si="0">IF(D17="SI",C17*$E$7,0)</f>
        <v>0</v>
      </c>
    </row>
    <row r="18" spans="1:5" s="204" customFormat="1" ht="54" customHeight="1" x14ac:dyDescent="0.2">
      <c r="A18" s="220" t="s">
        <v>1296</v>
      </c>
      <c r="B18" s="217" t="s">
        <v>1297</v>
      </c>
      <c r="C18" s="218">
        <v>1.15E-2</v>
      </c>
      <c r="D18" s="707"/>
      <c r="E18" s="708">
        <f t="shared" si="0"/>
        <v>0</v>
      </c>
    </row>
    <row r="19" spans="1:5" s="204" customFormat="1" ht="54" customHeight="1" x14ac:dyDescent="0.2">
      <c r="A19" s="220" t="s">
        <v>1305</v>
      </c>
      <c r="B19" s="217" t="s">
        <v>1306</v>
      </c>
      <c r="C19" s="218">
        <v>4.0000000000000001E-3</v>
      </c>
      <c r="D19" s="707"/>
      <c r="E19" s="708">
        <f t="shared" si="0"/>
        <v>0</v>
      </c>
    </row>
    <row r="20" spans="1:5" s="204" customFormat="1" ht="54" customHeight="1" x14ac:dyDescent="0.2">
      <c r="A20" s="216" t="s">
        <v>1300</v>
      </c>
      <c r="B20" s="217" t="s">
        <v>1301</v>
      </c>
      <c r="C20" s="218">
        <v>0.05</v>
      </c>
      <c r="D20" s="707"/>
      <c r="E20" s="708">
        <f t="shared" si="0"/>
        <v>0</v>
      </c>
    </row>
    <row r="21" spans="1:5" s="204" customFormat="1" ht="69" customHeight="1" x14ac:dyDescent="0.2">
      <c r="A21" s="220" t="s">
        <v>1302</v>
      </c>
      <c r="B21" s="217" t="s">
        <v>1303</v>
      </c>
      <c r="C21" s="219">
        <v>0</v>
      </c>
      <c r="D21" s="707"/>
      <c r="E21" s="708">
        <f t="shared" si="0"/>
        <v>0</v>
      </c>
    </row>
    <row r="22" spans="1:5" s="204" customFormat="1" ht="54" customHeight="1" x14ac:dyDescent="0.2">
      <c r="A22" s="220" t="s">
        <v>1307</v>
      </c>
      <c r="B22" s="217" t="s">
        <v>1308</v>
      </c>
      <c r="C22" s="218">
        <v>4.0000000000000001E-3</v>
      </c>
      <c r="D22" s="707"/>
      <c r="E22" s="708">
        <f t="shared" si="0"/>
        <v>0</v>
      </c>
    </row>
    <row r="23" spans="1:5" s="204" customFormat="1" ht="18" customHeight="1" x14ac:dyDescent="0.2">
      <c r="A23" s="1750" t="s">
        <v>1304</v>
      </c>
      <c r="B23" s="1751"/>
      <c r="C23" s="1751"/>
      <c r="D23" s="1751"/>
      <c r="E23" s="502">
        <f>SUM(E17:E22)</f>
        <v>0</v>
      </c>
    </row>
    <row r="24" spans="1:5" s="204" customFormat="1" ht="18" customHeight="1" x14ac:dyDescent="0.2">
      <c r="A24" s="1753" t="s">
        <v>1309</v>
      </c>
      <c r="B24" s="1754"/>
      <c r="C24" s="1754"/>
      <c r="D24" s="1754"/>
      <c r="E24" s="1755"/>
    </row>
    <row r="25" spans="1:5" s="204" customFormat="1" ht="34.5" customHeight="1" x14ac:dyDescent="0.2">
      <c r="A25" s="220" t="s">
        <v>1294</v>
      </c>
      <c r="B25" s="217" t="s">
        <v>1295</v>
      </c>
      <c r="C25" s="218">
        <v>1.6E-2</v>
      </c>
      <c r="D25" s="707"/>
      <c r="E25" s="708">
        <f t="shared" ref="E25:E34" si="1">IF(D25="SI",C25*$E$7,0)</f>
        <v>0</v>
      </c>
    </row>
    <row r="26" spans="1:5" s="204" customFormat="1" ht="56.25" customHeight="1" x14ac:dyDescent="0.2">
      <c r="A26" s="216" t="s">
        <v>1296</v>
      </c>
      <c r="B26" s="217" t="s">
        <v>1297</v>
      </c>
      <c r="C26" s="218">
        <v>1.15E-2</v>
      </c>
      <c r="D26" s="707"/>
      <c r="E26" s="708">
        <f t="shared" si="1"/>
        <v>0</v>
      </c>
    </row>
    <row r="27" spans="1:5" s="204" customFormat="1" ht="53.25" customHeight="1" x14ac:dyDescent="0.2">
      <c r="A27" s="220" t="s">
        <v>1305</v>
      </c>
      <c r="B27" s="217" t="s">
        <v>1306</v>
      </c>
      <c r="C27" s="218">
        <v>4.0000000000000001E-3</v>
      </c>
      <c r="D27" s="707"/>
      <c r="E27" s="708">
        <f t="shared" si="1"/>
        <v>0</v>
      </c>
    </row>
    <row r="28" spans="1:5" s="204" customFormat="1" ht="52.5" customHeight="1" x14ac:dyDescent="0.2">
      <c r="A28" s="216" t="s">
        <v>1300</v>
      </c>
      <c r="B28" s="217" t="s">
        <v>1301</v>
      </c>
      <c r="C28" s="218">
        <v>0.05</v>
      </c>
      <c r="D28" s="707"/>
      <c r="E28" s="708">
        <f t="shared" si="1"/>
        <v>0</v>
      </c>
    </row>
    <row r="29" spans="1:5" s="204" customFormat="1" ht="57.75" customHeight="1" x14ac:dyDescent="0.2">
      <c r="A29" s="216" t="s">
        <v>1310</v>
      </c>
      <c r="B29" s="217" t="s">
        <v>1311</v>
      </c>
      <c r="C29" s="218">
        <v>0.02</v>
      </c>
      <c r="D29" s="707"/>
      <c r="E29" s="708">
        <f t="shared" si="1"/>
        <v>0</v>
      </c>
    </row>
    <row r="30" spans="1:5" s="204" customFormat="1" ht="50.25" customHeight="1" x14ac:dyDescent="0.2">
      <c r="A30" s="220" t="s">
        <v>1307</v>
      </c>
      <c r="B30" s="217" t="s">
        <v>1308</v>
      </c>
      <c r="C30" s="218">
        <v>4.0000000000000001E-3</v>
      </c>
      <c r="D30" s="707"/>
      <c r="E30" s="708">
        <f t="shared" si="1"/>
        <v>0</v>
      </c>
    </row>
    <row r="31" spans="1:5" s="204" customFormat="1" ht="52.5" customHeight="1" x14ac:dyDescent="0.2">
      <c r="A31" s="220" t="s">
        <v>1312</v>
      </c>
      <c r="B31" s="217" t="s">
        <v>1311</v>
      </c>
      <c r="C31" s="218">
        <v>6.0000000000000001E-3</v>
      </c>
      <c r="D31" s="707"/>
      <c r="E31" s="708">
        <f t="shared" si="1"/>
        <v>0</v>
      </c>
    </row>
    <row r="32" spans="1:5" s="204" customFormat="1" ht="59.25" customHeight="1" x14ac:dyDescent="0.2">
      <c r="A32" s="220" t="s">
        <v>1313</v>
      </c>
      <c r="B32" s="217" t="s">
        <v>1311</v>
      </c>
      <c r="C32" s="218">
        <v>0.01</v>
      </c>
      <c r="D32" s="707"/>
      <c r="E32" s="708">
        <f t="shared" si="1"/>
        <v>0</v>
      </c>
    </row>
    <row r="33" spans="1:5" s="204" customFormat="1" ht="60" customHeight="1" x14ac:dyDescent="0.2">
      <c r="A33" s="220" t="s">
        <v>1314</v>
      </c>
      <c r="B33" s="217" t="s">
        <v>1311</v>
      </c>
      <c r="C33" s="218">
        <v>4.0000000000000001E-3</v>
      </c>
      <c r="D33" s="707"/>
      <c r="E33" s="708">
        <f t="shared" si="1"/>
        <v>0</v>
      </c>
    </row>
    <row r="34" spans="1:5" s="204" customFormat="1" ht="58.5" customHeight="1" x14ac:dyDescent="0.2">
      <c r="A34" s="220" t="s">
        <v>1315</v>
      </c>
      <c r="B34" s="217" t="s">
        <v>1311</v>
      </c>
      <c r="C34" s="219">
        <v>0</v>
      </c>
      <c r="D34" s="707"/>
      <c r="E34" s="708">
        <f t="shared" si="1"/>
        <v>0</v>
      </c>
    </row>
    <row r="35" spans="1:5" s="204" customFormat="1" ht="18" customHeight="1" x14ac:dyDescent="0.2">
      <c r="A35" s="1750" t="s">
        <v>1309</v>
      </c>
      <c r="B35" s="1751"/>
      <c r="C35" s="1751"/>
      <c r="D35" s="1751"/>
      <c r="E35" s="502">
        <f>SUM(E25:E34)</f>
        <v>0</v>
      </c>
    </row>
    <row r="36" spans="1:5" s="204" customFormat="1" ht="18" customHeight="1" x14ac:dyDescent="0.2">
      <c r="A36" s="1753" t="s">
        <v>1316</v>
      </c>
      <c r="B36" s="1754"/>
      <c r="C36" s="1754"/>
      <c r="D36" s="1754"/>
      <c r="E36" s="1755"/>
    </row>
    <row r="37" spans="1:5" s="204" customFormat="1" ht="30" customHeight="1" x14ac:dyDescent="0.2">
      <c r="A37" s="220" t="s">
        <v>1294</v>
      </c>
      <c r="B37" s="217" t="s">
        <v>1295</v>
      </c>
      <c r="C37" s="218">
        <v>1.6E-2</v>
      </c>
      <c r="D37" s="707"/>
      <c r="E37" s="708">
        <f t="shared" ref="E37:E45" si="2">IF(D37="SI",C37*$E$7,0)</f>
        <v>0</v>
      </c>
    </row>
    <row r="38" spans="1:5" s="204" customFormat="1" ht="54" customHeight="1" x14ac:dyDescent="0.2">
      <c r="A38" s="216" t="s">
        <v>1296</v>
      </c>
      <c r="B38" s="217" t="s">
        <v>1297</v>
      </c>
      <c r="C38" s="218">
        <v>1.15E-2</v>
      </c>
      <c r="D38" s="707"/>
      <c r="E38" s="708">
        <f t="shared" si="2"/>
        <v>0</v>
      </c>
    </row>
    <row r="39" spans="1:5" s="204" customFormat="1" ht="57.75" customHeight="1" x14ac:dyDescent="0.2">
      <c r="A39" s="220" t="s">
        <v>1305</v>
      </c>
      <c r="B39" s="217" t="s">
        <v>1306</v>
      </c>
      <c r="C39" s="218">
        <v>4.0000000000000001E-3</v>
      </c>
      <c r="D39" s="707"/>
      <c r="E39" s="708">
        <f t="shared" si="2"/>
        <v>0</v>
      </c>
    </row>
    <row r="40" spans="1:5" s="204" customFormat="1" ht="57" customHeight="1" x14ac:dyDescent="0.2">
      <c r="A40" s="216" t="s">
        <v>1300</v>
      </c>
      <c r="B40" s="217" t="s">
        <v>1301</v>
      </c>
      <c r="C40" s="218">
        <v>0.05</v>
      </c>
      <c r="D40" s="707"/>
      <c r="E40" s="708">
        <f t="shared" si="2"/>
        <v>0</v>
      </c>
    </row>
    <row r="41" spans="1:5" s="204" customFormat="1" ht="61.5" customHeight="1" x14ac:dyDescent="0.2">
      <c r="A41" s="220" t="s">
        <v>1317</v>
      </c>
      <c r="B41" s="217" t="s">
        <v>1311</v>
      </c>
      <c r="C41" s="219">
        <v>0</v>
      </c>
      <c r="D41" s="707"/>
      <c r="E41" s="708">
        <f t="shared" si="2"/>
        <v>0</v>
      </c>
    </row>
    <row r="42" spans="1:5" s="204" customFormat="1" ht="55.5" customHeight="1" x14ac:dyDescent="0.2">
      <c r="A42" s="216" t="s">
        <v>1310</v>
      </c>
      <c r="B42" s="217" t="s">
        <v>1311</v>
      </c>
      <c r="C42" s="219">
        <v>0</v>
      </c>
      <c r="D42" s="707"/>
      <c r="E42" s="708">
        <f t="shared" si="2"/>
        <v>0</v>
      </c>
    </row>
    <row r="43" spans="1:5" s="204" customFormat="1" ht="58.5" customHeight="1" x14ac:dyDescent="0.2">
      <c r="A43" s="216" t="s">
        <v>1318</v>
      </c>
      <c r="B43" s="217" t="s">
        <v>1311</v>
      </c>
      <c r="C43" s="219">
        <v>0</v>
      </c>
      <c r="D43" s="707"/>
      <c r="E43" s="708">
        <f t="shared" si="2"/>
        <v>0</v>
      </c>
    </row>
    <row r="44" spans="1:5" s="204" customFormat="1" ht="60.75" customHeight="1" x14ac:dyDescent="0.2">
      <c r="A44" s="220" t="s">
        <v>1319</v>
      </c>
      <c r="B44" s="217" t="s">
        <v>1311</v>
      </c>
      <c r="C44" s="219">
        <v>0</v>
      </c>
      <c r="D44" s="707"/>
      <c r="E44" s="708">
        <f t="shared" si="2"/>
        <v>0</v>
      </c>
    </row>
    <row r="45" spans="1:5" s="204" customFormat="1" ht="57.75" customHeight="1" x14ac:dyDescent="0.2">
      <c r="A45" s="220" t="s">
        <v>1315</v>
      </c>
      <c r="B45" s="217" t="s">
        <v>1311</v>
      </c>
      <c r="C45" s="219">
        <v>0</v>
      </c>
      <c r="D45" s="707"/>
      <c r="E45" s="708">
        <f t="shared" si="2"/>
        <v>0</v>
      </c>
    </row>
    <row r="46" spans="1:5" s="204" customFormat="1" ht="18" customHeight="1" thickBot="1" x14ac:dyDescent="0.25">
      <c r="A46" s="1762" t="s">
        <v>1316</v>
      </c>
      <c r="B46" s="1763"/>
      <c r="C46" s="1763"/>
      <c r="D46" s="1763"/>
      <c r="E46" s="503">
        <f>SUM(E37:E45)</f>
        <v>0</v>
      </c>
    </row>
    <row r="47" spans="1:5" s="204" customFormat="1" ht="18" customHeight="1" x14ac:dyDescent="0.2">
      <c r="A47" s="1743"/>
      <c r="B47" s="1744"/>
      <c r="C47" s="1744"/>
      <c r="D47" s="1744"/>
      <c r="E47" s="1744"/>
    </row>
    <row r="48" spans="1:5" s="204" customFormat="1" ht="18" customHeight="1" thickBot="1" x14ac:dyDescent="0.25">
      <c r="E48" s="206"/>
    </row>
    <row r="49" spans="1:5" s="204" customFormat="1" ht="18" customHeight="1" thickBot="1" x14ac:dyDescent="0.25">
      <c r="A49" s="1231" t="s">
        <v>1320</v>
      </c>
      <c r="B49" s="1232"/>
      <c r="C49" s="1232"/>
      <c r="D49" s="1232"/>
      <c r="E49" s="1233"/>
    </row>
    <row r="50" spans="1:5" s="204" customFormat="1" ht="29.25" customHeight="1" x14ac:dyDescent="0.2">
      <c r="A50" s="1764" t="s">
        <v>1321</v>
      </c>
      <c r="B50" s="1765"/>
      <c r="C50" s="1765"/>
      <c r="D50" s="1765"/>
      <c r="E50" s="1766"/>
    </row>
    <row r="51" spans="1:5" s="204" customFormat="1" ht="18" customHeight="1" x14ac:dyDescent="0.2">
      <c r="A51" s="1146" t="s">
        <v>370</v>
      </c>
      <c r="B51" s="1147"/>
      <c r="C51" s="1147" t="s">
        <v>18</v>
      </c>
      <c r="D51" s="1147"/>
      <c r="E51" s="1745"/>
    </row>
    <row r="52" spans="1:5" s="204" customFormat="1" ht="28.5" customHeight="1" x14ac:dyDescent="0.2">
      <c r="A52" s="1746" t="s">
        <v>1322</v>
      </c>
      <c r="B52" s="1747"/>
      <c r="C52" s="1741" t="s">
        <v>1323</v>
      </c>
      <c r="D52" s="1741"/>
      <c r="E52" s="1742"/>
    </row>
    <row r="53" spans="1:5" s="204" customFormat="1" ht="27" customHeight="1" x14ac:dyDescent="0.2">
      <c r="A53" s="1748" t="s">
        <v>1324</v>
      </c>
      <c r="B53" s="1749"/>
      <c r="C53" s="1741" t="s">
        <v>1325</v>
      </c>
      <c r="D53" s="1741"/>
      <c r="E53" s="1742"/>
    </row>
    <row r="54" spans="1:5" s="204" customFormat="1" ht="39" customHeight="1" x14ac:dyDescent="0.2">
      <c r="A54" s="1748" t="s">
        <v>1326</v>
      </c>
      <c r="B54" s="1749"/>
      <c r="C54" s="1741" t="s">
        <v>1327</v>
      </c>
      <c r="D54" s="1741"/>
      <c r="E54" s="1742"/>
    </row>
    <row r="55" spans="1:5" s="204" customFormat="1" ht="54.75" customHeight="1" x14ac:dyDescent="0.2">
      <c r="A55" s="1748" t="s">
        <v>1328</v>
      </c>
      <c r="B55" s="1749"/>
      <c r="C55" s="1741" t="s">
        <v>1329</v>
      </c>
      <c r="D55" s="1741"/>
      <c r="E55" s="1742"/>
    </row>
    <row r="56" spans="1:5" s="204" customFormat="1" ht="25.5" customHeight="1" x14ac:dyDescent="0.2">
      <c r="A56" s="1748" t="s">
        <v>1330</v>
      </c>
      <c r="B56" s="1749"/>
      <c r="C56" s="1741" t="s">
        <v>1331</v>
      </c>
      <c r="D56" s="1741"/>
      <c r="E56" s="1742"/>
    </row>
    <row r="57" spans="1:5" s="204" customFormat="1" ht="42.75" customHeight="1" x14ac:dyDescent="0.2">
      <c r="A57" s="1748" t="s">
        <v>1332</v>
      </c>
      <c r="B57" s="1749"/>
      <c r="C57" s="1741" t="s">
        <v>1333</v>
      </c>
      <c r="D57" s="1741"/>
      <c r="E57" s="1742"/>
    </row>
    <row r="58" spans="1:5" s="204" customFormat="1" ht="44.25" customHeight="1" x14ac:dyDescent="0.2">
      <c r="A58" s="1748" t="s">
        <v>1334</v>
      </c>
      <c r="B58" s="1749"/>
      <c r="C58" s="1741" t="s">
        <v>1335</v>
      </c>
      <c r="D58" s="1741"/>
      <c r="E58" s="1742"/>
    </row>
    <row r="59" spans="1:5" s="204" customFormat="1" ht="33" customHeight="1" x14ac:dyDescent="0.2">
      <c r="A59" s="1748" t="s">
        <v>1336</v>
      </c>
      <c r="B59" s="1749"/>
      <c r="C59" s="1741" t="s">
        <v>1337</v>
      </c>
      <c r="D59" s="1741"/>
      <c r="E59" s="1742"/>
    </row>
    <row r="60" spans="1:5" s="204" customFormat="1" ht="54.75" customHeight="1" x14ac:dyDescent="0.2">
      <c r="A60" s="1748" t="s">
        <v>1338</v>
      </c>
      <c r="B60" s="1749"/>
      <c r="C60" s="1741" t="s">
        <v>1339</v>
      </c>
      <c r="D60" s="1741"/>
      <c r="E60" s="1742"/>
    </row>
    <row r="61" spans="1:5" s="204" customFormat="1" ht="32.25" customHeight="1" thickBot="1" x14ac:dyDescent="0.25">
      <c r="A61" s="1760" t="s">
        <v>1340</v>
      </c>
      <c r="B61" s="1761"/>
      <c r="C61" s="1758" t="s">
        <v>1341</v>
      </c>
      <c r="D61" s="1758"/>
      <c r="E61" s="1759"/>
    </row>
    <row r="62" spans="1:5" s="204" customFormat="1" ht="18" customHeight="1" x14ac:dyDescent="0.2">
      <c r="E62" s="206"/>
    </row>
    <row r="63" spans="1:5" s="204" customFormat="1" ht="18" customHeight="1" x14ac:dyDescent="0.2">
      <c r="E63" s="206"/>
    </row>
    <row r="64" spans="1:5" s="204" customFormat="1" ht="18" customHeight="1" x14ac:dyDescent="0.2">
      <c r="E64" s="206"/>
    </row>
    <row r="65" spans="5:5" s="204" customFormat="1" ht="18" customHeight="1" x14ac:dyDescent="0.2">
      <c r="E65" s="206"/>
    </row>
    <row r="66" spans="5:5" s="204" customFormat="1" ht="18" customHeight="1" x14ac:dyDescent="0.2">
      <c r="E66" s="206"/>
    </row>
    <row r="67" spans="5:5" s="204" customFormat="1" ht="18" customHeight="1" x14ac:dyDescent="0.2">
      <c r="E67" s="206"/>
    </row>
    <row r="68" spans="5:5" s="204" customFormat="1" ht="18" customHeight="1" x14ac:dyDescent="0.2">
      <c r="E68" s="206"/>
    </row>
    <row r="69" spans="5:5" s="204" customFormat="1" ht="18" customHeight="1" x14ac:dyDescent="0.2">
      <c r="E69" s="206"/>
    </row>
    <row r="70" spans="5:5" s="204" customFormat="1" ht="18" customHeight="1" x14ac:dyDescent="0.2">
      <c r="E70" s="206"/>
    </row>
    <row r="71" spans="5:5" s="204" customFormat="1" ht="18" customHeight="1" x14ac:dyDescent="0.2">
      <c r="E71" s="206"/>
    </row>
    <row r="72" spans="5:5" s="204" customFormat="1" ht="18" customHeight="1" x14ac:dyDescent="0.2">
      <c r="E72" s="206"/>
    </row>
    <row r="73" spans="5:5" s="204" customFormat="1" ht="18" customHeight="1" x14ac:dyDescent="0.2">
      <c r="E73" s="206"/>
    </row>
    <row r="74" spans="5:5" s="204" customFormat="1" ht="18" customHeight="1" x14ac:dyDescent="0.2">
      <c r="E74" s="206"/>
    </row>
    <row r="75" spans="5:5" s="204" customFormat="1" ht="18" customHeight="1" x14ac:dyDescent="0.2">
      <c r="E75" s="206"/>
    </row>
    <row r="76" spans="5:5" s="204" customFormat="1" ht="18" customHeight="1" x14ac:dyDescent="0.2">
      <c r="E76" s="206"/>
    </row>
    <row r="77" spans="5:5" s="204" customFormat="1" ht="18" customHeight="1" x14ac:dyDescent="0.2">
      <c r="E77" s="206"/>
    </row>
    <row r="78" spans="5:5" s="204" customFormat="1" ht="18" customHeight="1" x14ac:dyDescent="0.2">
      <c r="E78" s="206"/>
    </row>
    <row r="79" spans="5:5" s="204" customFormat="1" ht="18" customHeight="1" x14ac:dyDescent="0.2">
      <c r="E79" s="206"/>
    </row>
    <row r="80" spans="5:5" s="204" customFormat="1" ht="18" customHeight="1" x14ac:dyDescent="0.2">
      <c r="E80" s="206"/>
    </row>
    <row r="81" spans="5:5" s="204" customFormat="1" ht="18" customHeight="1" x14ac:dyDescent="0.2">
      <c r="E81" s="206"/>
    </row>
    <row r="82" spans="5:5" s="204" customFormat="1" ht="18" customHeight="1" x14ac:dyDescent="0.2">
      <c r="E82" s="206"/>
    </row>
    <row r="83" spans="5:5" s="204" customFormat="1" ht="18" customHeight="1" x14ac:dyDescent="0.2">
      <c r="E83" s="206"/>
    </row>
    <row r="84" spans="5:5" s="204" customFormat="1" ht="18" customHeight="1" x14ac:dyDescent="0.2">
      <c r="E84" s="206"/>
    </row>
    <row r="85" spans="5:5" s="204" customFormat="1" ht="18" customHeight="1" x14ac:dyDescent="0.2">
      <c r="E85" s="206"/>
    </row>
    <row r="86" spans="5:5" s="204" customFormat="1" ht="18" customHeight="1" x14ac:dyDescent="0.2">
      <c r="E86" s="206"/>
    </row>
    <row r="87" spans="5:5" s="204" customFormat="1" ht="18" customHeight="1" x14ac:dyDescent="0.2">
      <c r="E87" s="206"/>
    </row>
    <row r="88" spans="5:5" s="204" customFormat="1" ht="18" customHeight="1" x14ac:dyDescent="0.2">
      <c r="E88" s="206"/>
    </row>
    <row r="89" spans="5:5" s="204" customFormat="1" ht="18" customHeight="1" x14ac:dyDescent="0.2">
      <c r="E89" s="206"/>
    </row>
    <row r="90" spans="5:5" s="204" customFormat="1" ht="18" customHeight="1" x14ac:dyDescent="0.2">
      <c r="E90" s="206"/>
    </row>
    <row r="91" spans="5:5" s="204" customFormat="1" ht="18" customHeight="1" x14ac:dyDescent="0.2">
      <c r="E91" s="206"/>
    </row>
    <row r="92" spans="5:5" s="204" customFormat="1" ht="18" customHeight="1" x14ac:dyDescent="0.2">
      <c r="E92" s="206"/>
    </row>
    <row r="93" spans="5:5" s="204" customFormat="1" ht="18" customHeight="1" x14ac:dyDescent="0.2">
      <c r="E93" s="206"/>
    </row>
    <row r="94" spans="5:5" s="204" customFormat="1" ht="18" customHeight="1" x14ac:dyDescent="0.2">
      <c r="E94" s="206"/>
    </row>
    <row r="95" spans="5:5" s="204" customFormat="1" ht="18" customHeight="1" x14ac:dyDescent="0.2">
      <c r="E95" s="206"/>
    </row>
    <row r="96" spans="5:5" s="204" customFormat="1" ht="18" customHeight="1" x14ac:dyDescent="0.2">
      <c r="E96" s="206"/>
    </row>
    <row r="97" spans="5:5" s="204" customFormat="1" ht="18" customHeight="1" x14ac:dyDescent="0.2">
      <c r="E97" s="206"/>
    </row>
    <row r="98" spans="5:5" s="204" customFormat="1" ht="18" customHeight="1" x14ac:dyDescent="0.2">
      <c r="E98" s="206"/>
    </row>
    <row r="99" spans="5:5" s="204" customFormat="1" ht="18" customHeight="1" x14ac:dyDescent="0.2">
      <c r="E99" s="206"/>
    </row>
    <row r="100" spans="5:5" s="204" customFormat="1" ht="18" customHeight="1" x14ac:dyDescent="0.2">
      <c r="E100" s="206"/>
    </row>
    <row r="101" spans="5:5" s="204" customFormat="1" ht="18" customHeight="1" x14ac:dyDescent="0.2">
      <c r="E101" s="206"/>
    </row>
    <row r="102" spans="5:5" s="204" customFormat="1" ht="18" customHeight="1" x14ac:dyDescent="0.2">
      <c r="E102" s="206"/>
    </row>
    <row r="103" spans="5:5" s="204" customFormat="1" ht="18" customHeight="1" x14ac:dyDescent="0.2">
      <c r="E103" s="206"/>
    </row>
    <row r="104" spans="5:5" s="204" customFormat="1" ht="18" customHeight="1" x14ac:dyDescent="0.2">
      <c r="E104" s="206"/>
    </row>
    <row r="105" spans="5:5" s="204" customFormat="1" ht="18" customHeight="1" x14ac:dyDescent="0.2">
      <c r="E105" s="206"/>
    </row>
    <row r="106" spans="5:5" s="204" customFormat="1" ht="18" customHeight="1" x14ac:dyDescent="0.2">
      <c r="E106" s="206"/>
    </row>
    <row r="107" spans="5:5" s="204" customFormat="1" ht="18" customHeight="1" x14ac:dyDescent="0.2">
      <c r="E107" s="206"/>
    </row>
    <row r="108" spans="5:5" s="204" customFormat="1" ht="18" customHeight="1" x14ac:dyDescent="0.2">
      <c r="E108" s="206"/>
    </row>
    <row r="109" spans="5:5" s="204" customFormat="1" ht="18" customHeight="1" x14ac:dyDescent="0.2">
      <c r="E109" s="206"/>
    </row>
    <row r="110" spans="5:5" s="204" customFormat="1" ht="18" customHeight="1" x14ac:dyDescent="0.2">
      <c r="E110" s="206"/>
    </row>
    <row r="111" spans="5:5" s="204" customFormat="1" ht="18" customHeight="1" x14ac:dyDescent="0.2">
      <c r="E111" s="206"/>
    </row>
    <row r="112" spans="5:5" s="204" customFormat="1" ht="18" customHeight="1" x14ac:dyDescent="0.2">
      <c r="E112" s="206"/>
    </row>
    <row r="113" spans="5:5" s="204" customFormat="1" ht="18" customHeight="1" x14ac:dyDescent="0.2">
      <c r="E113" s="206"/>
    </row>
    <row r="114" spans="5:5" s="204" customFormat="1" ht="18" customHeight="1" x14ac:dyDescent="0.2">
      <c r="E114" s="206"/>
    </row>
    <row r="115" spans="5:5" s="204" customFormat="1" ht="18" customHeight="1" x14ac:dyDescent="0.2">
      <c r="E115" s="206"/>
    </row>
    <row r="116" spans="5:5" s="204" customFormat="1" ht="18" customHeight="1" x14ac:dyDescent="0.2">
      <c r="E116" s="206"/>
    </row>
    <row r="117" spans="5:5" s="204" customFormat="1" ht="18" customHeight="1" x14ac:dyDescent="0.2">
      <c r="E117" s="206"/>
    </row>
    <row r="118" spans="5:5" s="204" customFormat="1" ht="18" customHeight="1" x14ac:dyDescent="0.2">
      <c r="E118" s="206"/>
    </row>
    <row r="119" spans="5:5" s="204" customFormat="1" ht="18" customHeight="1" x14ac:dyDescent="0.2">
      <c r="E119" s="206"/>
    </row>
    <row r="120" spans="5:5" s="204" customFormat="1" ht="18" customHeight="1" x14ac:dyDescent="0.2">
      <c r="E120" s="206"/>
    </row>
    <row r="121" spans="5:5" s="204" customFormat="1" ht="18" customHeight="1" x14ac:dyDescent="0.2">
      <c r="E121" s="206"/>
    </row>
    <row r="122" spans="5:5" s="204" customFormat="1" ht="18" customHeight="1" x14ac:dyDescent="0.2">
      <c r="E122" s="206"/>
    </row>
    <row r="123" spans="5:5" s="204" customFormat="1" ht="18" customHeight="1" x14ac:dyDescent="0.2">
      <c r="E123" s="206"/>
    </row>
    <row r="124" spans="5:5" s="204" customFormat="1" ht="18" customHeight="1" x14ac:dyDescent="0.2">
      <c r="E124" s="206"/>
    </row>
    <row r="125" spans="5:5" s="204" customFormat="1" ht="18" customHeight="1" x14ac:dyDescent="0.2">
      <c r="E125" s="206"/>
    </row>
    <row r="126" spans="5:5" s="204" customFormat="1" ht="18" customHeight="1" x14ac:dyDescent="0.2">
      <c r="E126" s="206"/>
    </row>
    <row r="127" spans="5:5" s="204" customFormat="1" ht="18" customHeight="1" x14ac:dyDescent="0.2">
      <c r="E127" s="206"/>
    </row>
    <row r="128" spans="5:5" s="204" customFormat="1" ht="18" customHeight="1" x14ac:dyDescent="0.2">
      <c r="E128" s="206"/>
    </row>
    <row r="129" spans="5:5" s="204" customFormat="1" ht="18" customHeight="1" x14ac:dyDescent="0.2">
      <c r="E129" s="206"/>
    </row>
    <row r="130" spans="5:5" s="204" customFormat="1" ht="18" customHeight="1" x14ac:dyDescent="0.2">
      <c r="E130" s="206"/>
    </row>
    <row r="131" spans="5:5" s="204" customFormat="1" ht="18" customHeight="1" x14ac:dyDescent="0.2">
      <c r="E131" s="206"/>
    </row>
    <row r="132" spans="5:5" s="204" customFormat="1" ht="18" customHeight="1" x14ac:dyDescent="0.2">
      <c r="E132" s="206"/>
    </row>
    <row r="133" spans="5:5" s="204" customFormat="1" ht="18" customHeight="1" x14ac:dyDescent="0.2">
      <c r="E133" s="206"/>
    </row>
    <row r="134" spans="5:5" s="204" customFormat="1" ht="18" customHeight="1" x14ac:dyDescent="0.2">
      <c r="E134" s="206"/>
    </row>
    <row r="135" spans="5:5" s="204" customFormat="1" ht="18" customHeight="1" x14ac:dyDescent="0.2">
      <c r="E135" s="206"/>
    </row>
    <row r="136" spans="5:5" s="204" customFormat="1" ht="18" customHeight="1" x14ac:dyDescent="0.2">
      <c r="E136" s="206"/>
    </row>
    <row r="137" spans="5:5" s="204" customFormat="1" ht="18" customHeight="1" x14ac:dyDescent="0.2">
      <c r="E137" s="206"/>
    </row>
    <row r="138" spans="5:5" s="204" customFormat="1" ht="18" customHeight="1" x14ac:dyDescent="0.2">
      <c r="E138" s="206"/>
    </row>
    <row r="139" spans="5:5" s="204" customFormat="1" ht="18" customHeight="1" x14ac:dyDescent="0.2">
      <c r="E139" s="206"/>
    </row>
    <row r="140" spans="5:5" s="204" customFormat="1" ht="18" customHeight="1" x14ac:dyDescent="0.2">
      <c r="E140" s="206"/>
    </row>
    <row r="141" spans="5:5" s="204" customFormat="1" ht="18" customHeight="1" x14ac:dyDescent="0.2">
      <c r="E141" s="206"/>
    </row>
    <row r="142" spans="5:5" s="204" customFormat="1" ht="18" customHeight="1" x14ac:dyDescent="0.2">
      <c r="E142" s="206"/>
    </row>
    <row r="143" spans="5:5" s="204" customFormat="1" ht="18" customHeight="1" x14ac:dyDescent="0.2">
      <c r="E143" s="206"/>
    </row>
    <row r="144" spans="5:5" s="204" customFormat="1" ht="18" customHeight="1" x14ac:dyDescent="0.2">
      <c r="E144" s="206"/>
    </row>
    <row r="145" spans="5:5" s="204" customFormat="1" ht="18" customHeight="1" x14ac:dyDescent="0.2">
      <c r="E145" s="206"/>
    </row>
    <row r="146" spans="5:5" s="204" customFormat="1" ht="18" customHeight="1" x14ac:dyDescent="0.2">
      <c r="E146" s="206"/>
    </row>
    <row r="147" spans="5:5" s="204" customFormat="1" ht="18" customHeight="1" x14ac:dyDescent="0.2">
      <c r="E147" s="206"/>
    </row>
    <row r="148" spans="5:5" s="204" customFormat="1" ht="18" customHeight="1" x14ac:dyDescent="0.2">
      <c r="E148" s="206"/>
    </row>
    <row r="149" spans="5:5" s="204" customFormat="1" ht="18" customHeight="1" x14ac:dyDescent="0.2">
      <c r="E149" s="206"/>
    </row>
    <row r="150" spans="5:5" s="204" customFormat="1" ht="18" customHeight="1" x14ac:dyDescent="0.2">
      <c r="E150" s="206"/>
    </row>
    <row r="151" spans="5:5" s="204" customFormat="1" ht="18" customHeight="1" x14ac:dyDescent="0.2">
      <c r="E151" s="206"/>
    </row>
    <row r="152" spans="5:5" s="204" customFormat="1" ht="18" customHeight="1" x14ac:dyDescent="0.2">
      <c r="E152" s="206"/>
    </row>
    <row r="153" spans="5:5" s="204" customFormat="1" ht="18" customHeight="1" x14ac:dyDescent="0.2">
      <c r="E153" s="206"/>
    </row>
    <row r="154" spans="5:5" s="204" customFormat="1" ht="18" customHeight="1" x14ac:dyDescent="0.2">
      <c r="E154" s="206"/>
    </row>
    <row r="155" spans="5:5" s="204" customFormat="1" ht="18" customHeight="1" x14ac:dyDescent="0.2">
      <c r="E155" s="206"/>
    </row>
    <row r="156" spans="5:5" s="204" customFormat="1" ht="18" customHeight="1" x14ac:dyDescent="0.2">
      <c r="E156" s="206"/>
    </row>
    <row r="157" spans="5:5" s="204" customFormat="1" ht="18" customHeight="1" x14ac:dyDescent="0.2">
      <c r="E157" s="206"/>
    </row>
    <row r="158" spans="5:5" s="204" customFormat="1" ht="18" customHeight="1" x14ac:dyDescent="0.2">
      <c r="E158" s="206"/>
    </row>
    <row r="159" spans="5:5" s="204" customFormat="1" ht="18" customHeight="1" x14ac:dyDescent="0.2">
      <c r="E159" s="206"/>
    </row>
    <row r="160" spans="5:5" s="204" customFormat="1" ht="18" customHeight="1" x14ac:dyDescent="0.2">
      <c r="E160" s="206"/>
    </row>
    <row r="161" spans="5:5" s="204" customFormat="1" ht="18" customHeight="1" x14ac:dyDescent="0.2">
      <c r="E161" s="206"/>
    </row>
    <row r="162" spans="5:5" s="204" customFormat="1" ht="18" customHeight="1" x14ac:dyDescent="0.2">
      <c r="E162" s="206"/>
    </row>
    <row r="163" spans="5:5" s="204" customFormat="1" ht="18" customHeight="1" x14ac:dyDescent="0.2">
      <c r="E163" s="206"/>
    </row>
    <row r="164" spans="5:5" s="204" customFormat="1" ht="18" customHeight="1" x14ac:dyDescent="0.2">
      <c r="E164" s="206"/>
    </row>
    <row r="165" spans="5:5" s="204" customFormat="1" ht="18" customHeight="1" x14ac:dyDescent="0.2">
      <c r="E165" s="206"/>
    </row>
    <row r="166" spans="5:5" s="204" customFormat="1" ht="18" customHeight="1" x14ac:dyDescent="0.2">
      <c r="E166" s="206"/>
    </row>
    <row r="167" spans="5:5" s="204" customFormat="1" ht="18" customHeight="1" x14ac:dyDescent="0.2">
      <c r="E167" s="206"/>
    </row>
    <row r="168" spans="5:5" s="204" customFormat="1" ht="18" customHeight="1" x14ac:dyDescent="0.2">
      <c r="E168" s="206"/>
    </row>
    <row r="169" spans="5:5" s="204" customFormat="1" ht="18" customHeight="1" x14ac:dyDescent="0.2">
      <c r="E169" s="206"/>
    </row>
    <row r="170" spans="5:5" s="204" customFormat="1" ht="18" customHeight="1" x14ac:dyDescent="0.2">
      <c r="E170" s="206"/>
    </row>
    <row r="171" spans="5:5" s="204" customFormat="1" ht="18" customHeight="1" x14ac:dyDescent="0.2">
      <c r="E171" s="206"/>
    </row>
    <row r="172" spans="5:5" s="204" customFormat="1" ht="18" customHeight="1" x14ac:dyDescent="0.2">
      <c r="E172" s="206"/>
    </row>
    <row r="173" spans="5:5" s="204" customFormat="1" ht="18" customHeight="1" x14ac:dyDescent="0.2">
      <c r="E173" s="206"/>
    </row>
    <row r="174" spans="5:5" s="204" customFormat="1" ht="18" customHeight="1" x14ac:dyDescent="0.2">
      <c r="E174" s="206"/>
    </row>
    <row r="175" spans="5:5" s="204" customFormat="1" ht="18" customHeight="1" x14ac:dyDescent="0.2">
      <c r="E175" s="206"/>
    </row>
    <row r="176" spans="5:5" s="204" customFormat="1" ht="18" customHeight="1" x14ac:dyDescent="0.2">
      <c r="E176" s="206"/>
    </row>
    <row r="177" spans="5:5" s="204" customFormat="1" ht="18" customHeight="1" x14ac:dyDescent="0.2">
      <c r="E177" s="206"/>
    </row>
    <row r="178" spans="5:5" s="204" customFormat="1" ht="18" customHeight="1" x14ac:dyDescent="0.2">
      <c r="E178" s="206"/>
    </row>
    <row r="179" spans="5:5" s="204" customFormat="1" ht="18" customHeight="1" x14ac:dyDescent="0.2">
      <c r="E179" s="206"/>
    </row>
    <row r="180" spans="5:5" s="204" customFormat="1" ht="18" customHeight="1" x14ac:dyDescent="0.2">
      <c r="E180" s="206"/>
    </row>
    <row r="181" spans="5:5" s="204" customFormat="1" ht="18" customHeight="1" x14ac:dyDescent="0.2">
      <c r="E181" s="206"/>
    </row>
    <row r="182" spans="5:5" s="204" customFormat="1" ht="18" customHeight="1" x14ac:dyDescent="0.2">
      <c r="E182" s="206"/>
    </row>
    <row r="183" spans="5:5" s="204" customFormat="1" ht="18" customHeight="1" x14ac:dyDescent="0.2">
      <c r="E183" s="206"/>
    </row>
    <row r="184" spans="5:5" s="204" customFormat="1" ht="18" customHeight="1" x14ac:dyDescent="0.2">
      <c r="E184" s="206"/>
    </row>
    <row r="185" spans="5:5" s="204" customFormat="1" ht="18" customHeight="1" x14ac:dyDescent="0.2">
      <c r="E185" s="206"/>
    </row>
    <row r="186" spans="5:5" s="204" customFormat="1" ht="18" customHeight="1" x14ac:dyDescent="0.2">
      <c r="E186" s="206"/>
    </row>
    <row r="187" spans="5:5" s="204" customFormat="1" ht="18" customHeight="1" x14ac:dyDescent="0.2">
      <c r="E187" s="206"/>
    </row>
    <row r="188" spans="5:5" s="204" customFormat="1" ht="18" customHeight="1" x14ac:dyDescent="0.2">
      <c r="E188" s="206"/>
    </row>
    <row r="189" spans="5:5" s="204" customFormat="1" ht="18" customHeight="1" x14ac:dyDescent="0.2">
      <c r="E189" s="206"/>
    </row>
    <row r="190" spans="5:5" s="204" customFormat="1" ht="18" customHeight="1" x14ac:dyDescent="0.2">
      <c r="E190" s="206"/>
    </row>
    <row r="191" spans="5:5" s="204" customFormat="1" ht="18" customHeight="1" x14ac:dyDescent="0.2">
      <c r="E191" s="206"/>
    </row>
    <row r="192" spans="5:5" s="204" customFormat="1" ht="18" customHeight="1" x14ac:dyDescent="0.2">
      <c r="E192" s="206"/>
    </row>
    <row r="193" spans="5:5" s="204" customFormat="1" ht="18" customHeight="1" x14ac:dyDescent="0.2">
      <c r="E193" s="206"/>
    </row>
    <row r="194" spans="5:5" s="204" customFormat="1" ht="18" customHeight="1" x14ac:dyDescent="0.2">
      <c r="E194" s="206"/>
    </row>
    <row r="195" spans="5:5" s="204" customFormat="1" ht="18" customHeight="1" x14ac:dyDescent="0.2">
      <c r="E195" s="206"/>
    </row>
    <row r="196" spans="5:5" s="204" customFormat="1" ht="18" customHeight="1" x14ac:dyDescent="0.2">
      <c r="E196" s="206"/>
    </row>
    <row r="197" spans="5:5" s="204" customFormat="1" ht="18" customHeight="1" x14ac:dyDescent="0.2">
      <c r="E197" s="206"/>
    </row>
    <row r="198" spans="5:5" s="204" customFormat="1" ht="18" customHeight="1" x14ac:dyDescent="0.2">
      <c r="E198" s="206"/>
    </row>
    <row r="199" spans="5:5" s="204" customFormat="1" ht="18" customHeight="1" x14ac:dyDescent="0.2">
      <c r="E199" s="206"/>
    </row>
    <row r="200" spans="5:5" s="204" customFormat="1" ht="18" customHeight="1" x14ac:dyDescent="0.2">
      <c r="E200" s="206"/>
    </row>
    <row r="201" spans="5:5" s="204" customFormat="1" ht="18" customHeight="1" x14ac:dyDescent="0.2">
      <c r="E201" s="206"/>
    </row>
    <row r="202" spans="5:5" s="204" customFormat="1" ht="18" customHeight="1" x14ac:dyDescent="0.2">
      <c r="E202" s="206"/>
    </row>
    <row r="203" spans="5:5" s="204" customFormat="1" ht="18" customHeight="1" x14ac:dyDescent="0.2">
      <c r="E203" s="206"/>
    </row>
    <row r="204" spans="5:5" s="204" customFormat="1" ht="18" customHeight="1" x14ac:dyDescent="0.2">
      <c r="E204" s="206"/>
    </row>
    <row r="205" spans="5:5" s="204" customFormat="1" ht="18" customHeight="1" x14ac:dyDescent="0.2">
      <c r="E205" s="206"/>
    </row>
    <row r="206" spans="5:5" s="204" customFormat="1" ht="18" customHeight="1" x14ac:dyDescent="0.2">
      <c r="E206" s="206"/>
    </row>
    <row r="207" spans="5:5" s="204" customFormat="1" ht="18" customHeight="1" x14ac:dyDescent="0.2">
      <c r="E207" s="206"/>
    </row>
    <row r="208" spans="5:5" s="204" customFormat="1" ht="18" customHeight="1" x14ac:dyDescent="0.2">
      <c r="E208" s="206"/>
    </row>
    <row r="209" spans="5:5" s="204" customFormat="1" ht="18" customHeight="1" x14ac:dyDescent="0.2">
      <c r="E209" s="206"/>
    </row>
    <row r="210" spans="5:5" s="204" customFormat="1" ht="18" customHeight="1" x14ac:dyDescent="0.2">
      <c r="E210" s="206"/>
    </row>
    <row r="211" spans="5:5" s="204" customFormat="1" ht="18" customHeight="1" x14ac:dyDescent="0.2">
      <c r="E211" s="206"/>
    </row>
    <row r="212" spans="5:5" s="204" customFormat="1" ht="18" customHeight="1" x14ac:dyDescent="0.2">
      <c r="E212" s="206"/>
    </row>
    <row r="213" spans="5:5" s="204" customFormat="1" ht="18" customHeight="1" x14ac:dyDescent="0.2">
      <c r="E213" s="206"/>
    </row>
    <row r="214" spans="5:5" s="204" customFormat="1" ht="18" customHeight="1" x14ac:dyDescent="0.2">
      <c r="E214" s="206"/>
    </row>
    <row r="215" spans="5:5" s="204" customFormat="1" ht="18" customHeight="1" x14ac:dyDescent="0.2">
      <c r="E215" s="206"/>
    </row>
    <row r="216" spans="5:5" s="204" customFormat="1" ht="18" customHeight="1" x14ac:dyDescent="0.2">
      <c r="E216" s="206"/>
    </row>
    <row r="217" spans="5:5" s="204" customFormat="1" ht="18" customHeight="1" x14ac:dyDescent="0.2">
      <c r="E217" s="206"/>
    </row>
    <row r="218" spans="5:5" s="204" customFormat="1" ht="18" customHeight="1" x14ac:dyDescent="0.2">
      <c r="E218" s="206"/>
    </row>
    <row r="219" spans="5:5" s="204" customFormat="1" ht="18" customHeight="1" x14ac:dyDescent="0.2">
      <c r="E219" s="206"/>
    </row>
    <row r="220" spans="5:5" s="204" customFormat="1" ht="18" customHeight="1" x14ac:dyDescent="0.2">
      <c r="E220" s="206"/>
    </row>
    <row r="221" spans="5:5" s="204" customFormat="1" ht="18" customHeight="1" x14ac:dyDescent="0.2">
      <c r="E221" s="206"/>
    </row>
    <row r="222" spans="5:5" s="204" customFormat="1" ht="18" customHeight="1" x14ac:dyDescent="0.2">
      <c r="E222" s="206"/>
    </row>
    <row r="223" spans="5:5" s="204" customFormat="1" ht="18" customHeight="1" x14ac:dyDescent="0.2">
      <c r="E223" s="206"/>
    </row>
    <row r="224" spans="5:5" s="204" customFormat="1" ht="18" customHeight="1" x14ac:dyDescent="0.2">
      <c r="E224" s="206"/>
    </row>
    <row r="225" spans="5:5" s="204" customFormat="1" ht="18" customHeight="1" x14ac:dyDescent="0.2">
      <c r="E225" s="206"/>
    </row>
    <row r="226" spans="5:5" s="204" customFormat="1" ht="18" customHeight="1" x14ac:dyDescent="0.2">
      <c r="E226" s="206"/>
    </row>
    <row r="227" spans="5:5" s="204" customFormat="1" ht="18" customHeight="1" x14ac:dyDescent="0.2">
      <c r="E227" s="206"/>
    </row>
    <row r="228" spans="5:5" s="204" customFormat="1" ht="18" customHeight="1" x14ac:dyDescent="0.2">
      <c r="E228" s="206"/>
    </row>
    <row r="229" spans="5:5" s="204" customFormat="1" ht="18" customHeight="1" x14ac:dyDescent="0.2">
      <c r="E229" s="206"/>
    </row>
    <row r="230" spans="5:5" s="204" customFormat="1" ht="18" customHeight="1" x14ac:dyDescent="0.2">
      <c r="E230" s="206"/>
    </row>
    <row r="231" spans="5:5" s="204" customFormat="1" ht="18" customHeight="1" x14ac:dyDescent="0.2">
      <c r="E231" s="206"/>
    </row>
    <row r="232" spans="5:5" s="204" customFormat="1" ht="18" customHeight="1" x14ac:dyDescent="0.2">
      <c r="E232" s="206"/>
    </row>
    <row r="233" spans="5:5" s="204" customFormat="1" ht="18" customHeight="1" x14ac:dyDescent="0.2">
      <c r="E233" s="206"/>
    </row>
    <row r="234" spans="5:5" s="204" customFormat="1" ht="18" customHeight="1" x14ac:dyDescent="0.2">
      <c r="E234" s="206"/>
    </row>
    <row r="235" spans="5:5" s="204" customFormat="1" ht="18" customHeight="1" x14ac:dyDescent="0.2">
      <c r="E235" s="206"/>
    </row>
    <row r="236" spans="5:5" s="204" customFormat="1" ht="18" customHeight="1" x14ac:dyDescent="0.2">
      <c r="E236" s="206"/>
    </row>
    <row r="237" spans="5:5" s="204" customFormat="1" ht="18" customHeight="1" x14ac:dyDescent="0.2">
      <c r="E237" s="206"/>
    </row>
    <row r="238" spans="5:5" s="204" customFormat="1" ht="18" customHeight="1" x14ac:dyDescent="0.2">
      <c r="E238" s="206"/>
    </row>
    <row r="239" spans="5:5" s="204" customFormat="1" ht="18" customHeight="1" x14ac:dyDescent="0.2">
      <c r="E239" s="206"/>
    </row>
    <row r="240" spans="5:5" s="204" customFormat="1" ht="18" customHeight="1" x14ac:dyDescent="0.2">
      <c r="E240" s="206"/>
    </row>
    <row r="241" spans="5:5" s="204" customFormat="1" ht="18" customHeight="1" x14ac:dyDescent="0.2">
      <c r="E241" s="206"/>
    </row>
    <row r="242" spans="5:5" s="204" customFormat="1" ht="18" customHeight="1" x14ac:dyDescent="0.2">
      <c r="E242" s="206"/>
    </row>
    <row r="243" spans="5:5" s="204" customFormat="1" ht="18" customHeight="1" x14ac:dyDescent="0.2">
      <c r="E243" s="206"/>
    </row>
    <row r="244" spans="5:5" s="204" customFormat="1" ht="18" customHeight="1" x14ac:dyDescent="0.2">
      <c r="E244" s="206"/>
    </row>
    <row r="245" spans="5:5" s="204" customFormat="1" ht="18" customHeight="1" x14ac:dyDescent="0.2">
      <c r="E245" s="206"/>
    </row>
    <row r="246" spans="5:5" s="204" customFormat="1" ht="18" customHeight="1" x14ac:dyDescent="0.2">
      <c r="E246" s="206"/>
    </row>
    <row r="247" spans="5:5" s="204" customFormat="1" ht="18" customHeight="1" x14ac:dyDescent="0.2">
      <c r="E247" s="206"/>
    </row>
    <row r="248" spans="5:5" s="204" customFormat="1" ht="18" customHeight="1" x14ac:dyDescent="0.2">
      <c r="E248" s="206"/>
    </row>
    <row r="249" spans="5:5" s="204" customFormat="1" ht="18" customHeight="1" x14ac:dyDescent="0.2">
      <c r="E249" s="206"/>
    </row>
    <row r="250" spans="5:5" s="204" customFormat="1" ht="18" customHeight="1" x14ac:dyDescent="0.2">
      <c r="E250" s="206"/>
    </row>
    <row r="251" spans="5:5" s="204" customFormat="1" ht="18" customHeight="1" x14ac:dyDescent="0.2">
      <c r="E251" s="206"/>
    </row>
    <row r="252" spans="5:5" s="204" customFormat="1" ht="18" customHeight="1" x14ac:dyDescent="0.2">
      <c r="E252" s="206"/>
    </row>
    <row r="253" spans="5:5" s="204" customFormat="1" ht="18" customHeight="1" x14ac:dyDescent="0.2">
      <c r="E253" s="206"/>
    </row>
    <row r="254" spans="5:5" s="204" customFormat="1" ht="18" customHeight="1" x14ac:dyDescent="0.2">
      <c r="E254" s="206"/>
    </row>
    <row r="255" spans="5:5" s="204" customFormat="1" ht="18" customHeight="1" x14ac:dyDescent="0.2">
      <c r="E255" s="206"/>
    </row>
    <row r="256" spans="5:5" s="204" customFormat="1" ht="18" customHeight="1" x14ac:dyDescent="0.2">
      <c r="E256" s="206"/>
    </row>
    <row r="257" spans="5:5" s="204" customFormat="1" ht="18" customHeight="1" x14ac:dyDescent="0.2">
      <c r="E257" s="206"/>
    </row>
    <row r="258" spans="5:5" s="204" customFormat="1" ht="18" customHeight="1" x14ac:dyDescent="0.2">
      <c r="E258" s="206"/>
    </row>
    <row r="259" spans="5:5" s="204" customFormat="1" ht="18" customHeight="1" x14ac:dyDescent="0.2">
      <c r="E259" s="206"/>
    </row>
    <row r="260" spans="5:5" s="204" customFormat="1" ht="18" customHeight="1" x14ac:dyDescent="0.2">
      <c r="E260" s="206"/>
    </row>
    <row r="261" spans="5:5" s="204" customFormat="1" ht="18" customHeight="1" x14ac:dyDescent="0.2">
      <c r="E261" s="206"/>
    </row>
    <row r="262" spans="5:5" s="204" customFormat="1" ht="18" customHeight="1" x14ac:dyDescent="0.2">
      <c r="E262" s="206"/>
    </row>
    <row r="263" spans="5:5" s="204" customFormat="1" ht="18" customHeight="1" x14ac:dyDescent="0.2">
      <c r="E263" s="206"/>
    </row>
    <row r="264" spans="5:5" s="204" customFormat="1" ht="18" customHeight="1" x14ac:dyDescent="0.2">
      <c r="E264" s="206"/>
    </row>
    <row r="265" spans="5:5" s="204" customFormat="1" ht="18" customHeight="1" x14ac:dyDescent="0.2">
      <c r="E265" s="206"/>
    </row>
    <row r="266" spans="5:5" s="204" customFormat="1" ht="18" customHeight="1" x14ac:dyDescent="0.2">
      <c r="E266" s="206"/>
    </row>
    <row r="267" spans="5:5" s="204" customFormat="1" ht="18" customHeight="1" x14ac:dyDescent="0.2">
      <c r="E267" s="206"/>
    </row>
    <row r="268" spans="5:5" s="204" customFormat="1" ht="18" customHeight="1" x14ac:dyDescent="0.2">
      <c r="E268" s="206"/>
    </row>
    <row r="269" spans="5:5" s="204" customFormat="1" ht="18" customHeight="1" x14ac:dyDescent="0.2">
      <c r="E269" s="206"/>
    </row>
    <row r="270" spans="5:5" s="204" customFormat="1" ht="18" customHeight="1" x14ac:dyDescent="0.2">
      <c r="E270" s="206"/>
    </row>
    <row r="271" spans="5:5" s="204" customFormat="1" ht="18" customHeight="1" x14ac:dyDescent="0.2">
      <c r="E271" s="206"/>
    </row>
    <row r="272" spans="5:5" s="204" customFormat="1" ht="18" customHeight="1" x14ac:dyDescent="0.2">
      <c r="E272" s="206"/>
    </row>
    <row r="273" spans="5:5" s="204" customFormat="1" ht="18" customHeight="1" x14ac:dyDescent="0.2">
      <c r="E273" s="206"/>
    </row>
    <row r="274" spans="5:5" s="204" customFormat="1" ht="18" customHeight="1" x14ac:dyDescent="0.2">
      <c r="E274" s="206"/>
    </row>
    <row r="275" spans="5:5" s="204" customFormat="1" ht="18" customHeight="1" x14ac:dyDescent="0.2">
      <c r="E275" s="206"/>
    </row>
    <row r="276" spans="5:5" s="204" customFormat="1" ht="18" customHeight="1" x14ac:dyDescent="0.2">
      <c r="E276" s="206"/>
    </row>
    <row r="277" spans="5:5" s="204" customFormat="1" ht="18" customHeight="1" x14ac:dyDescent="0.2">
      <c r="E277" s="206"/>
    </row>
    <row r="278" spans="5:5" s="204" customFormat="1" ht="18" customHeight="1" x14ac:dyDescent="0.2">
      <c r="E278" s="206"/>
    </row>
    <row r="279" spans="5:5" s="204" customFormat="1" ht="18" customHeight="1" x14ac:dyDescent="0.2">
      <c r="E279" s="206"/>
    </row>
    <row r="280" spans="5:5" s="204" customFormat="1" ht="18" customHeight="1" x14ac:dyDescent="0.2">
      <c r="E280" s="206"/>
    </row>
    <row r="281" spans="5:5" s="204" customFormat="1" ht="18" customHeight="1" x14ac:dyDescent="0.2">
      <c r="E281" s="206"/>
    </row>
    <row r="282" spans="5:5" s="204" customFormat="1" ht="18" customHeight="1" x14ac:dyDescent="0.2">
      <c r="E282" s="206"/>
    </row>
    <row r="283" spans="5:5" s="204" customFormat="1" ht="18" customHeight="1" x14ac:dyDescent="0.2">
      <c r="E283" s="206"/>
    </row>
    <row r="284" spans="5:5" s="204" customFormat="1" ht="18" customHeight="1" x14ac:dyDescent="0.2">
      <c r="E284" s="206"/>
    </row>
    <row r="285" spans="5:5" s="204" customFormat="1" ht="18" customHeight="1" x14ac:dyDescent="0.2">
      <c r="E285" s="206"/>
    </row>
    <row r="286" spans="5:5" s="204" customFormat="1" ht="18" customHeight="1" x14ac:dyDescent="0.2">
      <c r="E286" s="206"/>
    </row>
    <row r="287" spans="5:5" s="204" customFormat="1" ht="18" customHeight="1" x14ac:dyDescent="0.2">
      <c r="E287" s="206"/>
    </row>
    <row r="288" spans="5:5" s="204" customFormat="1" ht="18" customHeight="1" x14ac:dyDescent="0.2">
      <c r="E288" s="206"/>
    </row>
    <row r="289" spans="5:5" s="204" customFormat="1" ht="18" customHeight="1" x14ac:dyDescent="0.2">
      <c r="E289" s="206"/>
    </row>
    <row r="290" spans="5:5" s="204" customFormat="1" ht="18" customHeight="1" x14ac:dyDescent="0.2">
      <c r="E290" s="206"/>
    </row>
    <row r="291" spans="5:5" s="204" customFormat="1" ht="18" customHeight="1" x14ac:dyDescent="0.2">
      <c r="E291" s="206"/>
    </row>
    <row r="292" spans="5:5" s="204" customFormat="1" ht="18" customHeight="1" x14ac:dyDescent="0.2">
      <c r="E292" s="206"/>
    </row>
  </sheetData>
  <sheetProtection algorithmName="SHA-512" hashValue="4XMVze1xEiFc4LmwPFKA8wl0nusHDVzf6d2RFV7zbZPtyggnkxDSOyPmiwQJmTne9/jteHVMHqSsZb4VJMRA+g==" saltValue="2ZYhktloImIteoc0CoaGqg==" spinCount="100000" sheet="1" formatCells="0" formatColumns="0" formatRows="0" insertColumns="0" insertRows="0" insertHyperlinks="0" deleteColumns="0" deleteRows="0" sort="0" autoFilter="0" pivotTables="0"/>
  <mergeCells count="41">
    <mergeCell ref="C61:E61"/>
    <mergeCell ref="A23:D23"/>
    <mergeCell ref="A24:E24"/>
    <mergeCell ref="A35:D35"/>
    <mergeCell ref="A36:E36"/>
    <mergeCell ref="C52:E52"/>
    <mergeCell ref="A61:B61"/>
    <mergeCell ref="A57:B57"/>
    <mergeCell ref="A58:B58"/>
    <mergeCell ref="A59:B59"/>
    <mergeCell ref="A54:B54"/>
    <mergeCell ref="A55:B55"/>
    <mergeCell ref="A56:B56"/>
    <mergeCell ref="A46:D46"/>
    <mergeCell ref="A50:E50"/>
    <mergeCell ref="A60:B60"/>
    <mergeCell ref="A7:D7"/>
    <mergeCell ref="A5:E5"/>
    <mergeCell ref="A9:E9"/>
    <mergeCell ref="A15:D15"/>
    <mergeCell ref="A16:E16"/>
    <mergeCell ref="A6:E6"/>
    <mergeCell ref="B1:E1"/>
    <mergeCell ref="B2:E2"/>
    <mergeCell ref="B3:C3"/>
    <mergeCell ref="D3:E3"/>
    <mergeCell ref="A1:A3"/>
    <mergeCell ref="C59:E59"/>
    <mergeCell ref="C60:E60"/>
    <mergeCell ref="A47:E47"/>
    <mergeCell ref="C53:E53"/>
    <mergeCell ref="C54:E54"/>
    <mergeCell ref="C55:E55"/>
    <mergeCell ref="C56:E56"/>
    <mergeCell ref="A49:E49"/>
    <mergeCell ref="C51:E51"/>
    <mergeCell ref="A51:B51"/>
    <mergeCell ref="A52:B52"/>
    <mergeCell ref="A53:B53"/>
    <mergeCell ref="C57:E57"/>
    <mergeCell ref="C58:E58"/>
  </mergeCells>
  <dataValidations count="1">
    <dataValidation type="list" allowBlank="1" showInputMessage="1" showErrorMessage="1" sqref="D10:D14 D37:D45 D25:D34 D17:D22" xr:uid="{00000000-0002-0000-1F00-000000000000}">
      <formula1>"Si, No"</formula1>
    </dataValidation>
  </dataValidations>
  <hyperlinks>
    <hyperlink ref="F1" location="ins" display="Instructivo" xr:uid="{00000000-0004-0000-1F00-000000000000}"/>
  </hyperlinks>
  <printOptions horizontalCentered="1"/>
  <pageMargins left="0" right="0" top="0" bottom="0" header="0" footer="0"/>
  <pageSetup fitToHeight="0" orientation="landscape" r:id="rId1"/>
  <drawing r:id="rId2"/>
  <legacy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Hoja34">
    <tabColor theme="0" tint="-0.249977111117893"/>
    <pageSetUpPr fitToPage="1"/>
  </sheetPr>
  <dimension ref="A1:AX82"/>
  <sheetViews>
    <sheetView showGridLines="0" zoomScaleNormal="100" workbookViewId="0">
      <selection activeCell="A17" sqref="A17:E17"/>
    </sheetView>
  </sheetViews>
  <sheetFormatPr baseColWidth="10" defaultColWidth="11.5" defaultRowHeight="18" customHeight="1" x14ac:dyDescent="0.2"/>
  <cols>
    <col min="1" max="1" width="33.1640625" style="205" customWidth="1"/>
    <col min="2" max="2" width="47.1640625" style="205" customWidth="1"/>
    <col min="3" max="3" width="17.33203125" style="205" customWidth="1"/>
    <col min="4" max="4" width="18.6640625" style="205" customWidth="1"/>
    <col min="5" max="5" width="19.1640625" style="213" customWidth="1"/>
    <col min="6" max="6" width="16.83203125" style="204" customWidth="1"/>
    <col min="7" max="50" width="11.5" style="204"/>
    <col min="51" max="16384" width="11.5" style="205"/>
  </cols>
  <sheetData>
    <row r="1" spans="1:7" ht="18" customHeight="1" x14ac:dyDescent="0.2">
      <c r="A1" s="1615"/>
      <c r="B1" s="1430" t="s">
        <v>0</v>
      </c>
      <c r="C1" s="1430"/>
      <c r="D1" s="1430"/>
      <c r="E1" s="1431"/>
      <c r="F1" s="339" t="s">
        <v>104</v>
      </c>
      <c r="G1" s="62"/>
    </row>
    <row r="2" spans="1:7" ht="18" customHeight="1" x14ac:dyDescent="0.2">
      <c r="A2" s="1617"/>
      <c r="B2" s="1433" t="s">
        <v>1342</v>
      </c>
      <c r="C2" s="1433"/>
      <c r="D2" s="1433"/>
      <c r="E2" s="1434"/>
      <c r="F2" s="375" t="s">
        <v>42</v>
      </c>
    </row>
    <row r="3" spans="1:7" ht="18" customHeight="1" thickBot="1" x14ac:dyDescent="0.25">
      <c r="A3" s="1619"/>
      <c r="B3" s="1139" t="s">
        <v>2</v>
      </c>
      <c r="C3" s="1139"/>
      <c r="D3" s="1139" t="str">
        <f>Instructivo!G3</f>
        <v>VERSIÓN: 04</v>
      </c>
      <c r="E3" s="1182"/>
    </row>
    <row r="4" spans="1:7" s="204" customFormat="1" ht="18" customHeight="1" thickBot="1" x14ac:dyDescent="0.25">
      <c r="E4" s="206"/>
    </row>
    <row r="5" spans="1:7" s="204" customFormat="1" ht="30.75" customHeight="1" thickBot="1" x14ac:dyDescent="0.25">
      <c r="A5" s="1708" t="s">
        <v>1343</v>
      </c>
      <c r="B5" s="1767"/>
      <c r="C5" s="1767"/>
      <c r="D5" s="1767"/>
      <c r="E5" s="1768"/>
    </row>
    <row r="6" spans="1:7" s="204" customFormat="1" ht="18" customHeight="1" thickBot="1" x14ac:dyDescent="0.25">
      <c r="A6" s="1726"/>
      <c r="B6" s="1726"/>
      <c r="C6" s="1726"/>
      <c r="D6" s="1726"/>
      <c r="E6" s="1726"/>
    </row>
    <row r="7" spans="1:7" s="204" customFormat="1" ht="18" customHeight="1" x14ac:dyDescent="0.2">
      <c r="A7" s="1722" t="s">
        <v>1344</v>
      </c>
      <c r="B7" s="1723"/>
      <c r="C7" s="1723"/>
      <c r="D7" s="1723"/>
      <c r="E7" s="1724"/>
    </row>
    <row r="8" spans="1:7" s="204" customFormat="1" ht="55.5" customHeight="1" x14ac:dyDescent="0.2">
      <c r="A8" s="1725" t="s">
        <v>1345</v>
      </c>
      <c r="B8" s="1734"/>
      <c r="C8" s="1734"/>
      <c r="D8" s="1734"/>
      <c r="E8" s="1769"/>
    </row>
    <row r="9" spans="1:7" s="204" customFormat="1" ht="18" customHeight="1" thickBot="1" x14ac:dyDescent="0.25">
      <c r="A9" s="1770" t="s">
        <v>1346</v>
      </c>
      <c r="B9" s="1729"/>
      <c r="C9" s="1729"/>
      <c r="D9" s="1729"/>
      <c r="E9" s="1730"/>
    </row>
    <row r="10" spans="1:7" s="204" customFormat="1" ht="18" customHeight="1" thickBot="1" x14ac:dyDescent="0.25">
      <c r="A10" s="1726"/>
      <c r="B10" s="1726"/>
      <c r="C10" s="1726"/>
      <c r="D10" s="1726"/>
      <c r="E10" s="1726"/>
    </row>
    <row r="11" spans="1:7" s="204" customFormat="1" ht="18" customHeight="1" x14ac:dyDescent="0.2">
      <c r="A11" s="1722" t="s">
        <v>1347</v>
      </c>
      <c r="B11" s="1723"/>
      <c r="C11" s="1723"/>
      <c r="D11" s="1723"/>
      <c r="E11" s="1724"/>
    </row>
    <row r="12" spans="1:7" s="204" customFormat="1" ht="111" customHeight="1" x14ac:dyDescent="0.2">
      <c r="A12" s="1725" t="s">
        <v>1348</v>
      </c>
      <c r="B12" s="1726"/>
      <c r="C12" s="1726"/>
      <c r="D12" s="1726"/>
      <c r="E12" s="1727"/>
    </row>
    <row r="13" spans="1:7" s="204" customFormat="1" ht="18" customHeight="1" thickBot="1" x14ac:dyDescent="0.25">
      <c r="A13" s="1770" t="s">
        <v>1349</v>
      </c>
      <c r="B13" s="1729"/>
      <c r="C13" s="1729"/>
      <c r="D13" s="1729"/>
      <c r="E13" s="1730"/>
    </row>
    <row r="14" spans="1:7" s="204" customFormat="1" ht="18" customHeight="1" thickBot="1" x14ac:dyDescent="0.25">
      <c r="A14" s="1726"/>
      <c r="B14" s="1726"/>
      <c r="C14" s="1726"/>
      <c r="D14" s="1726"/>
      <c r="E14" s="1726"/>
    </row>
    <row r="15" spans="1:7" s="204" customFormat="1" ht="18" customHeight="1" x14ac:dyDescent="0.2">
      <c r="A15" s="1722" t="s">
        <v>1350</v>
      </c>
      <c r="B15" s="1723"/>
      <c r="C15" s="1723"/>
      <c r="D15" s="1723"/>
      <c r="E15" s="1724"/>
    </row>
    <row r="16" spans="1:7" s="204" customFormat="1" ht="66" customHeight="1" x14ac:dyDescent="0.2">
      <c r="A16" s="1725" t="s">
        <v>1351</v>
      </c>
      <c r="B16" s="1726"/>
      <c r="C16" s="1726"/>
      <c r="D16" s="1726"/>
      <c r="E16" s="1727"/>
    </row>
    <row r="17" spans="1:5" s="204" customFormat="1" ht="18" customHeight="1" thickBot="1" x14ac:dyDescent="0.25">
      <c r="A17" s="1770" t="s">
        <v>1352</v>
      </c>
      <c r="B17" s="1729"/>
      <c r="C17" s="1729"/>
      <c r="D17" s="1729"/>
      <c r="E17" s="1730"/>
    </row>
    <row r="18" spans="1:5" s="204" customFormat="1" ht="18" customHeight="1" thickBot="1" x14ac:dyDescent="0.25">
      <c r="A18" s="1726"/>
      <c r="B18" s="1726"/>
      <c r="C18" s="1726"/>
      <c r="D18" s="1726"/>
      <c r="E18" s="1726"/>
    </row>
    <row r="19" spans="1:5" s="204" customFormat="1" ht="18" customHeight="1" x14ac:dyDescent="0.2">
      <c r="A19" s="1722" t="s">
        <v>1353</v>
      </c>
      <c r="B19" s="1723"/>
      <c r="C19" s="1723"/>
      <c r="D19" s="1723"/>
      <c r="E19" s="1724"/>
    </row>
    <row r="20" spans="1:5" s="204" customFormat="1" ht="102" customHeight="1" x14ac:dyDescent="0.2">
      <c r="A20" s="1725" t="s">
        <v>1354</v>
      </c>
      <c r="B20" s="1726"/>
      <c r="C20" s="1726"/>
      <c r="D20" s="1726"/>
      <c r="E20" s="1727"/>
    </row>
    <row r="21" spans="1:5" s="204" customFormat="1" ht="18" customHeight="1" thickBot="1" x14ac:dyDescent="0.25">
      <c r="A21" s="1770" t="s">
        <v>1355</v>
      </c>
      <c r="B21" s="1729"/>
      <c r="C21" s="1729"/>
      <c r="D21" s="1729"/>
      <c r="E21" s="1730"/>
    </row>
    <row r="22" spans="1:5" s="204" customFormat="1" ht="18" customHeight="1" thickBot="1" x14ac:dyDescent="0.25">
      <c r="A22" s="1726"/>
      <c r="B22" s="1726"/>
      <c r="C22" s="1726"/>
      <c r="D22" s="1726"/>
      <c r="E22" s="1726"/>
    </row>
    <row r="23" spans="1:5" s="204" customFormat="1" ht="18" customHeight="1" x14ac:dyDescent="0.2">
      <c r="A23" s="1722" t="s">
        <v>1356</v>
      </c>
      <c r="B23" s="1723"/>
      <c r="C23" s="1723"/>
      <c r="D23" s="1723"/>
      <c r="E23" s="1724"/>
    </row>
    <row r="24" spans="1:5" s="204" customFormat="1" ht="108.75" customHeight="1" x14ac:dyDescent="0.2">
      <c r="A24" s="1725" t="s">
        <v>1357</v>
      </c>
      <c r="B24" s="1734"/>
      <c r="C24" s="1734"/>
      <c r="D24" s="1734"/>
      <c r="E24" s="1769"/>
    </row>
    <row r="25" spans="1:5" s="204" customFormat="1" ht="18" customHeight="1" thickBot="1" x14ac:dyDescent="0.25">
      <c r="A25" s="1770" t="s">
        <v>1346</v>
      </c>
      <c r="B25" s="1729"/>
      <c r="C25" s="1729"/>
      <c r="D25" s="1729"/>
      <c r="E25" s="1730"/>
    </row>
    <row r="26" spans="1:5" s="204" customFormat="1" ht="18" customHeight="1" x14ac:dyDescent="0.2"/>
    <row r="27" spans="1:5" s="204" customFormat="1" ht="18" customHeight="1" x14ac:dyDescent="0.2"/>
    <row r="28" spans="1:5" s="204" customFormat="1" ht="18" customHeight="1" x14ac:dyDescent="0.2"/>
    <row r="29" spans="1:5" s="204" customFormat="1" ht="18" customHeight="1" x14ac:dyDescent="0.2">
      <c r="E29" s="206"/>
    </row>
    <row r="30" spans="1:5" s="204" customFormat="1" ht="18" customHeight="1" x14ac:dyDescent="0.2">
      <c r="E30" s="206"/>
    </row>
    <row r="31" spans="1:5" s="204" customFormat="1" ht="18" customHeight="1" x14ac:dyDescent="0.2">
      <c r="E31" s="206"/>
    </row>
    <row r="32" spans="1:5" s="204" customFormat="1" ht="18" customHeight="1" x14ac:dyDescent="0.2">
      <c r="E32" s="206"/>
    </row>
    <row r="33" spans="5:5" s="204" customFormat="1" ht="18" customHeight="1" x14ac:dyDescent="0.2">
      <c r="E33" s="206"/>
    </row>
    <row r="34" spans="5:5" s="204" customFormat="1" ht="18" customHeight="1" x14ac:dyDescent="0.2">
      <c r="E34" s="206"/>
    </row>
    <row r="35" spans="5:5" s="204" customFormat="1" ht="18" customHeight="1" x14ac:dyDescent="0.2">
      <c r="E35" s="206"/>
    </row>
    <row r="36" spans="5:5" s="204" customFormat="1" ht="18" customHeight="1" x14ac:dyDescent="0.2">
      <c r="E36" s="206"/>
    </row>
    <row r="37" spans="5:5" s="204" customFormat="1" ht="18" customHeight="1" x14ac:dyDescent="0.2">
      <c r="E37" s="206"/>
    </row>
    <row r="38" spans="5:5" s="204" customFormat="1" ht="18" customHeight="1" x14ac:dyDescent="0.2">
      <c r="E38" s="206"/>
    </row>
    <row r="39" spans="5:5" s="204" customFormat="1" ht="18" customHeight="1" x14ac:dyDescent="0.2">
      <c r="E39" s="206"/>
    </row>
    <row r="40" spans="5:5" s="204" customFormat="1" ht="18" customHeight="1" x14ac:dyDescent="0.2">
      <c r="E40" s="206"/>
    </row>
    <row r="41" spans="5:5" s="204" customFormat="1" ht="18" customHeight="1" x14ac:dyDescent="0.2">
      <c r="E41" s="206"/>
    </row>
    <row r="42" spans="5:5" s="204" customFormat="1" ht="18" customHeight="1" x14ac:dyDescent="0.2">
      <c r="E42" s="206"/>
    </row>
    <row r="43" spans="5:5" s="204" customFormat="1" ht="18" customHeight="1" x14ac:dyDescent="0.2">
      <c r="E43" s="206"/>
    </row>
    <row r="44" spans="5:5" s="204" customFormat="1" ht="18" customHeight="1" x14ac:dyDescent="0.2">
      <c r="E44" s="206"/>
    </row>
    <row r="45" spans="5:5" s="204" customFormat="1" ht="18" customHeight="1" x14ac:dyDescent="0.2">
      <c r="E45" s="206"/>
    </row>
    <row r="46" spans="5:5" s="204" customFormat="1" ht="18" customHeight="1" x14ac:dyDescent="0.2">
      <c r="E46" s="206"/>
    </row>
    <row r="47" spans="5:5" s="204" customFormat="1" ht="18" customHeight="1" x14ac:dyDescent="0.2">
      <c r="E47" s="206"/>
    </row>
    <row r="48" spans="5:5" s="204" customFormat="1" ht="18" customHeight="1" x14ac:dyDescent="0.2">
      <c r="E48" s="206"/>
    </row>
    <row r="49" spans="5:5" s="204" customFormat="1" ht="18" customHeight="1" x14ac:dyDescent="0.2">
      <c r="E49" s="206"/>
    </row>
    <row r="50" spans="5:5" s="204" customFormat="1" ht="18" customHeight="1" x14ac:dyDescent="0.2">
      <c r="E50" s="206"/>
    </row>
    <row r="51" spans="5:5" s="204" customFormat="1" ht="18" customHeight="1" x14ac:dyDescent="0.2">
      <c r="E51" s="206"/>
    </row>
    <row r="52" spans="5:5" s="204" customFormat="1" ht="18" customHeight="1" x14ac:dyDescent="0.2">
      <c r="E52" s="206"/>
    </row>
    <row r="53" spans="5:5" s="204" customFormat="1" ht="18" customHeight="1" x14ac:dyDescent="0.2">
      <c r="E53" s="206"/>
    </row>
    <row r="54" spans="5:5" s="204" customFormat="1" ht="18" customHeight="1" x14ac:dyDescent="0.2">
      <c r="E54" s="206"/>
    </row>
    <row r="55" spans="5:5" s="204" customFormat="1" ht="18" customHeight="1" x14ac:dyDescent="0.2">
      <c r="E55" s="206"/>
    </row>
    <row r="56" spans="5:5" s="204" customFormat="1" ht="18" customHeight="1" x14ac:dyDescent="0.2">
      <c r="E56" s="206"/>
    </row>
    <row r="57" spans="5:5" s="204" customFormat="1" ht="18" customHeight="1" x14ac:dyDescent="0.2">
      <c r="E57" s="206"/>
    </row>
    <row r="58" spans="5:5" s="204" customFormat="1" ht="18" customHeight="1" x14ac:dyDescent="0.2">
      <c r="E58" s="206"/>
    </row>
    <row r="59" spans="5:5" s="204" customFormat="1" ht="18" customHeight="1" x14ac:dyDescent="0.2">
      <c r="E59" s="206"/>
    </row>
    <row r="60" spans="5:5" s="204" customFormat="1" ht="18" customHeight="1" x14ac:dyDescent="0.2">
      <c r="E60" s="206"/>
    </row>
    <row r="61" spans="5:5" s="204" customFormat="1" ht="18" customHeight="1" x14ac:dyDescent="0.2">
      <c r="E61" s="206"/>
    </row>
    <row r="62" spans="5:5" s="204" customFormat="1" ht="18" customHeight="1" x14ac:dyDescent="0.2">
      <c r="E62" s="206"/>
    </row>
    <row r="63" spans="5:5" s="204" customFormat="1" ht="18" customHeight="1" x14ac:dyDescent="0.2">
      <c r="E63" s="206"/>
    </row>
    <row r="64" spans="5:5" s="204" customFormat="1" ht="18" customHeight="1" x14ac:dyDescent="0.2">
      <c r="E64" s="206"/>
    </row>
    <row r="65" spans="5:5" s="204" customFormat="1" ht="18" customHeight="1" x14ac:dyDescent="0.2">
      <c r="E65" s="206"/>
    </row>
    <row r="66" spans="5:5" s="204" customFormat="1" ht="18" customHeight="1" x14ac:dyDescent="0.2">
      <c r="E66" s="206"/>
    </row>
    <row r="67" spans="5:5" s="204" customFormat="1" ht="18" customHeight="1" x14ac:dyDescent="0.2">
      <c r="E67" s="206"/>
    </row>
    <row r="68" spans="5:5" s="204" customFormat="1" ht="18" customHeight="1" x14ac:dyDescent="0.2">
      <c r="E68" s="206"/>
    </row>
    <row r="69" spans="5:5" s="204" customFormat="1" ht="18" customHeight="1" x14ac:dyDescent="0.2">
      <c r="E69" s="206"/>
    </row>
    <row r="70" spans="5:5" s="204" customFormat="1" ht="18" customHeight="1" x14ac:dyDescent="0.2">
      <c r="E70" s="206"/>
    </row>
    <row r="71" spans="5:5" s="204" customFormat="1" ht="18" customHeight="1" x14ac:dyDescent="0.2">
      <c r="E71" s="206"/>
    </row>
    <row r="72" spans="5:5" s="204" customFormat="1" ht="18" customHeight="1" x14ac:dyDescent="0.2">
      <c r="E72" s="206"/>
    </row>
    <row r="73" spans="5:5" s="204" customFormat="1" ht="18" customHeight="1" x14ac:dyDescent="0.2">
      <c r="E73" s="206"/>
    </row>
    <row r="74" spans="5:5" s="204" customFormat="1" ht="18" customHeight="1" x14ac:dyDescent="0.2">
      <c r="E74" s="206"/>
    </row>
    <row r="75" spans="5:5" s="204" customFormat="1" ht="18" customHeight="1" x14ac:dyDescent="0.2">
      <c r="E75" s="206"/>
    </row>
    <row r="76" spans="5:5" s="204" customFormat="1" ht="18" customHeight="1" x14ac:dyDescent="0.2">
      <c r="E76" s="206"/>
    </row>
    <row r="77" spans="5:5" s="204" customFormat="1" ht="18" customHeight="1" x14ac:dyDescent="0.2">
      <c r="E77" s="206"/>
    </row>
    <row r="78" spans="5:5" s="204" customFormat="1" ht="18" customHeight="1" x14ac:dyDescent="0.2">
      <c r="E78" s="206"/>
    </row>
    <row r="79" spans="5:5" s="204" customFormat="1" ht="18" customHeight="1" x14ac:dyDescent="0.2">
      <c r="E79" s="206"/>
    </row>
    <row r="80" spans="5:5" s="204" customFormat="1" ht="18" customHeight="1" x14ac:dyDescent="0.2">
      <c r="E80" s="206"/>
    </row>
    <row r="81" spans="5:5" s="204" customFormat="1" ht="18" customHeight="1" x14ac:dyDescent="0.2">
      <c r="E81" s="206"/>
    </row>
    <row r="82" spans="5:5" s="204" customFormat="1" ht="18" customHeight="1" x14ac:dyDescent="0.2">
      <c r="E82" s="206"/>
    </row>
  </sheetData>
  <mergeCells count="26">
    <mergeCell ref="A1:A3"/>
    <mergeCell ref="B1:E1"/>
    <mergeCell ref="B2:E2"/>
    <mergeCell ref="B3:C3"/>
    <mergeCell ref="D3:E3"/>
    <mergeCell ref="A25:E25"/>
    <mergeCell ref="A15:E15"/>
    <mergeCell ref="A16:E16"/>
    <mergeCell ref="A17:E17"/>
    <mergeCell ref="A9:E9"/>
    <mergeCell ref="A22:E22"/>
    <mergeCell ref="A11:E11"/>
    <mergeCell ref="A12:E12"/>
    <mergeCell ref="A13:E13"/>
    <mergeCell ref="A23:E23"/>
    <mergeCell ref="A19:E19"/>
    <mergeCell ref="A20:E20"/>
    <mergeCell ref="A21:E21"/>
    <mergeCell ref="A24:E24"/>
    <mergeCell ref="A5:E5"/>
    <mergeCell ref="A10:E10"/>
    <mergeCell ref="A14:E14"/>
    <mergeCell ref="A7:E7"/>
    <mergeCell ref="A18:E18"/>
    <mergeCell ref="A8:E8"/>
    <mergeCell ref="A6:E6"/>
  </mergeCells>
  <hyperlinks>
    <hyperlink ref="F1" location="ins" display="Instructivo" xr:uid="{00000000-0004-0000-2000-000000000000}"/>
    <hyperlink ref="F2" location="PEFI" display="Plan de ejecución física y de inversiones" xr:uid="{00000000-0004-0000-2000-000001000000}"/>
  </hyperlinks>
  <printOptions horizontalCentered="1"/>
  <pageMargins left="0" right="0" top="0" bottom="0" header="0" footer="0"/>
  <pageSetup scale="85" fitToHeight="0"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Hoja35">
    <tabColor theme="0" tint="-0.249977111117893"/>
    <pageSetUpPr fitToPage="1"/>
  </sheetPr>
  <dimension ref="A1:H100"/>
  <sheetViews>
    <sheetView showGridLines="0" topLeftCell="A16" zoomScaleNormal="100" workbookViewId="0">
      <selection activeCell="A17" sqref="A17:E17"/>
    </sheetView>
  </sheetViews>
  <sheetFormatPr baseColWidth="10" defaultColWidth="11.5" defaultRowHeight="18" customHeight="1" x14ac:dyDescent="0.2"/>
  <cols>
    <col min="1" max="1" width="33.1640625" style="204" customWidth="1"/>
    <col min="2" max="2" width="47.1640625" style="204" customWidth="1"/>
    <col min="3" max="3" width="17.33203125" style="204" customWidth="1"/>
    <col min="4" max="4" width="18.6640625" style="204" customWidth="1"/>
    <col min="5" max="5" width="19.1640625" style="206" customWidth="1"/>
    <col min="6" max="6" width="23.33203125" style="204" customWidth="1"/>
    <col min="7" max="7" width="24.5" style="204" customWidth="1"/>
    <col min="8" max="8" width="22.83203125" style="204" customWidth="1"/>
    <col min="9" max="16384" width="11.5" style="204"/>
  </cols>
  <sheetData>
    <row r="1" spans="1:8" ht="18" customHeight="1" x14ac:dyDescent="0.2">
      <c r="A1" s="1319"/>
      <c r="B1" s="1135" t="s">
        <v>0</v>
      </c>
      <c r="C1" s="1135"/>
      <c r="D1" s="1135"/>
      <c r="E1" s="1136"/>
      <c r="F1" s="375" t="s">
        <v>104</v>
      </c>
      <c r="G1" s="375" t="s">
        <v>1358</v>
      </c>
      <c r="H1" s="375" t="s">
        <v>1359</v>
      </c>
    </row>
    <row r="2" spans="1:8" ht="18" customHeight="1" x14ac:dyDescent="0.2">
      <c r="A2" s="1321"/>
      <c r="B2" s="1702" t="s">
        <v>1360</v>
      </c>
      <c r="C2" s="1792"/>
      <c r="D2" s="1792"/>
      <c r="E2" s="1703"/>
      <c r="F2" s="375" t="s">
        <v>1361</v>
      </c>
      <c r="G2" s="375" t="s">
        <v>1362</v>
      </c>
    </row>
    <row r="3" spans="1:8" ht="18" customHeight="1" thickBot="1" x14ac:dyDescent="0.25">
      <c r="A3" s="1323"/>
      <c r="B3" s="1139" t="s">
        <v>2</v>
      </c>
      <c r="C3" s="1139"/>
      <c r="D3" s="1139" t="str">
        <f>Instructivo!G3</f>
        <v>VERSIÓN: 04</v>
      </c>
      <c r="E3" s="1182"/>
      <c r="F3" s="375" t="s">
        <v>1363</v>
      </c>
      <c r="G3" s="375" t="s">
        <v>1364</v>
      </c>
    </row>
    <row r="4" spans="1:8" ht="18" customHeight="1" thickBot="1" x14ac:dyDescent="0.25"/>
    <row r="5" spans="1:8" ht="18" customHeight="1" x14ac:dyDescent="0.2">
      <c r="A5" s="1781" t="s">
        <v>1365</v>
      </c>
      <c r="B5" s="1782"/>
      <c r="C5" s="1782"/>
      <c r="D5" s="1782"/>
      <c r="E5" s="1783"/>
    </row>
    <row r="6" spans="1:8" ht="97.5" customHeight="1" x14ac:dyDescent="0.2">
      <c r="A6" s="1725" t="s">
        <v>1366</v>
      </c>
      <c r="B6" s="1726"/>
      <c r="C6" s="1726"/>
      <c r="D6" s="1726"/>
      <c r="E6" s="1727"/>
    </row>
    <row r="7" spans="1:8" ht="18" customHeight="1" thickBot="1" x14ac:dyDescent="0.25">
      <c r="A7" s="1776" t="s">
        <v>1367</v>
      </c>
      <c r="B7" s="1777"/>
      <c r="C7" s="1777"/>
      <c r="D7" s="1777"/>
      <c r="E7" s="1778"/>
    </row>
    <row r="8" spans="1:8" ht="18" customHeight="1" thickBot="1" x14ac:dyDescent="0.25">
      <c r="A8" s="1443"/>
      <c r="B8" s="1443"/>
      <c r="C8" s="1443"/>
      <c r="D8" s="1443"/>
      <c r="E8" s="1443"/>
    </row>
    <row r="9" spans="1:8" ht="18" customHeight="1" x14ac:dyDescent="0.2">
      <c r="A9" s="1781" t="s">
        <v>1368</v>
      </c>
      <c r="B9" s="1782"/>
      <c r="C9" s="1782"/>
      <c r="D9" s="1782"/>
      <c r="E9" s="1783"/>
    </row>
    <row r="10" spans="1:8" ht="63.75" customHeight="1" x14ac:dyDescent="0.2">
      <c r="A10" s="1735" t="s">
        <v>1369</v>
      </c>
      <c r="B10" s="1779"/>
      <c r="C10" s="1779"/>
      <c r="D10" s="1779"/>
      <c r="E10" s="1780"/>
    </row>
    <row r="11" spans="1:8" ht="188.25" customHeight="1" x14ac:dyDescent="0.2">
      <c r="A11" s="1735" t="s">
        <v>1370</v>
      </c>
      <c r="B11" s="1779"/>
      <c r="C11" s="1779"/>
      <c r="D11" s="1779"/>
      <c r="E11" s="1780"/>
    </row>
    <row r="12" spans="1:8" ht="180" customHeight="1" x14ac:dyDescent="0.2">
      <c r="A12" s="1735" t="s">
        <v>1371</v>
      </c>
      <c r="B12" s="1779"/>
      <c r="C12" s="1779"/>
      <c r="D12" s="1779"/>
      <c r="E12" s="1780"/>
    </row>
    <row r="13" spans="1:8" ht="41.25" customHeight="1" x14ac:dyDescent="0.2">
      <c r="A13" s="1735" t="s">
        <v>1372</v>
      </c>
      <c r="B13" s="1779"/>
      <c r="C13" s="1779"/>
      <c r="D13" s="1779"/>
      <c r="E13" s="1780"/>
    </row>
    <row r="14" spans="1:8" ht="193.5" customHeight="1" x14ac:dyDescent="0.2">
      <c r="A14" s="1735" t="s">
        <v>1373</v>
      </c>
      <c r="B14" s="1779"/>
      <c r="C14" s="1779"/>
      <c r="D14" s="1779"/>
      <c r="E14" s="1780"/>
    </row>
    <row r="15" spans="1:8" ht="240" customHeight="1" x14ac:dyDescent="0.2">
      <c r="A15" s="1735" t="s">
        <v>1374</v>
      </c>
      <c r="B15" s="1779"/>
      <c r="C15" s="1779"/>
      <c r="D15" s="1779"/>
      <c r="E15" s="1780"/>
    </row>
    <row r="16" spans="1:8" ht="284.25" customHeight="1" x14ac:dyDescent="0.2">
      <c r="A16" s="1735" t="s">
        <v>1375</v>
      </c>
      <c r="B16" s="1779"/>
      <c r="C16" s="1779"/>
      <c r="D16" s="1779"/>
      <c r="E16" s="1780"/>
    </row>
    <row r="17" spans="1:5" ht="129.75" customHeight="1" thickBot="1" x14ac:dyDescent="0.25">
      <c r="A17" s="1738" t="s">
        <v>1376</v>
      </c>
      <c r="B17" s="1784"/>
      <c r="C17" s="1784"/>
      <c r="D17" s="1784"/>
      <c r="E17" s="1785"/>
    </row>
    <row r="18" spans="1:5" ht="18" customHeight="1" thickBot="1" x14ac:dyDescent="0.25">
      <c r="A18" s="1443"/>
      <c r="B18" s="1443"/>
      <c r="C18" s="1443"/>
      <c r="D18" s="1443"/>
      <c r="E18" s="1443"/>
    </row>
    <row r="19" spans="1:5" ht="18" customHeight="1" x14ac:dyDescent="0.2">
      <c r="A19" s="1781" t="s">
        <v>1377</v>
      </c>
      <c r="B19" s="1782"/>
      <c r="C19" s="1782"/>
      <c r="D19" s="1782"/>
      <c r="E19" s="1783"/>
    </row>
    <row r="20" spans="1:5" ht="117" customHeight="1" x14ac:dyDescent="0.2">
      <c r="A20" s="1735" t="s">
        <v>1378</v>
      </c>
      <c r="B20" s="1779"/>
      <c r="C20" s="1779"/>
      <c r="D20" s="1779"/>
      <c r="E20" s="1780"/>
    </row>
    <row r="21" spans="1:5" ht="18" customHeight="1" x14ac:dyDescent="0.2">
      <c r="A21" s="1786" t="s">
        <v>1379</v>
      </c>
      <c r="B21" s="1787"/>
      <c r="C21" s="1787"/>
      <c r="D21" s="1787"/>
      <c r="E21" s="1788"/>
    </row>
    <row r="22" spans="1:5" ht="340.5" customHeight="1" thickBot="1" x14ac:dyDescent="0.25">
      <c r="A22" s="1789" t="s">
        <v>1380</v>
      </c>
      <c r="B22" s="1790"/>
      <c r="C22" s="1790"/>
      <c r="D22" s="1790"/>
      <c r="E22" s="1791"/>
    </row>
    <row r="23" spans="1:5" ht="18" customHeight="1" thickBot="1" x14ac:dyDescent="0.25">
      <c r="A23" s="1787"/>
      <c r="B23" s="1787"/>
      <c r="C23" s="1787"/>
      <c r="D23" s="1787"/>
      <c r="E23" s="1787"/>
    </row>
    <row r="24" spans="1:5" ht="18" customHeight="1" x14ac:dyDescent="0.2">
      <c r="A24" s="1781" t="s">
        <v>1381</v>
      </c>
      <c r="B24" s="1782"/>
      <c r="C24" s="1782"/>
      <c r="D24" s="1782"/>
      <c r="E24" s="1783"/>
    </row>
    <row r="25" spans="1:5" ht="114" customHeight="1" x14ac:dyDescent="0.2">
      <c r="A25" s="1725" t="s">
        <v>1382</v>
      </c>
      <c r="B25" s="1726"/>
      <c r="C25" s="1726"/>
      <c r="D25" s="1726"/>
      <c r="E25" s="1727"/>
    </row>
    <row r="26" spans="1:5" ht="63" customHeight="1" x14ac:dyDescent="0.2">
      <c r="A26" s="1735" t="s">
        <v>1383</v>
      </c>
      <c r="B26" s="1779"/>
      <c r="C26" s="1779"/>
      <c r="D26" s="1779"/>
      <c r="E26" s="1780"/>
    </row>
    <row r="27" spans="1:5" ht="63.75" customHeight="1" x14ac:dyDescent="0.2">
      <c r="A27" s="1735" t="s">
        <v>1384</v>
      </c>
      <c r="B27" s="1779"/>
      <c r="C27" s="1779"/>
      <c r="D27" s="1779"/>
      <c r="E27" s="1780"/>
    </row>
    <row r="28" spans="1:5" ht="41.25" customHeight="1" x14ac:dyDescent="0.2">
      <c r="A28" s="1735" t="s">
        <v>1385</v>
      </c>
      <c r="B28" s="1779"/>
      <c r="C28" s="1779"/>
      <c r="D28" s="1779"/>
      <c r="E28" s="1780"/>
    </row>
    <row r="29" spans="1:5" ht="52.5" customHeight="1" x14ac:dyDescent="0.2">
      <c r="A29" s="1735" t="s">
        <v>1386</v>
      </c>
      <c r="B29" s="1779"/>
      <c r="C29" s="1779"/>
      <c r="D29" s="1779"/>
      <c r="E29" s="1780"/>
    </row>
    <row r="30" spans="1:5" ht="17.25" customHeight="1" thickBot="1" x14ac:dyDescent="0.25">
      <c r="A30" s="1776" t="s">
        <v>1367</v>
      </c>
      <c r="B30" s="1777"/>
      <c r="C30" s="1777"/>
      <c r="D30" s="1777"/>
      <c r="E30" s="1778"/>
    </row>
    <row r="31" spans="1:5" ht="18" customHeight="1" thickBot="1" x14ac:dyDescent="0.25">
      <c r="A31" s="1443"/>
      <c r="B31" s="1443"/>
      <c r="C31" s="1443"/>
      <c r="D31" s="1443"/>
      <c r="E31" s="1443"/>
    </row>
    <row r="32" spans="1:5" ht="18" customHeight="1" x14ac:dyDescent="0.2">
      <c r="A32" s="1781" t="s">
        <v>1387</v>
      </c>
      <c r="B32" s="1782"/>
      <c r="C32" s="1782"/>
      <c r="D32" s="1782"/>
      <c r="E32" s="1783"/>
    </row>
    <row r="33" spans="1:5" ht="107.25" customHeight="1" thickBot="1" x14ac:dyDescent="0.25">
      <c r="A33" s="1738" t="s">
        <v>1388</v>
      </c>
      <c r="B33" s="1739"/>
      <c r="C33" s="1739"/>
      <c r="D33" s="1739"/>
      <c r="E33" s="1740"/>
    </row>
    <row r="34" spans="1:5" ht="18" customHeight="1" thickBot="1" x14ac:dyDescent="0.25"/>
    <row r="35" spans="1:5" ht="29.25" customHeight="1" x14ac:dyDescent="0.2">
      <c r="A35" s="1773" t="s">
        <v>1389</v>
      </c>
      <c r="B35" s="1774"/>
      <c r="C35" s="1774"/>
      <c r="D35" s="1774"/>
      <c r="E35" s="1775"/>
    </row>
    <row r="36" spans="1:5" ht="183" customHeight="1" x14ac:dyDescent="0.2">
      <c r="A36" s="1735" t="s">
        <v>1390</v>
      </c>
      <c r="B36" s="1736"/>
      <c r="C36" s="1736"/>
      <c r="D36" s="1736"/>
      <c r="E36" s="1737"/>
    </row>
    <row r="37" spans="1:5" ht="27" customHeight="1" x14ac:dyDescent="0.2">
      <c r="A37" s="1735" t="s">
        <v>1391</v>
      </c>
      <c r="B37" s="1736"/>
      <c r="C37" s="1736"/>
      <c r="D37" s="1736"/>
      <c r="E37" s="1737"/>
    </row>
    <row r="38" spans="1:5" ht="18" customHeight="1" thickBot="1" x14ac:dyDescent="0.25">
      <c r="A38" s="1776" t="s">
        <v>1392</v>
      </c>
      <c r="B38" s="1777"/>
      <c r="C38" s="1777"/>
      <c r="D38" s="1777"/>
      <c r="E38" s="1778"/>
    </row>
    <row r="39" spans="1:5" ht="18" customHeight="1" thickBot="1" x14ac:dyDescent="0.25"/>
    <row r="40" spans="1:5" ht="18" customHeight="1" x14ac:dyDescent="0.2">
      <c r="A40" s="1773" t="s">
        <v>1393</v>
      </c>
      <c r="B40" s="1774"/>
      <c r="C40" s="1774"/>
      <c r="D40" s="1774"/>
      <c r="E40" s="1775"/>
    </row>
    <row r="41" spans="1:5" ht="18" customHeight="1" x14ac:dyDescent="0.2">
      <c r="A41" s="1735" t="s">
        <v>1394</v>
      </c>
      <c r="B41" s="1736"/>
      <c r="C41" s="1736"/>
      <c r="D41" s="1736"/>
      <c r="E41" s="1737"/>
    </row>
    <row r="42" spans="1:5" ht="18" customHeight="1" x14ac:dyDescent="0.2">
      <c r="A42" s="1725" t="s">
        <v>1395</v>
      </c>
      <c r="B42" s="1734"/>
      <c r="C42" s="1734"/>
      <c r="D42" s="1734"/>
      <c r="E42" s="1769"/>
    </row>
    <row r="43" spans="1:5" ht="18" customHeight="1" x14ac:dyDescent="0.2">
      <c r="A43" s="1725" t="s">
        <v>1396</v>
      </c>
      <c r="B43" s="1734"/>
      <c r="C43" s="1734"/>
      <c r="D43" s="1734"/>
      <c r="E43" s="1769"/>
    </row>
    <row r="44" spans="1:5" ht="25.5" customHeight="1" x14ac:dyDescent="0.2">
      <c r="A44" s="1725" t="s">
        <v>1397</v>
      </c>
      <c r="B44" s="1734"/>
      <c r="C44" s="1734"/>
      <c r="D44" s="1734"/>
      <c r="E44" s="1769"/>
    </row>
    <row r="45" spans="1:5" ht="68.25" customHeight="1" x14ac:dyDescent="0.2">
      <c r="A45" s="1725" t="s">
        <v>1398</v>
      </c>
      <c r="B45" s="1734"/>
      <c r="C45" s="1734"/>
      <c r="D45" s="1734"/>
      <c r="E45" s="1769"/>
    </row>
    <row r="46" spans="1:5" ht="40.5" customHeight="1" x14ac:dyDescent="0.2">
      <c r="A46" s="1725" t="s">
        <v>1399</v>
      </c>
      <c r="B46" s="1734"/>
      <c r="C46" s="1734"/>
      <c r="D46" s="1734"/>
      <c r="E46" s="1769"/>
    </row>
    <row r="47" spans="1:5" ht="79.5" customHeight="1" x14ac:dyDescent="0.2">
      <c r="A47" s="1725" t="s">
        <v>1400</v>
      </c>
      <c r="B47" s="1734"/>
      <c r="C47" s="1734"/>
      <c r="D47" s="1734"/>
      <c r="E47" s="1769"/>
    </row>
    <row r="48" spans="1:5" ht="28.5" customHeight="1" x14ac:dyDescent="0.2">
      <c r="A48" s="1725" t="s">
        <v>1401</v>
      </c>
      <c r="B48" s="1734"/>
      <c r="C48" s="1734"/>
      <c r="D48" s="1734"/>
      <c r="E48" s="1769"/>
    </row>
    <row r="49" spans="1:5" ht="18" customHeight="1" x14ac:dyDescent="0.2">
      <c r="A49" s="1725" t="s">
        <v>1402</v>
      </c>
      <c r="B49" s="1734"/>
      <c r="C49" s="1734"/>
      <c r="D49" s="1734"/>
      <c r="E49" s="1769"/>
    </row>
    <row r="50" spans="1:5" ht="33.75" customHeight="1" x14ac:dyDescent="0.2">
      <c r="A50" s="1725" t="s">
        <v>1403</v>
      </c>
      <c r="B50" s="1734"/>
      <c r="C50" s="1734"/>
      <c r="D50" s="1734"/>
      <c r="E50" s="1769"/>
    </row>
    <row r="51" spans="1:5" ht="32.25" customHeight="1" x14ac:dyDescent="0.2">
      <c r="A51" s="1725" t="s">
        <v>1404</v>
      </c>
      <c r="B51" s="1734"/>
      <c r="C51" s="1734"/>
      <c r="D51" s="1734"/>
      <c r="E51" s="1769"/>
    </row>
    <row r="52" spans="1:5" ht="54" customHeight="1" x14ac:dyDescent="0.2">
      <c r="A52" s="1725" t="s">
        <v>1405</v>
      </c>
      <c r="B52" s="1734"/>
      <c r="C52" s="1734"/>
      <c r="D52" s="1734"/>
      <c r="E52" s="1769"/>
    </row>
    <row r="53" spans="1:5" ht="18" customHeight="1" x14ac:dyDescent="0.2">
      <c r="A53" s="1725" t="s">
        <v>1406</v>
      </c>
      <c r="B53" s="1734"/>
      <c r="C53" s="1734"/>
      <c r="D53" s="1734"/>
      <c r="E53" s="1769"/>
    </row>
    <row r="54" spans="1:5" ht="28.5" customHeight="1" x14ac:dyDescent="0.2">
      <c r="A54" s="1725" t="s">
        <v>1407</v>
      </c>
      <c r="B54" s="1734"/>
      <c r="C54" s="1734"/>
      <c r="D54" s="1734"/>
      <c r="E54" s="1769"/>
    </row>
    <row r="55" spans="1:5" ht="26.25" customHeight="1" x14ac:dyDescent="0.2">
      <c r="A55" s="1725" t="s">
        <v>1408</v>
      </c>
      <c r="B55" s="1734"/>
      <c r="C55" s="1734"/>
      <c r="D55" s="1734"/>
      <c r="E55" s="1769"/>
    </row>
    <row r="56" spans="1:5" ht="45" customHeight="1" x14ac:dyDescent="0.2">
      <c r="A56" s="1725" t="s">
        <v>1409</v>
      </c>
      <c r="B56" s="1734"/>
      <c r="C56" s="1734"/>
      <c r="D56" s="1734"/>
      <c r="E56" s="1769"/>
    </row>
    <row r="57" spans="1:5" ht="32.25" customHeight="1" x14ac:dyDescent="0.2">
      <c r="A57" s="1725" t="s">
        <v>1410</v>
      </c>
      <c r="B57" s="1734"/>
      <c r="C57" s="1734"/>
      <c r="D57" s="1734"/>
      <c r="E57" s="1769"/>
    </row>
    <row r="58" spans="1:5" ht="30.75" customHeight="1" x14ac:dyDescent="0.2">
      <c r="A58" s="1725" t="s">
        <v>1411</v>
      </c>
      <c r="B58" s="1734"/>
      <c r="C58" s="1734"/>
      <c r="D58" s="1734"/>
      <c r="E58" s="1769"/>
    </row>
    <row r="59" spans="1:5" ht="28.5" customHeight="1" x14ac:dyDescent="0.2">
      <c r="A59" s="1725" t="s">
        <v>1412</v>
      </c>
      <c r="B59" s="1734"/>
      <c r="C59" s="1734"/>
      <c r="D59" s="1734"/>
      <c r="E59" s="1769"/>
    </row>
    <row r="60" spans="1:5" ht="28.5" customHeight="1" x14ac:dyDescent="0.2">
      <c r="A60" s="1725" t="s">
        <v>1413</v>
      </c>
      <c r="B60" s="1734"/>
      <c r="C60" s="1734"/>
      <c r="D60" s="1734"/>
      <c r="E60" s="1769"/>
    </row>
    <row r="61" spans="1:5" ht="18" customHeight="1" x14ac:dyDescent="0.2">
      <c r="A61" s="1725" t="s">
        <v>1414</v>
      </c>
      <c r="B61" s="1734"/>
      <c r="C61" s="1734"/>
      <c r="D61" s="1734"/>
      <c r="E61" s="1769"/>
    </row>
    <row r="62" spans="1:5" ht="30" customHeight="1" x14ac:dyDescent="0.2">
      <c r="A62" s="1725" t="s">
        <v>1415</v>
      </c>
      <c r="B62" s="1734"/>
      <c r="C62" s="1734"/>
      <c r="D62" s="1734"/>
      <c r="E62" s="1769"/>
    </row>
    <row r="63" spans="1:5" ht="18" customHeight="1" x14ac:dyDescent="0.2">
      <c r="A63" s="1725" t="s">
        <v>1416</v>
      </c>
      <c r="B63" s="1734"/>
      <c r="C63" s="1734"/>
      <c r="D63" s="1734"/>
      <c r="E63" s="1769"/>
    </row>
    <row r="64" spans="1:5" ht="39" customHeight="1" x14ac:dyDescent="0.2">
      <c r="A64" s="1725" t="s">
        <v>1417</v>
      </c>
      <c r="B64" s="1734"/>
      <c r="C64" s="1734"/>
      <c r="D64" s="1734"/>
      <c r="E64" s="1769"/>
    </row>
    <row r="65" spans="1:5" ht="28.5" customHeight="1" x14ac:dyDescent="0.2">
      <c r="A65" s="1725" t="s">
        <v>1418</v>
      </c>
      <c r="B65" s="1734"/>
      <c r="C65" s="1734"/>
      <c r="D65" s="1734"/>
      <c r="E65" s="1769"/>
    </row>
    <row r="66" spans="1:5" ht="27.75" customHeight="1" x14ac:dyDescent="0.2">
      <c r="A66" s="1725" t="s">
        <v>1419</v>
      </c>
      <c r="B66" s="1734"/>
      <c r="C66" s="1734"/>
      <c r="D66" s="1734"/>
      <c r="E66" s="1769"/>
    </row>
    <row r="67" spans="1:5" ht="18" customHeight="1" x14ac:dyDescent="0.2">
      <c r="A67" s="1725" t="s">
        <v>1420</v>
      </c>
      <c r="B67" s="1734"/>
      <c r="C67" s="1734"/>
      <c r="D67" s="1734"/>
      <c r="E67" s="1769"/>
    </row>
    <row r="68" spans="1:5" ht="18" customHeight="1" x14ac:dyDescent="0.2">
      <c r="A68" s="1725" t="s">
        <v>1421</v>
      </c>
      <c r="B68" s="1734"/>
      <c r="C68" s="1734"/>
      <c r="D68" s="1734"/>
      <c r="E68" s="1769"/>
    </row>
    <row r="69" spans="1:5" ht="18" customHeight="1" x14ac:dyDescent="0.2">
      <c r="A69" s="1725" t="s">
        <v>1422</v>
      </c>
      <c r="B69" s="1734"/>
      <c r="C69" s="1734"/>
      <c r="D69" s="1734"/>
      <c r="E69" s="1769"/>
    </row>
    <row r="70" spans="1:5" ht="18" customHeight="1" x14ac:dyDescent="0.2">
      <c r="A70" s="1725" t="s">
        <v>1423</v>
      </c>
      <c r="B70" s="1734"/>
      <c r="C70" s="1734"/>
      <c r="D70" s="1734"/>
      <c r="E70" s="1769"/>
    </row>
    <row r="71" spans="1:5" ht="18" customHeight="1" x14ac:dyDescent="0.2">
      <c r="A71" s="1725" t="s">
        <v>1424</v>
      </c>
      <c r="B71" s="1734"/>
      <c r="C71" s="1734"/>
      <c r="D71" s="1734"/>
      <c r="E71" s="1769"/>
    </row>
    <row r="72" spans="1:5" ht="18" customHeight="1" x14ac:dyDescent="0.2">
      <c r="A72" s="1725" t="s">
        <v>1425</v>
      </c>
      <c r="B72" s="1734"/>
      <c r="C72" s="1734"/>
      <c r="D72" s="1734"/>
      <c r="E72" s="1769"/>
    </row>
    <row r="73" spans="1:5" ht="18" customHeight="1" x14ac:dyDescent="0.2">
      <c r="A73" s="1725" t="s">
        <v>1426</v>
      </c>
      <c r="B73" s="1734"/>
      <c r="C73" s="1734"/>
      <c r="D73" s="1734"/>
      <c r="E73" s="1769"/>
    </row>
    <row r="74" spans="1:5" ht="18" customHeight="1" x14ac:dyDescent="0.2">
      <c r="A74" s="1725" t="s">
        <v>1427</v>
      </c>
      <c r="B74" s="1734"/>
      <c r="C74" s="1734"/>
      <c r="D74" s="1734"/>
      <c r="E74" s="1769"/>
    </row>
    <row r="75" spans="1:5" ht="18" customHeight="1" x14ac:dyDescent="0.2">
      <c r="A75" s="1725" t="s">
        <v>1428</v>
      </c>
      <c r="B75" s="1734"/>
      <c r="C75" s="1734"/>
      <c r="D75" s="1734"/>
      <c r="E75" s="1769"/>
    </row>
    <row r="76" spans="1:5" ht="18" customHeight="1" x14ac:dyDescent="0.2">
      <c r="A76" s="1725" t="s">
        <v>1429</v>
      </c>
      <c r="B76" s="1734"/>
      <c r="C76" s="1734"/>
      <c r="D76" s="1734"/>
      <c r="E76" s="1769"/>
    </row>
    <row r="77" spans="1:5" ht="18" customHeight="1" x14ac:dyDescent="0.2">
      <c r="A77" s="1725" t="s">
        <v>1430</v>
      </c>
      <c r="B77" s="1734"/>
      <c r="C77" s="1734"/>
      <c r="D77" s="1734"/>
      <c r="E77" s="1769"/>
    </row>
    <row r="78" spans="1:5" ht="18" customHeight="1" x14ac:dyDescent="0.2">
      <c r="A78" s="1725" t="s">
        <v>1431</v>
      </c>
      <c r="B78" s="1734"/>
      <c r="C78" s="1734"/>
      <c r="D78" s="1734"/>
      <c r="E78" s="1769"/>
    </row>
    <row r="79" spans="1:5" ht="18" customHeight="1" x14ac:dyDescent="0.2">
      <c r="A79" s="1725" t="s">
        <v>1432</v>
      </c>
      <c r="B79" s="1734"/>
      <c r="C79" s="1734"/>
      <c r="D79" s="1734"/>
      <c r="E79" s="1769"/>
    </row>
    <row r="80" spans="1:5" ht="18" customHeight="1" x14ac:dyDescent="0.2">
      <c r="A80" s="1725" t="s">
        <v>1433</v>
      </c>
      <c r="B80" s="1734"/>
      <c r="C80" s="1734"/>
      <c r="D80" s="1734"/>
      <c r="E80" s="1769"/>
    </row>
    <row r="81" spans="1:5" ht="18" customHeight="1" x14ac:dyDescent="0.2">
      <c r="A81" s="1725" t="s">
        <v>1434</v>
      </c>
      <c r="B81" s="1734"/>
      <c r="C81" s="1734"/>
      <c r="D81" s="1734"/>
      <c r="E81" s="1769"/>
    </row>
    <row r="82" spans="1:5" ht="18" customHeight="1" x14ac:dyDescent="0.2">
      <c r="A82" s="1725" t="s">
        <v>1435</v>
      </c>
      <c r="B82" s="1734"/>
      <c r="C82" s="1734"/>
      <c r="D82" s="1734"/>
      <c r="E82" s="1769"/>
    </row>
    <row r="83" spans="1:5" ht="18" customHeight="1" x14ac:dyDescent="0.2">
      <c r="A83" s="1725" t="s">
        <v>1436</v>
      </c>
      <c r="B83" s="1734"/>
      <c r="C83" s="1734"/>
      <c r="D83" s="1734"/>
      <c r="E83" s="1769"/>
    </row>
    <row r="84" spans="1:5" ht="18" customHeight="1" x14ac:dyDescent="0.2">
      <c r="A84" s="1725" t="s">
        <v>1437</v>
      </c>
      <c r="B84" s="1734"/>
      <c r="C84" s="1734"/>
      <c r="D84" s="1734"/>
      <c r="E84" s="1769"/>
    </row>
    <row r="85" spans="1:5" ht="18" customHeight="1" x14ac:dyDescent="0.2">
      <c r="A85" s="1725" t="s">
        <v>1438</v>
      </c>
      <c r="B85" s="1734"/>
      <c r="C85" s="1734"/>
      <c r="D85" s="1734"/>
      <c r="E85" s="1769"/>
    </row>
    <row r="86" spans="1:5" ht="18" customHeight="1" x14ac:dyDescent="0.2">
      <c r="A86" s="1725" t="s">
        <v>1439</v>
      </c>
      <c r="B86" s="1734"/>
      <c r="C86" s="1734"/>
      <c r="D86" s="1734"/>
      <c r="E86" s="1769"/>
    </row>
    <row r="87" spans="1:5" ht="18" customHeight="1" x14ac:dyDescent="0.2">
      <c r="A87" s="396"/>
      <c r="B87" s="395"/>
      <c r="C87" s="395"/>
      <c r="D87" s="395"/>
      <c r="E87" s="397"/>
    </row>
    <row r="88" spans="1:5" ht="40.5" customHeight="1" x14ac:dyDescent="0.2">
      <c r="A88" s="1725" t="s">
        <v>1440</v>
      </c>
      <c r="B88" s="1734"/>
      <c r="C88" s="1734"/>
      <c r="D88" s="1734"/>
      <c r="E88" s="1769"/>
    </row>
    <row r="89" spans="1:5" ht="18" customHeight="1" x14ac:dyDescent="0.2">
      <c r="A89" s="1725" t="s">
        <v>1441</v>
      </c>
      <c r="B89" s="1734"/>
      <c r="C89" s="1734"/>
      <c r="D89" s="1734"/>
      <c r="E89" s="1769"/>
    </row>
    <row r="90" spans="1:5" ht="45.75" customHeight="1" x14ac:dyDescent="0.2">
      <c r="A90" s="1725" t="s">
        <v>1442</v>
      </c>
      <c r="B90" s="1734"/>
      <c r="C90" s="1734"/>
      <c r="D90" s="1734"/>
      <c r="E90" s="1769"/>
    </row>
    <row r="91" spans="1:5" ht="26.25" customHeight="1" x14ac:dyDescent="0.2">
      <c r="A91" s="1725" t="s">
        <v>1443</v>
      </c>
      <c r="B91" s="1734"/>
      <c r="C91" s="1734"/>
      <c r="D91" s="1734"/>
      <c r="E91" s="1769"/>
    </row>
    <row r="92" spans="1:5" ht="18" customHeight="1" x14ac:dyDescent="0.2">
      <c r="A92" s="1725" t="s">
        <v>1444</v>
      </c>
      <c r="B92" s="1734"/>
      <c r="C92" s="1734"/>
      <c r="D92" s="1734"/>
      <c r="E92" s="1769"/>
    </row>
    <row r="93" spans="1:5" ht="29.25" customHeight="1" x14ac:dyDescent="0.2">
      <c r="A93" s="1725" t="s">
        <v>1445</v>
      </c>
      <c r="B93" s="1734"/>
      <c r="C93" s="1734"/>
      <c r="D93" s="1734"/>
      <c r="E93" s="1769"/>
    </row>
    <row r="94" spans="1:5" ht="32.25" customHeight="1" x14ac:dyDescent="0.2">
      <c r="A94" s="1725" t="s">
        <v>1446</v>
      </c>
      <c r="B94" s="1734"/>
      <c r="C94" s="1734"/>
      <c r="D94" s="1734"/>
      <c r="E94" s="1769"/>
    </row>
    <row r="95" spans="1:5" ht="26.25" customHeight="1" x14ac:dyDescent="0.2">
      <c r="A95" s="1725" t="s">
        <v>1447</v>
      </c>
      <c r="B95" s="1734"/>
      <c r="C95" s="1734"/>
      <c r="D95" s="1734"/>
      <c r="E95" s="1769"/>
    </row>
    <row r="96" spans="1:5" ht="45.75" customHeight="1" x14ac:dyDescent="0.2">
      <c r="A96" s="1725" t="s">
        <v>1448</v>
      </c>
      <c r="B96" s="1734"/>
      <c r="C96" s="1734"/>
      <c r="D96" s="1734"/>
      <c r="E96" s="1769"/>
    </row>
    <row r="97" spans="1:5" ht="42.75" customHeight="1" x14ac:dyDescent="0.2">
      <c r="A97" s="1725" t="s">
        <v>1449</v>
      </c>
      <c r="B97" s="1734"/>
      <c r="C97" s="1734"/>
      <c r="D97" s="1734"/>
      <c r="E97" s="1769"/>
    </row>
    <row r="98" spans="1:5" ht="18" customHeight="1" x14ac:dyDescent="0.2">
      <c r="A98" s="1725" t="s">
        <v>1450</v>
      </c>
      <c r="B98" s="1734"/>
      <c r="C98" s="1734"/>
      <c r="D98" s="1734"/>
      <c r="E98" s="1769"/>
    </row>
    <row r="99" spans="1:5" ht="54.75" customHeight="1" x14ac:dyDescent="0.2">
      <c r="A99" s="1725" t="s">
        <v>1451</v>
      </c>
      <c r="B99" s="1734"/>
      <c r="C99" s="1734"/>
      <c r="D99" s="1734"/>
      <c r="E99" s="1769"/>
    </row>
    <row r="100" spans="1:5" ht="18" customHeight="1" thickBot="1" x14ac:dyDescent="0.25">
      <c r="A100" s="1728" t="s">
        <v>1452</v>
      </c>
      <c r="B100" s="1771"/>
      <c r="C100" s="1771"/>
      <c r="D100" s="1771"/>
      <c r="E100" s="1772"/>
    </row>
  </sheetData>
  <mergeCells count="98">
    <mergeCell ref="A6:E6"/>
    <mergeCell ref="A7:E7"/>
    <mergeCell ref="A8:E8"/>
    <mergeCell ref="A5:E5"/>
    <mergeCell ref="A1:A3"/>
    <mergeCell ref="B1:E1"/>
    <mergeCell ref="B2:E2"/>
    <mergeCell ref="B3:C3"/>
    <mergeCell ref="D3:E3"/>
    <mergeCell ref="A9:E9"/>
    <mergeCell ref="A10:E10"/>
    <mergeCell ref="A11:E11"/>
    <mergeCell ref="A18:E18"/>
    <mergeCell ref="A19:E19"/>
    <mergeCell ref="A12:E12"/>
    <mergeCell ref="A23:E23"/>
    <mergeCell ref="A24:E24"/>
    <mergeCell ref="A25:E25"/>
    <mergeCell ref="A30:E30"/>
    <mergeCell ref="A22:E22"/>
    <mergeCell ref="A27:E27"/>
    <mergeCell ref="A28:E28"/>
    <mergeCell ref="A35:E35"/>
    <mergeCell ref="A36:E36"/>
    <mergeCell ref="A37:E37"/>
    <mergeCell ref="A38:E38"/>
    <mergeCell ref="A13:E13"/>
    <mergeCell ref="A31:E31"/>
    <mergeCell ref="A32:E32"/>
    <mergeCell ref="A33:E33"/>
    <mergeCell ref="A29:E29"/>
    <mergeCell ref="A14:E14"/>
    <mergeCell ref="A15:E15"/>
    <mergeCell ref="A17:E17"/>
    <mergeCell ref="A16:E16"/>
    <mergeCell ref="A20:E20"/>
    <mergeCell ref="A21:E21"/>
    <mergeCell ref="A26:E26"/>
    <mergeCell ref="A55:E55"/>
    <mergeCell ref="A56:E56"/>
    <mergeCell ref="A57:E57"/>
    <mergeCell ref="A58:E58"/>
    <mergeCell ref="A59:E59"/>
    <mergeCell ref="A50:E50"/>
    <mergeCell ref="A51:E51"/>
    <mergeCell ref="A52:E52"/>
    <mergeCell ref="A53:E53"/>
    <mergeCell ref="A54:E54"/>
    <mergeCell ref="A40:E40"/>
    <mergeCell ref="A41:E41"/>
    <mergeCell ref="A42:E42"/>
    <mergeCell ref="A43:E43"/>
    <mergeCell ref="A49:E49"/>
    <mergeCell ref="A44:E44"/>
    <mergeCell ref="A45:E45"/>
    <mergeCell ref="A46:E46"/>
    <mergeCell ref="A47:E47"/>
    <mergeCell ref="A48:E48"/>
    <mergeCell ref="A60:E60"/>
    <mergeCell ref="A61:E61"/>
    <mergeCell ref="A62:E62"/>
    <mergeCell ref="A63:E63"/>
    <mergeCell ref="A64:E64"/>
    <mergeCell ref="A65:E65"/>
    <mergeCell ref="A66:E66"/>
    <mergeCell ref="A67:E67"/>
    <mergeCell ref="A68:E68"/>
    <mergeCell ref="A69:E69"/>
    <mergeCell ref="A70:E70"/>
    <mergeCell ref="A71:E71"/>
    <mergeCell ref="A72:E72"/>
    <mergeCell ref="A73:E73"/>
    <mergeCell ref="A74:E74"/>
    <mergeCell ref="A80:E80"/>
    <mergeCell ref="A81:E81"/>
    <mergeCell ref="A82:E82"/>
    <mergeCell ref="A83:E83"/>
    <mergeCell ref="A75:E75"/>
    <mergeCell ref="A76:E76"/>
    <mergeCell ref="A77:E77"/>
    <mergeCell ref="A78:E78"/>
    <mergeCell ref="A79:E79"/>
    <mergeCell ref="A84:E84"/>
    <mergeCell ref="A85:E85"/>
    <mergeCell ref="A86:E86"/>
    <mergeCell ref="A88:E88"/>
    <mergeCell ref="A89:E89"/>
    <mergeCell ref="A90:E90"/>
    <mergeCell ref="A91:E91"/>
    <mergeCell ref="A92:E92"/>
    <mergeCell ref="A93:E93"/>
    <mergeCell ref="A94:E94"/>
    <mergeCell ref="A100:E100"/>
    <mergeCell ref="A95:E95"/>
    <mergeCell ref="A96:E96"/>
    <mergeCell ref="A97:E97"/>
    <mergeCell ref="A98:E98"/>
    <mergeCell ref="A99:E99"/>
  </mergeCells>
  <hyperlinks>
    <hyperlink ref="F1" location="ins" display="Instructivo" xr:uid="{00000000-0004-0000-2100-000000000000}"/>
    <hyperlink ref="F2" location="PC" display="Presupuesto contrato" xr:uid="{00000000-0004-0000-2100-000001000000}"/>
    <hyperlink ref="F3" location="PCV" display="Presupuesto convenio" xr:uid="{00000000-0004-0000-2100-000002000000}"/>
    <hyperlink ref="G1" location="MCOP1" display="Memoria de cálculo opc 1" xr:uid="{00000000-0004-0000-2100-000003000000}"/>
    <hyperlink ref="G2" location="MCCOP2" display="Memoria de cálculo opc 2" xr:uid="{00000000-0004-0000-2100-000004000000}"/>
    <hyperlink ref="G3" location="MCCOP3" display="Memoria de cálculo opc 3" xr:uid="{00000000-0004-0000-2100-000005000000}"/>
    <hyperlink ref="H1" location="gtosadm2" display="Gastos de adm" xr:uid="{00000000-0004-0000-2100-000006000000}"/>
    <hyperlink ref="A21" r:id="rId1" xr:uid="{00000000-0004-0000-2100-000007000000}"/>
  </hyperlinks>
  <printOptions horizontalCentered="1"/>
  <pageMargins left="0" right="0" top="0" bottom="0" header="0" footer="0"/>
  <pageSetup scale="85" fitToHeight="0" orientation="portrait" r:id="rId2"/>
  <drawing r:id="rId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Hoja11">
    <tabColor theme="0" tint="-0.249977111117893"/>
    <pageSetUpPr fitToPage="1"/>
  </sheetPr>
  <dimension ref="A1:G45"/>
  <sheetViews>
    <sheetView showGridLines="0" zoomScaleNormal="100" workbookViewId="0">
      <selection activeCell="A17" sqref="A17:E17"/>
    </sheetView>
  </sheetViews>
  <sheetFormatPr baseColWidth="10" defaultColWidth="18.83203125" defaultRowHeight="18" customHeight="1" x14ac:dyDescent="0.2"/>
  <cols>
    <col min="1" max="5" width="30.83203125" style="13" customWidth="1"/>
    <col min="6" max="6" width="18.83203125" style="13"/>
    <col min="7" max="7" width="25.83203125" style="13" customWidth="1"/>
    <col min="8" max="16384" width="18.83203125" style="13"/>
  </cols>
  <sheetData>
    <row r="1" spans="1:7" ht="18" customHeight="1" x14ac:dyDescent="0.2">
      <c r="A1" s="1798"/>
      <c r="B1" s="1801" t="s">
        <v>0</v>
      </c>
      <c r="C1" s="1801"/>
      <c r="D1" s="1801"/>
      <c r="E1" s="1802"/>
      <c r="F1" s="715" t="s">
        <v>104</v>
      </c>
      <c r="G1" s="720" t="s">
        <v>1453</v>
      </c>
    </row>
    <row r="2" spans="1:7" ht="18" customHeight="1" x14ac:dyDescent="0.2">
      <c r="A2" s="1799"/>
      <c r="B2" s="1803" t="s">
        <v>1454</v>
      </c>
      <c r="C2" s="1803"/>
      <c r="D2" s="1803"/>
      <c r="E2" s="1804"/>
      <c r="G2" s="720" t="s">
        <v>1455</v>
      </c>
    </row>
    <row r="3" spans="1:7" ht="18" customHeight="1" thickBot="1" x14ac:dyDescent="0.25">
      <c r="A3" s="1800"/>
      <c r="B3" s="1805" t="s">
        <v>2</v>
      </c>
      <c r="C3" s="1805"/>
      <c r="D3" s="1805" t="str">
        <f>Instructivo!G3</f>
        <v>VERSIÓN: 04</v>
      </c>
      <c r="E3" s="1806"/>
      <c r="G3" s="720" t="s">
        <v>1456</v>
      </c>
    </row>
    <row r="5" spans="1:7" ht="64.5" customHeight="1" x14ac:dyDescent="0.2">
      <c r="A5" s="1795" t="s">
        <v>1457</v>
      </c>
      <c r="B5" s="1796"/>
      <c r="C5" s="1796"/>
      <c r="D5" s="1796"/>
      <c r="E5" s="1797"/>
    </row>
    <row r="7" spans="1:7" ht="18" customHeight="1" x14ac:dyDescent="0.2">
      <c r="A7" s="1807" t="s">
        <v>1458</v>
      </c>
      <c r="B7" s="1807"/>
      <c r="C7" s="1807"/>
      <c r="D7" s="1807"/>
      <c r="E7" s="1807"/>
    </row>
    <row r="8" spans="1:7" ht="18" customHeight="1" x14ac:dyDescent="0.2">
      <c r="A8" s="1793" t="s">
        <v>1459</v>
      </c>
      <c r="B8" s="1793"/>
      <c r="C8" s="1793"/>
      <c r="D8" s="1793"/>
      <c r="E8" s="1793"/>
    </row>
    <row r="9" spans="1:7" ht="27.75" customHeight="1" x14ac:dyDescent="0.2">
      <c r="A9" s="1793" t="s">
        <v>1460</v>
      </c>
      <c r="B9" s="1793"/>
      <c r="C9" s="1793"/>
      <c r="D9" s="1793"/>
      <c r="E9" s="1793"/>
    </row>
    <row r="10" spans="1:7" ht="39" customHeight="1" x14ac:dyDescent="0.2">
      <c r="A10" s="1793" t="s">
        <v>1461</v>
      </c>
      <c r="B10" s="1793"/>
      <c r="C10" s="1793"/>
      <c r="D10" s="1793"/>
      <c r="E10" s="1793"/>
    </row>
    <row r="11" spans="1:7" ht="26.25" customHeight="1" x14ac:dyDescent="0.2">
      <c r="A11" s="1793" t="s">
        <v>1462</v>
      </c>
      <c r="B11" s="1793"/>
      <c r="C11" s="1793"/>
      <c r="D11" s="1793"/>
      <c r="E11" s="1793"/>
    </row>
    <row r="12" spans="1:7" ht="30.75" customHeight="1" x14ac:dyDescent="0.2">
      <c r="A12" s="1793" t="s">
        <v>1463</v>
      </c>
      <c r="B12" s="1793"/>
      <c r="C12" s="1793"/>
      <c r="D12" s="1793"/>
      <c r="E12" s="1793"/>
    </row>
    <row r="13" spans="1:7" ht="27.75" customHeight="1" x14ac:dyDescent="0.2">
      <c r="A13" s="1793" t="s">
        <v>1464</v>
      </c>
      <c r="B13" s="1793"/>
      <c r="C13" s="1793"/>
      <c r="D13" s="1793"/>
      <c r="E13" s="1793"/>
    </row>
    <row r="14" spans="1:7" ht="54.75" customHeight="1" x14ac:dyDescent="0.2">
      <c r="A14" s="1793" t="s">
        <v>1465</v>
      </c>
      <c r="B14" s="1793"/>
      <c r="C14" s="1793"/>
      <c r="D14" s="1793"/>
      <c r="E14" s="1793"/>
    </row>
    <row r="15" spans="1:7" ht="154.5" customHeight="1" x14ac:dyDescent="0.2">
      <c r="A15" s="1794" t="s">
        <v>1466</v>
      </c>
      <c r="B15" s="1793"/>
      <c r="C15" s="1793"/>
      <c r="D15" s="1793"/>
      <c r="E15" s="1793"/>
    </row>
    <row r="16" spans="1:7" ht="18" customHeight="1" x14ac:dyDescent="0.2">
      <c r="A16" s="31"/>
      <c r="B16" s="31"/>
      <c r="C16" s="31"/>
      <c r="D16" s="31"/>
      <c r="E16" s="31"/>
    </row>
    <row r="17" spans="1:5" ht="18" customHeight="1" x14ac:dyDescent="0.2">
      <c r="A17" s="1807" t="s">
        <v>1467</v>
      </c>
      <c r="B17" s="1807"/>
      <c r="C17" s="1807"/>
      <c r="D17" s="1807"/>
      <c r="E17" s="1807"/>
    </row>
    <row r="18" spans="1:5" ht="18" customHeight="1" x14ac:dyDescent="0.2">
      <c r="A18" s="1794" t="s">
        <v>1468</v>
      </c>
      <c r="B18" s="1793"/>
      <c r="C18" s="1793"/>
      <c r="D18" s="1793"/>
      <c r="E18" s="1793"/>
    </row>
    <row r="19" spans="1:5" ht="60.75" customHeight="1" x14ac:dyDescent="0.2">
      <c r="A19" s="1794" t="s">
        <v>1469</v>
      </c>
      <c r="B19" s="1793"/>
      <c r="C19" s="1793"/>
      <c r="D19" s="1793"/>
      <c r="E19" s="1793"/>
    </row>
    <row r="20" spans="1:5" ht="29.25" customHeight="1" x14ac:dyDescent="0.2">
      <c r="A20" s="1793" t="s">
        <v>1470</v>
      </c>
      <c r="B20" s="1793"/>
      <c r="C20" s="1793"/>
      <c r="D20" s="1793"/>
      <c r="E20" s="1793"/>
    </row>
    <row r="21" spans="1:5" ht="27.75" customHeight="1" x14ac:dyDescent="0.2">
      <c r="A21" s="1793" t="s">
        <v>1471</v>
      </c>
      <c r="B21" s="1793"/>
      <c r="C21" s="1793"/>
      <c r="D21" s="1793"/>
      <c r="E21" s="1793"/>
    </row>
    <row r="22" spans="1:5" ht="28.5" customHeight="1" x14ac:dyDescent="0.2">
      <c r="A22" s="1793" t="s">
        <v>1472</v>
      </c>
      <c r="B22" s="1793"/>
      <c r="C22" s="1793"/>
      <c r="D22" s="1793"/>
      <c r="E22" s="1793"/>
    </row>
    <row r="23" spans="1:5" ht="42" customHeight="1" x14ac:dyDescent="0.2">
      <c r="A23" s="1793" t="s">
        <v>1473</v>
      </c>
      <c r="B23" s="1793"/>
      <c r="C23" s="1793"/>
      <c r="D23" s="1793"/>
      <c r="E23" s="1793"/>
    </row>
    <row r="24" spans="1:5" ht="27" customHeight="1" x14ac:dyDescent="0.2">
      <c r="A24" s="1793" t="s">
        <v>1472</v>
      </c>
      <c r="B24" s="1793"/>
      <c r="C24" s="1793"/>
      <c r="D24" s="1793"/>
      <c r="E24" s="1793"/>
    </row>
    <row r="25" spans="1:5" ht="18" customHeight="1" x14ac:dyDescent="0.2">
      <c r="A25" s="1793" t="s">
        <v>1474</v>
      </c>
      <c r="B25" s="1793"/>
      <c r="C25" s="1793"/>
      <c r="D25" s="1793"/>
      <c r="E25" s="1793"/>
    </row>
    <row r="26" spans="1:5" ht="27.75" customHeight="1" x14ac:dyDescent="0.2">
      <c r="A26" s="1793" t="s">
        <v>1475</v>
      </c>
      <c r="B26" s="1793"/>
      <c r="C26" s="1793"/>
      <c r="D26" s="1793"/>
      <c r="E26" s="1793"/>
    </row>
    <row r="27" spans="1:5" ht="18" customHeight="1" x14ac:dyDescent="0.2">
      <c r="A27" s="1793" t="s">
        <v>1476</v>
      </c>
      <c r="B27" s="1793"/>
      <c r="C27" s="1793"/>
      <c r="D27" s="1793"/>
      <c r="E27" s="1793"/>
    </row>
    <row r="28" spans="1:5" ht="18" customHeight="1" x14ac:dyDescent="0.2">
      <c r="A28" s="1793" t="s">
        <v>1477</v>
      </c>
      <c r="B28" s="1793"/>
      <c r="C28" s="1793"/>
      <c r="D28" s="1793"/>
      <c r="E28" s="1793"/>
    </row>
    <row r="29" spans="1:5" ht="18" customHeight="1" x14ac:dyDescent="0.2">
      <c r="A29" s="1793" t="s">
        <v>1478</v>
      </c>
      <c r="B29" s="1793"/>
      <c r="C29" s="1793"/>
      <c r="D29" s="1793"/>
      <c r="E29" s="1793"/>
    </row>
    <row r="30" spans="1:5" ht="54.75" customHeight="1" x14ac:dyDescent="0.2">
      <c r="A30" s="1793" t="s">
        <v>1479</v>
      </c>
      <c r="B30" s="1793"/>
      <c r="C30" s="1793"/>
      <c r="D30" s="1793"/>
      <c r="E30" s="1793"/>
    </row>
    <row r="31" spans="1:5" ht="52.5" customHeight="1" x14ac:dyDescent="0.2">
      <c r="A31" s="1793" t="s">
        <v>1480</v>
      </c>
      <c r="B31" s="1793"/>
      <c r="C31" s="1793"/>
      <c r="D31" s="1793"/>
      <c r="E31" s="1793"/>
    </row>
    <row r="32" spans="1:5" ht="29.25" customHeight="1" x14ac:dyDescent="0.2">
      <c r="A32" s="1793" t="s">
        <v>1481</v>
      </c>
      <c r="B32" s="1793"/>
      <c r="C32" s="1793"/>
      <c r="D32" s="1793"/>
      <c r="E32" s="1793"/>
    </row>
    <row r="33" spans="1:5" ht="51.75" customHeight="1" x14ac:dyDescent="0.2">
      <c r="A33" s="1793" t="s">
        <v>1482</v>
      </c>
      <c r="B33" s="1793"/>
      <c r="C33" s="1793"/>
      <c r="D33" s="1793"/>
      <c r="E33" s="1793"/>
    </row>
    <row r="34" spans="1:5" ht="67.5" customHeight="1" x14ac:dyDescent="0.2">
      <c r="A34" s="1793" t="s">
        <v>1483</v>
      </c>
      <c r="B34" s="1793"/>
      <c r="C34" s="1793"/>
      <c r="D34" s="1793"/>
      <c r="E34" s="1793"/>
    </row>
    <row r="35" spans="1:5" ht="33" customHeight="1" x14ac:dyDescent="0.2">
      <c r="A35" s="1794" t="s">
        <v>1484</v>
      </c>
      <c r="B35" s="1794"/>
      <c r="C35" s="1794"/>
      <c r="D35" s="1794"/>
      <c r="E35" s="1794"/>
    </row>
    <row r="36" spans="1:5" ht="30" customHeight="1" x14ac:dyDescent="0.2">
      <c r="A36" s="1794" t="s">
        <v>1485</v>
      </c>
      <c r="B36" s="1794"/>
      <c r="C36" s="1794"/>
      <c r="D36" s="1794"/>
      <c r="E36" s="1794"/>
    </row>
    <row r="37" spans="1:5" ht="18" customHeight="1" x14ac:dyDescent="0.2">
      <c r="A37" s="31"/>
      <c r="B37" s="31"/>
      <c r="C37" s="31"/>
      <c r="D37" s="31"/>
      <c r="E37" s="31"/>
    </row>
    <row r="38" spans="1:5" ht="18" customHeight="1" x14ac:dyDescent="0.2">
      <c r="A38" s="1807" t="s">
        <v>1486</v>
      </c>
      <c r="B38" s="1807"/>
      <c r="C38" s="1807"/>
      <c r="D38" s="1807"/>
      <c r="E38" s="1807"/>
    </row>
    <row r="39" spans="1:5" ht="40.5" customHeight="1" x14ac:dyDescent="0.2">
      <c r="A39" s="1793" t="s">
        <v>1487</v>
      </c>
      <c r="B39" s="1793"/>
      <c r="C39" s="1793"/>
      <c r="D39" s="1793"/>
      <c r="E39" s="1793"/>
    </row>
    <row r="40" spans="1:5" ht="17.25" customHeight="1" x14ac:dyDescent="0.2">
      <c r="A40" s="1793" t="s">
        <v>1488</v>
      </c>
      <c r="B40" s="1793"/>
      <c r="C40" s="1793"/>
      <c r="D40" s="1793"/>
      <c r="E40" s="1793"/>
    </row>
    <row r="41" spans="1:5" ht="26.25" customHeight="1" x14ac:dyDescent="0.2"/>
    <row r="43" spans="1:5" ht="16.5" customHeight="1" x14ac:dyDescent="0.2"/>
    <row r="44" spans="1:5" ht="22.5" customHeight="1" x14ac:dyDescent="0.2"/>
    <row r="45" spans="1:5" ht="13.5" customHeight="1" x14ac:dyDescent="0.2"/>
  </sheetData>
  <mergeCells count="38">
    <mergeCell ref="A17:E17"/>
    <mergeCell ref="A38:E38"/>
    <mergeCell ref="A30:E30"/>
    <mergeCell ref="A34:E34"/>
    <mergeCell ref="A31:E31"/>
    <mergeCell ref="A28:E28"/>
    <mergeCell ref="A26:E26"/>
    <mergeCell ref="A20:E20"/>
    <mergeCell ref="A27:E27"/>
    <mergeCell ref="A29:E29"/>
    <mergeCell ref="A22:E22"/>
    <mergeCell ref="A39:E39"/>
    <mergeCell ref="A18:E18"/>
    <mergeCell ref="A40:E40"/>
    <mergeCell ref="A25:E25"/>
    <mergeCell ref="A33:E33"/>
    <mergeCell ref="A23:E23"/>
    <mergeCell ref="A21:E21"/>
    <mergeCell ref="A24:E24"/>
    <mergeCell ref="A32:E32"/>
    <mergeCell ref="A35:E35"/>
    <mergeCell ref="A36:E36"/>
    <mergeCell ref="A8:E8"/>
    <mergeCell ref="A19:E19"/>
    <mergeCell ref="A5:E5"/>
    <mergeCell ref="A1:A3"/>
    <mergeCell ref="B1:E1"/>
    <mergeCell ref="B2:E2"/>
    <mergeCell ref="B3:C3"/>
    <mergeCell ref="D3:E3"/>
    <mergeCell ref="A9:E9"/>
    <mergeCell ref="A11:E11"/>
    <mergeCell ref="A7:E7"/>
    <mergeCell ref="A14:E14"/>
    <mergeCell ref="A13:E13"/>
    <mergeCell ref="A10:E10"/>
    <mergeCell ref="A12:E12"/>
    <mergeCell ref="A15:E15"/>
  </mergeCells>
  <hyperlinks>
    <hyperlink ref="F1" location="ins" display="Instructivo" xr:uid="{00000000-0004-0000-2200-000000000000}"/>
    <hyperlink ref="G1" location="ppta" display="Propuesta económica Opc 1" xr:uid="{00000000-0004-0000-2200-000001000000}"/>
    <hyperlink ref="G2" location="PPTA2" display="Propuesta económica Opc 2" xr:uid="{00000000-0004-0000-2200-000002000000}"/>
    <hyperlink ref="G3" location="ppta3" display="Propuesta económica Opc 3" xr:uid="{00000000-0004-0000-2200-000003000000}"/>
  </hyperlinks>
  <printOptions horizontalCentered="1"/>
  <pageMargins left="0" right="0" top="0" bottom="0" header="0" footer="0"/>
  <pageSetup scale="98" fitToHeight="0" orientation="landscape"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Hoja36">
    <tabColor theme="0" tint="-0.249977111117893"/>
    <pageSetUpPr fitToPage="1"/>
  </sheetPr>
  <dimension ref="A1:AX42"/>
  <sheetViews>
    <sheetView showGridLines="0" zoomScaleNormal="100" workbookViewId="0">
      <selection activeCell="A17" sqref="A17:E17"/>
    </sheetView>
  </sheetViews>
  <sheetFormatPr baseColWidth="10" defaultColWidth="11.5" defaultRowHeight="18" customHeight="1" x14ac:dyDescent="0.2"/>
  <cols>
    <col min="1" max="1" width="24.33203125" style="205" customWidth="1"/>
    <col min="2" max="2" width="47.1640625" style="205" customWidth="1"/>
    <col min="3" max="3" width="17.33203125" style="205" customWidth="1"/>
    <col min="4" max="4" width="18.6640625" style="205" customWidth="1"/>
    <col min="5" max="5" width="6.33203125" style="213" customWidth="1"/>
    <col min="6" max="6" width="16.83203125" style="204" customWidth="1"/>
    <col min="7" max="50" width="11.5" style="204"/>
    <col min="51" max="16384" width="11.5" style="205"/>
  </cols>
  <sheetData>
    <row r="1" spans="1:7" s="204" customFormat="1" ht="18" customHeight="1" x14ac:dyDescent="0.2">
      <c r="A1" s="1615"/>
      <c r="B1" s="1430" t="s">
        <v>0</v>
      </c>
      <c r="C1" s="1430"/>
      <c r="D1" s="1430"/>
      <c r="E1" s="1431"/>
      <c r="F1" s="375" t="s">
        <v>104</v>
      </c>
      <c r="G1" s="62"/>
    </row>
    <row r="2" spans="1:7" s="204" customFormat="1" ht="18" customHeight="1" x14ac:dyDescent="0.2">
      <c r="A2" s="1617"/>
      <c r="B2" s="1702" t="s">
        <v>1489</v>
      </c>
      <c r="C2" s="1792"/>
      <c r="D2" s="1792"/>
      <c r="E2" s="1703"/>
      <c r="F2" s="375" t="s">
        <v>76</v>
      </c>
    </row>
    <row r="3" spans="1:7" s="204" customFormat="1" ht="18" customHeight="1" thickBot="1" x14ac:dyDescent="0.25">
      <c r="A3" s="1619"/>
      <c r="B3" s="1139" t="s">
        <v>2</v>
      </c>
      <c r="C3" s="1139"/>
      <c r="D3" s="1139" t="str">
        <f>Instructivo!G3</f>
        <v>VERSIÓN: 04</v>
      </c>
      <c r="E3" s="1182"/>
    </row>
    <row r="4" spans="1:7" s="204" customFormat="1" ht="18" customHeight="1" x14ac:dyDescent="0.2">
      <c r="A4" s="241"/>
      <c r="B4" s="67"/>
      <c r="C4" s="67"/>
      <c r="D4" s="67"/>
      <c r="E4" s="67"/>
    </row>
    <row r="5" spans="1:7" s="204" customFormat="1" ht="18" customHeight="1" x14ac:dyDescent="0.2">
      <c r="A5" s="1450" t="s">
        <v>1490</v>
      </c>
      <c r="B5" s="1450"/>
      <c r="C5" s="1450"/>
      <c r="D5" s="1450"/>
      <c r="E5" s="1450"/>
    </row>
    <row r="6" spans="1:7" s="204" customFormat="1" ht="18" customHeight="1" x14ac:dyDescent="0.2">
      <c r="E6" s="206"/>
    </row>
    <row r="7" spans="1:7" s="204" customFormat="1" ht="18" customHeight="1" x14ac:dyDescent="0.2">
      <c r="A7" s="1450" t="s">
        <v>1491</v>
      </c>
      <c r="B7" s="1450"/>
      <c r="C7" s="1450"/>
      <c r="D7" s="1450"/>
      <c r="E7" s="1450"/>
    </row>
    <row r="8" spans="1:7" s="204" customFormat="1" ht="25.5" customHeight="1" x14ac:dyDescent="0.2">
      <c r="A8" s="393" t="s">
        <v>1492</v>
      </c>
      <c r="B8" s="1808" t="s">
        <v>1493</v>
      </c>
      <c r="C8" s="1808"/>
      <c r="D8" s="1808"/>
      <c r="E8" s="1808"/>
    </row>
    <row r="9" spans="1:7" s="204" customFormat="1" ht="32.25" customHeight="1" x14ac:dyDescent="0.2">
      <c r="A9" s="394" t="s">
        <v>1494</v>
      </c>
      <c r="B9" s="1809" t="s">
        <v>1495</v>
      </c>
      <c r="C9" s="1809"/>
      <c r="D9" s="1809"/>
      <c r="E9" s="1809"/>
    </row>
    <row r="10" spans="1:7" ht="30.75" customHeight="1" x14ac:dyDescent="0.2">
      <c r="A10" s="394" t="s">
        <v>1496</v>
      </c>
      <c r="B10" s="1809" t="s">
        <v>1497</v>
      </c>
      <c r="C10" s="1809"/>
      <c r="D10" s="1809"/>
      <c r="E10" s="1809"/>
    </row>
    <row r="11" spans="1:7" ht="68.25" customHeight="1" x14ac:dyDescent="0.2">
      <c r="A11" s="394" t="s">
        <v>1498</v>
      </c>
      <c r="B11" s="1809" t="s">
        <v>1499</v>
      </c>
      <c r="C11" s="1809"/>
      <c r="D11" s="1809"/>
      <c r="E11" s="1809"/>
    </row>
    <row r="12" spans="1:7" ht="18" customHeight="1" x14ac:dyDescent="0.2">
      <c r="A12" s="391"/>
      <c r="B12" s="391"/>
      <c r="C12" s="391"/>
      <c r="D12" s="391"/>
      <c r="E12" s="392"/>
    </row>
    <row r="13" spans="1:7" ht="18" customHeight="1" x14ac:dyDescent="0.2">
      <c r="A13" s="1810" t="s">
        <v>1500</v>
      </c>
      <c r="B13" s="1810"/>
      <c r="C13" s="1810"/>
      <c r="D13" s="1810"/>
      <c r="E13" s="1810"/>
    </row>
    <row r="14" spans="1:7" ht="27.75" customHeight="1" x14ac:dyDescent="0.2">
      <c r="A14" s="393" t="s">
        <v>1492</v>
      </c>
      <c r="B14" s="1808" t="s">
        <v>1493</v>
      </c>
      <c r="C14" s="1808"/>
      <c r="D14" s="1808"/>
      <c r="E14" s="1808"/>
    </row>
    <row r="15" spans="1:7" ht="40.5" customHeight="1" x14ac:dyDescent="0.2">
      <c r="A15" s="394" t="s">
        <v>1501</v>
      </c>
      <c r="B15" s="1809" t="s">
        <v>1502</v>
      </c>
      <c r="C15" s="1809"/>
      <c r="D15" s="1809"/>
      <c r="E15" s="1809"/>
    </row>
    <row r="16" spans="1:7" ht="39.75" customHeight="1" x14ac:dyDescent="0.2">
      <c r="A16" s="394" t="s">
        <v>1503</v>
      </c>
      <c r="B16" s="1809" t="s">
        <v>1504</v>
      </c>
      <c r="C16" s="1809"/>
      <c r="D16" s="1809"/>
      <c r="E16" s="1809"/>
    </row>
    <row r="17" spans="1:5" ht="18" customHeight="1" x14ac:dyDescent="0.2">
      <c r="A17" s="391"/>
      <c r="B17" s="391"/>
      <c r="C17" s="391"/>
      <c r="D17" s="391"/>
      <c r="E17" s="392"/>
    </row>
    <row r="18" spans="1:5" ht="18" customHeight="1" x14ac:dyDescent="0.2">
      <c r="A18" s="1811" t="s">
        <v>1505</v>
      </c>
      <c r="B18" s="1811"/>
      <c r="C18" s="1811"/>
      <c r="D18" s="1811"/>
      <c r="E18" s="1811"/>
    </row>
    <row r="19" spans="1:5" ht="15.75" customHeight="1" x14ac:dyDescent="0.2">
      <c r="A19" s="1812" t="s">
        <v>1506</v>
      </c>
      <c r="B19" s="1813"/>
      <c r="C19" s="1813"/>
      <c r="D19" s="1813"/>
      <c r="E19" s="1814"/>
    </row>
    <row r="20" spans="1:5" ht="156" customHeight="1" x14ac:dyDescent="0.2">
      <c r="A20" s="1815" t="s">
        <v>1507</v>
      </c>
      <c r="B20" s="1816"/>
      <c r="C20" s="1816"/>
      <c r="D20" s="1816"/>
      <c r="E20" s="1817"/>
    </row>
    <row r="21" spans="1:5" ht="198" customHeight="1" x14ac:dyDescent="0.2">
      <c r="A21" s="1815" t="s">
        <v>1508</v>
      </c>
      <c r="B21" s="1816"/>
      <c r="C21" s="1816"/>
      <c r="D21" s="1816"/>
      <c r="E21" s="1817"/>
    </row>
    <row r="22" spans="1:5" ht="116.25" customHeight="1" x14ac:dyDescent="0.2">
      <c r="A22" s="1815" t="s">
        <v>1509</v>
      </c>
      <c r="B22" s="1816"/>
      <c r="C22" s="1816"/>
      <c r="D22" s="1816"/>
      <c r="E22" s="1817"/>
    </row>
    <row r="23" spans="1:5" ht="186" customHeight="1" x14ac:dyDescent="0.2">
      <c r="A23" s="1815" t="s">
        <v>1510</v>
      </c>
      <c r="B23" s="1816"/>
      <c r="C23" s="1816"/>
      <c r="D23" s="1816"/>
      <c r="E23" s="1817"/>
    </row>
    <row r="24" spans="1:5" ht="135" customHeight="1" x14ac:dyDescent="0.2">
      <c r="A24" s="1815" t="s">
        <v>1511</v>
      </c>
      <c r="B24" s="1816"/>
      <c r="C24" s="1816"/>
      <c r="D24" s="1816"/>
      <c r="E24" s="1817"/>
    </row>
    <row r="25" spans="1:5" ht="171" customHeight="1" x14ac:dyDescent="0.2">
      <c r="A25" s="1815" t="s">
        <v>1512</v>
      </c>
      <c r="B25" s="1816"/>
      <c r="C25" s="1816"/>
      <c r="D25" s="1816"/>
      <c r="E25" s="1817"/>
    </row>
    <row r="26" spans="1:5" ht="83.25" customHeight="1" x14ac:dyDescent="0.2">
      <c r="A26" s="1818" t="s">
        <v>1513</v>
      </c>
      <c r="B26" s="1819"/>
      <c r="C26" s="1819"/>
      <c r="D26" s="1819"/>
      <c r="E26" s="1820"/>
    </row>
    <row r="28" spans="1:5" ht="18" customHeight="1" x14ac:dyDescent="0.2">
      <c r="A28" s="1450" t="s">
        <v>1514</v>
      </c>
      <c r="B28" s="1450"/>
      <c r="C28" s="1450"/>
      <c r="D28" s="1450"/>
      <c r="E28" s="1450"/>
    </row>
    <row r="29" spans="1:5" ht="27" customHeight="1" x14ac:dyDescent="0.2">
      <c r="A29" s="393" t="s">
        <v>1492</v>
      </c>
      <c r="B29" s="1808" t="s">
        <v>1493</v>
      </c>
      <c r="C29" s="1808"/>
      <c r="D29" s="1808"/>
      <c r="E29" s="1808"/>
    </row>
    <row r="30" spans="1:5" ht="32.25" customHeight="1" x14ac:dyDescent="0.2">
      <c r="A30" s="394" t="s">
        <v>1494</v>
      </c>
      <c r="B30" s="1809" t="s">
        <v>1495</v>
      </c>
      <c r="C30" s="1809"/>
      <c r="D30" s="1809"/>
      <c r="E30" s="1809"/>
    </row>
    <row r="31" spans="1:5" ht="32.25" customHeight="1" x14ac:dyDescent="0.2">
      <c r="A31" s="394" t="s">
        <v>1496</v>
      </c>
      <c r="B31" s="1809" t="s">
        <v>1515</v>
      </c>
      <c r="C31" s="1809"/>
      <c r="D31" s="1809"/>
      <c r="E31" s="1809"/>
    </row>
    <row r="32" spans="1:5" ht="79.5" customHeight="1" x14ac:dyDescent="0.2">
      <c r="A32" s="394" t="s">
        <v>1498</v>
      </c>
      <c r="B32" s="1809" t="s">
        <v>1516</v>
      </c>
      <c r="C32" s="1809"/>
      <c r="D32" s="1809"/>
      <c r="E32" s="1809"/>
    </row>
    <row r="33" spans="1:5" ht="18" customHeight="1" x14ac:dyDescent="0.2">
      <c r="A33" s="391"/>
      <c r="B33" s="391"/>
      <c r="C33" s="391"/>
      <c r="D33" s="391"/>
      <c r="E33" s="392"/>
    </row>
    <row r="34" spans="1:5" ht="18" customHeight="1" x14ac:dyDescent="0.2">
      <c r="A34" s="1810" t="s">
        <v>1517</v>
      </c>
      <c r="B34" s="1810"/>
      <c r="C34" s="1810"/>
      <c r="D34" s="1810"/>
      <c r="E34" s="1810"/>
    </row>
    <row r="35" spans="1:5" ht="27" customHeight="1" x14ac:dyDescent="0.2">
      <c r="A35" s="393" t="s">
        <v>1492</v>
      </c>
      <c r="B35" s="1808" t="s">
        <v>1493</v>
      </c>
      <c r="C35" s="1808"/>
      <c r="D35" s="1808"/>
      <c r="E35" s="1808"/>
    </row>
    <row r="36" spans="1:5" ht="43.5" customHeight="1" x14ac:dyDescent="0.2">
      <c r="A36" s="394" t="s">
        <v>1501</v>
      </c>
      <c r="B36" s="1809" t="s">
        <v>1518</v>
      </c>
      <c r="C36" s="1809"/>
      <c r="D36" s="1809"/>
      <c r="E36" s="1809"/>
    </row>
    <row r="37" spans="1:5" ht="43.5" customHeight="1" x14ac:dyDescent="0.2">
      <c r="A37" s="394" t="s">
        <v>1503</v>
      </c>
      <c r="B37" s="1809" t="s">
        <v>1519</v>
      </c>
      <c r="C37" s="1809"/>
      <c r="D37" s="1809"/>
      <c r="E37" s="1809"/>
    </row>
    <row r="39" spans="1:5" ht="32.25" customHeight="1" x14ac:dyDescent="0.2">
      <c r="A39" s="1821" t="s">
        <v>1520</v>
      </c>
      <c r="B39" s="1821"/>
      <c r="C39" s="1821"/>
      <c r="D39" s="1821"/>
      <c r="E39" s="1821"/>
    </row>
    <row r="41" spans="1:5" ht="272.25" customHeight="1" x14ac:dyDescent="0.2">
      <c r="A41" s="1822" t="s">
        <v>1521</v>
      </c>
      <c r="B41" s="1823"/>
      <c r="C41" s="1823"/>
      <c r="D41" s="1823"/>
      <c r="E41" s="1824"/>
    </row>
    <row r="42" spans="1:5" ht="105.75" customHeight="1" x14ac:dyDescent="0.2">
      <c r="A42" s="1825" t="s">
        <v>1522</v>
      </c>
      <c r="B42" s="1826"/>
      <c r="C42" s="1826"/>
      <c r="D42" s="1826"/>
      <c r="E42" s="1827"/>
    </row>
  </sheetData>
  <mergeCells count="36">
    <mergeCell ref="B31:E31"/>
    <mergeCell ref="A39:E39"/>
    <mergeCell ref="A41:E41"/>
    <mergeCell ref="A42:E42"/>
    <mergeCell ref="B37:E37"/>
    <mergeCell ref="B32:E32"/>
    <mergeCell ref="A34:E34"/>
    <mergeCell ref="B35:E35"/>
    <mergeCell ref="B36:E36"/>
    <mergeCell ref="A18:E18"/>
    <mergeCell ref="A19:E19"/>
    <mergeCell ref="A28:E28"/>
    <mergeCell ref="B29:E29"/>
    <mergeCell ref="B30:E30"/>
    <mergeCell ref="A24:E24"/>
    <mergeCell ref="A25:E25"/>
    <mergeCell ref="A20:E20"/>
    <mergeCell ref="A23:E23"/>
    <mergeCell ref="A22:E22"/>
    <mergeCell ref="A21:E21"/>
    <mergeCell ref="A26:E26"/>
    <mergeCell ref="B14:E14"/>
    <mergeCell ref="B15:E15"/>
    <mergeCell ref="B16:E16"/>
    <mergeCell ref="A13:E13"/>
    <mergeCell ref="A1:A3"/>
    <mergeCell ref="B1:E1"/>
    <mergeCell ref="B2:E2"/>
    <mergeCell ref="B3:C3"/>
    <mergeCell ref="D3:E3"/>
    <mergeCell ref="A7:E7"/>
    <mergeCell ref="B8:E8"/>
    <mergeCell ref="B9:E9"/>
    <mergeCell ref="B10:E10"/>
    <mergeCell ref="B11:E11"/>
    <mergeCell ref="A5:E5"/>
  </mergeCells>
  <hyperlinks>
    <hyperlink ref="F1" location="ins" display="Instructivo" xr:uid="{00000000-0004-0000-2300-000000000000}"/>
    <hyperlink ref="F2" location="evafin" display="Verificación de requisitos habilitantes de los proponentes sobre capacidad financiera y organizacional" xr:uid="{00000000-0004-0000-2300-000001000000}"/>
  </hyperlinks>
  <printOptions horizontalCentered="1"/>
  <pageMargins left="0" right="0" top="0" bottom="0" header="0" footer="0"/>
  <pageSetup fitToHeight="0" orientation="landscape"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11C91-66E2-4C6E-A182-8B9D0D4E246A}">
  <sheetPr codeName="Hoja39">
    <tabColor theme="1" tint="0.499984740745262"/>
  </sheetPr>
  <dimension ref="A1:D51"/>
  <sheetViews>
    <sheetView showGridLines="0" zoomScaleNormal="100" workbookViewId="0">
      <selection activeCell="A17" sqref="A17:E17"/>
    </sheetView>
  </sheetViews>
  <sheetFormatPr baseColWidth="10" defaultColWidth="12" defaultRowHeight="20.100000000000001" customHeight="1" x14ac:dyDescent="0.2"/>
  <cols>
    <col min="1" max="1" width="32.33203125" style="71" customWidth="1"/>
    <col min="2" max="2" width="25.1640625" style="71" customWidth="1"/>
    <col min="3" max="3" width="15" style="71" customWidth="1"/>
    <col min="4" max="4" width="25" style="71" customWidth="1"/>
    <col min="5" max="6" width="12" style="71"/>
    <col min="7" max="7" width="15" style="71" bestFit="1" customWidth="1"/>
    <col min="8" max="202" width="12" style="71"/>
    <col min="203" max="203" width="36.33203125" style="71" customWidth="1"/>
    <col min="204" max="204" width="22.33203125" style="71" customWidth="1"/>
    <col min="205" max="205" width="12" style="71"/>
    <col min="206" max="206" width="14.33203125" style="71" customWidth="1"/>
    <col min="207" max="458" width="12" style="71"/>
    <col min="459" max="459" width="36.33203125" style="71" customWidth="1"/>
    <col min="460" max="460" width="22.33203125" style="71" customWidth="1"/>
    <col min="461" max="461" width="12" style="71"/>
    <col min="462" max="462" width="14.33203125" style="71" customWidth="1"/>
    <col min="463" max="714" width="12" style="71"/>
    <col min="715" max="715" width="36.33203125" style="71" customWidth="1"/>
    <col min="716" max="716" width="22.33203125" style="71" customWidth="1"/>
    <col min="717" max="717" width="12" style="71"/>
    <col min="718" max="718" width="14.33203125" style="71" customWidth="1"/>
    <col min="719" max="970" width="12" style="71"/>
    <col min="971" max="971" width="36.33203125" style="71" customWidth="1"/>
    <col min="972" max="972" width="22.33203125" style="71" customWidth="1"/>
    <col min="973" max="973" width="12" style="71"/>
    <col min="974" max="974" width="14.33203125" style="71" customWidth="1"/>
    <col min="975" max="1226" width="12" style="71"/>
    <col min="1227" max="1227" width="36.33203125" style="71" customWidth="1"/>
    <col min="1228" max="1228" width="22.33203125" style="71" customWidth="1"/>
    <col min="1229" max="1229" width="12" style="71"/>
    <col min="1230" max="1230" width="14.33203125" style="71" customWidth="1"/>
    <col min="1231" max="1482" width="12" style="71"/>
    <col min="1483" max="1483" width="36.33203125" style="71" customWidth="1"/>
    <col min="1484" max="1484" width="22.33203125" style="71" customWidth="1"/>
    <col min="1485" max="1485" width="12" style="71"/>
    <col min="1486" max="1486" width="14.33203125" style="71" customWidth="1"/>
    <col min="1487" max="1738" width="12" style="71"/>
    <col min="1739" max="1739" width="36.33203125" style="71" customWidth="1"/>
    <col min="1740" max="1740" width="22.33203125" style="71" customWidth="1"/>
    <col min="1741" max="1741" width="12" style="71"/>
    <col min="1742" max="1742" width="14.33203125" style="71" customWidth="1"/>
    <col min="1743" max="1994" width="12" style="71"/>
    <col min="1995" max="1995" width="36.33203125" style="71" customWidth="1"/>
    <col min="1996" max="1996" width="22.33203125" style="71" customWidth="1"/>
    <col min="1997" max="1997" width="12" style="71"/>
    <col min="1998" max="1998" width="14.33203125" style="71" customWidth="1"/>
    <col min="1999" max="2250" width="12" style="71"/>
    <col min="2251" max="2251" width="36.33203125" style="71" customWidth="1"/>
    <col min="2252" max="2252" width="22.33203125" style="71" customWidth="1"/>
    <col min="2253" max="2253" width="12" style="71"/>
    <col min="2254" max="2254" width="14.33203125" style="71" customWidth="1"/>
    <col min="2255" max="2506" width="12" style="71"/>
    <col min="2507" max="2507" width="36.33203125" style="71" customWidth="1"/>
    <col min="2508" max="2508" width="22.33203125" style="71" customWidth="1"/>
    <col min="2509" max="2509" width="12" style="71"/>
    <col min="2510" max="2510" width="14.33203125" style="71" customWidth="1"/>
    <col min="2511" max="2762" width="12" style="71"/>
    <col min="2763" max="2763" width="36.33203125" style="71" customWidth="1"/>
    <col min="2764" max="2764" width="22.33203125" style="71" customWidth="1"/>
    <col min="2765" max="2765" width="12" style="71"/>
    <col min="2766" max="2766" width="14.33203125" style="71" customWidth="1"/>
    <col min="2767" max="3018" width="12" style="71"/>
    <col min="3019" max="3019" width="36.33203125" style="71" customWidth="1"/>
    <col min="3020" max="3020" width="22.33203125" style="71" customWidth="1"/>
    <col min="3021" max="3021" width="12" style="71"/>
    <col min="3022" max="3022" width="14.33203125" style="71" customWidth="1"/>
    <col min="3023" max="3274" width="12" style="71"/>
    <col min="3275" max="3275" width="36.33203125" style="71" customWidth="1"/>
    <col min="3276" max="3276" width="22.33203125" style="71" customWidth="1"/>
    <col min="3277" max="3277" width="12" style="71"/>
    <col min="3278" max="3278" width="14.33203125" style="71" customWidth="1"/>
    <col min="3279" max="3530" width="12" style="71"/>
    <col min="3531" max="3531" width="36.33203125" style="71" customWidth="1"/>
    <col min="3532" max="3532" width="22.33203125" style="71" customWidth="1"/>
    <col min="3533" max="3533" width="12" style="71"/>
    <col min="3534" max="3534" width="14.33203125" style="71" customWidth="1"/>
    <col min="3535" max="3786" width="12" style="71"/>
    <col min="3787" max="3787" width="36.33203125" style="71" customWidth="1"/>
    <col min="3788" max="3788" width="22.33203125" style="71" customWidth="1"/>
    <col min="3789" max="3789" width="12" style="71"/>
    <col min="3790" max="3790" width="14.33203125" style="71" customWidth="1"/>
    <col min="3791" max="4042" width="12" style="71"/>
    <col min="4043" max="4043" width="36.33203125" style="71" customWidth="1"/>
    <col min="4044" max="4044" width="22.33203125" style="71" customWidth="1"/>
    <col min="4045" max="4045" width="12" style="71"/>
    <col min="4046" max="4046" width="14.33203125" style="71" customWidth="1"/>
    <col min="4047" max="4298" width="12" style="71"/>
    <col min="4299" max="4299" width="36.33203125" style="71" customWidth="1"/>
    <col min="4300" max="4300" width="22.33203125" style="71" customWidth="1"/>
    <col min="4301" max="4301" width="12" style="71"/>
    <col min="4302" max="4302" width="14.33203125" style="71" customWidth="1"/>
    <col min="4303" max="4554" width="12" style="71"/>
    <col min="4555" max="4555" width="36.33203125" style="71" customWidth="1"/>
    <col min="4556" max="4556" width="22.33203125" style="71" customWidth="1"/>
    <col min="4557" max="4557" width="12" style="71"/>
    <col min="4558" max="4558" width="14.33203125" style="71" customWidth="1"/>
    <col min="4559" max="4810" width="12" style="71"/>
    <col min="4811" max="4811" width="36.33203125" style="71" customWidth="1"/>
    <col min="4812" max="4812" width="22.33203125" style="71" customWidth="1"/>
    <col min="4813" max="4813" width="12" style="71"/>
    <col min="4814" max="4814" width="14.33203125" style="71" customWidth="1"/>
    <col min="4815" max="5066" width="12" style="71"/>
    <col min="5067" max="5067" width="36.33203125" style="71" customWidth="1"/>
    <col min="5068" max="5068" width="22.33203125" style="71" customWidth="1"/>
    <col min="5069" max="5069" width="12" style="71"/>
    <col min="5070" max="5070" width="14.33203125" style="71" customWidth="1"/>
    <col min="5071" max="5322" width="12" style="71"/>
    <col min="5323" max="5323" width="36.33203125" style="71" customWidth="1"/>
    <col min="5324" max="5324" width="22.33203125" style="71" customWidth="1"/>
    <col min="5325" max="5325" width="12" style="71"/>
    <col min="5326" max="5326" width="14.33203125" style="71" customWidth="1"/>
    <col min="5327" max="5578" width="12" style="71"/>
    <col min="5579" max="5579" width="36.33203125" style="71" customWidth="1"/>
    <col min="5580" max="5580" width="22.33203125" style="71" customWidth="1"/>
    <col min="5581" max="5581" width="12" style="71"/>
    <col min="5582" max="5582" width="14.33203125" style="71" customWidth="1"/>
    <col min="5583" max="5834" width="12" style="71"/>
    <col min="5835" max="5835" width="36.33203125" style="71" customWidth="1"/>
    <col min="5836" max="5836" width="22.33203125" style="71" customWidth="1"/>
    <col min="5837" max="5837" width="12" style="71"/>
    <col min="5838" max="5838" width="14.33203125" style="71" customWidth="1"/>
    <col min="5839" max="6090" width="12" style="71"/>
    <col min="6091" max="6091" width="36.33203125" style="71" customWidth="1"/>
    <col min="6092" max="6092" width="22.33203125" style="71" customWidth="1"/>
    <col min="6093" max="6093" width="12" style="71"/>
    <col min="6094" max="6094" width="14.33203125" style="71" customWidth="1"/>
    <col min="6095" max="6346" width="12" style="71"/>
    <col min="6347" max="6347" width="36.33203125" style="71" customWidth="1"/>
    <col min="6348" max="6348" width="22.33203125" style="71" customWidth="1"/>
    <col min="6349" max="6349" width="12" style="71"/>
    <col min="6350" max="6350" width="14.33203125" style="71" customWidth="1"/>
    <col min="6351" max="6602" width="12" style="71"/>
    <col min="6603" max="6603" width="36.33203125" style="71" customWidth="1"/>
    <col min="6604" max="6604" width="22.33203125" style="71" customWidth="1"/>
    <col min="6605" max="6605" width="12" style="71"/>
    <col min="6606" max="6606" width="14.33203125" style="71" customWidth="1"/>
    <col min="6607" max="6858" width="12" style="71"/>
    <col min="6859" max="6859" width="36.33203125" style="71" customWidth="1"/>
    <col min="6860" max="6860" width="22.33203125" style="71" customWidth="1"/>
    <col min="6861" max="6861" width="12" style="71"/>
    <col min="6862" max="6862" width="14.33203125" style="71" customWidth="1"/>
    <col min="6863" max="7114" width="12" style="71"/>
    <col min="7115" max="7115" width="36.33203125" style="71" customWidth="1"/>
    <col min="7116" max="7116" width="22.33203125" style="71" customWidth="1"/>
    <col min="7117" max="7117" width="12" style="71"/>
    <col min="7118" max="7118" width="14.33203125" style="71" customWidth="1"/>
    <col min="7119" max="7370" width="12" style="71"/>
    <col min="7371" max="7371" width="36.33203125" style="71" customWidth="1"/>
    <col min="7372" max="7372" width="22.33203125" style="71" customWidth="1"/>
    <col min="7373" max="7373" width="12" style="71"/>
    <col min="7374" max="7374" width="14.33203125" style="71" customWidth="1"/>
    <col min="7375" max="7626" width="12" style="71"/>
    <col min="7627" max="7627" width="36.33203125" style="71" customWidth="1"/>
    <col min="7628" max="7628" width="22.33203125" style="71" customWidth="1"/>
    <col min="7629" max="7629" width="12" style="71"/>
    <col min="7630" max="7630" width="14.33203125" style="71" customWidth="1"/>
    <col min="7631" max="7882" width="12" style="71"/>
    <col min="7883" max="7883" width="36.33203125" style="71" customWidth="1"/>
    <col min="7884" max="7884" width="22.33203125" style="71" customWidth="1"/>
    <col min="7885" max="7885" width="12" style="71"/>
    <col min="7886" max="7886" width="14.33203125" style="71" customWidth="1"/>
    <col min="7887" max="8138" width="12" style="71"/>
    <col min="8139" max="8139" width="36.33203125" style="71" customWidth="1"/>
    <col min="8140" max="8140" width="22.33203125" style="71" customWidth="1"/>
    <col min="8141" max="8141" width="12" style="71"/>
    <col min="8142" max="8142" width="14.33203125" style="71" customWidth="1"/>
    <col min="8143" max="8394" width="12" style="71"/>
    <col min="8395" max="8395" width="36.33203125" style="71" customWidth="1"/>
    <col min="8396" max="8396" width="22.33203125" style="71" customWidth="1"/>
    <col min="8397" max="8397" width="12" style="71"/>
    <col min="8398" max="8398" width="14.33203125" style="71" customWidth="1"/>
    <col min="8399" max="8650" width="12" style="71"/>
    <col min="8651" max="8651" width="36.33203125" style="71" customWidth="1"/>
    <col min="8652" max="8652" width="22.33203125" style="71" customWidth="1"/>
    <col min="8653" max="8653" width="12" style="71"/>
    <col min="8654" max="8654" width="14.33203125" style="71" customWidth="1"/>
    <col min="8655" max="8906" width="12" style="71"/>
    <col min="8907" max="8907" width="36.33203125" style="71" customWidth="1"/>
    <col min="8908" max="8908" width="22.33203125" style="71" customWidth="1"/>
    <col min="8909" max="8909" width="12" style="71"/>
    <col min="8910" max="8910" width="14.33203125" style="71" customWidth="1"/>
    <col min="8911" max="9162" width="12" style="71"/>
    <col min="9163" max="9163" width="36.33203125" style="71" customWidth="1"/>
    <col min="9164" max="9164" width="22.33203125" style="71" customWidth="1"/>
    <col min="9165" max="9165" width="12" style="71"/>
    <col min="9166" max="9166" width="14.33203125" style="71" customWidth="1"/>
    <col min="9167" max="9418" width="12" style="71"/>
    <col min="9419" max="9419" width="36.33203125" style="71" customWidth="1"/>
    <col min="9420" max="9420" width="22.33203125" style="71" customWidth="1"/>
    <col min="9421" max="9421" width="12" style="71"/>
    <col min="9422" max="9422" width="14.33203125" style="71" customWidth="1"/>
    <col min="9423" max="9674" width="12" style="71"/>
    <col min="9675" max="9675" width="36.33203125" style="71" customWidth="1"/>
    <col min="9676" max="9676" width="22.33203125" style="71" customWidth="1"/>
    <col min="9677" max="9677" width="12" style="71"/>
    <col min="9678" max="9678" width="14.33203125" style="71" customWidth="1"/>
    <col min="9679" max="9930" width="12" style="71"/>
    <col min="9931" max="9931" width="36.33203125" style="71" customWidth="1"/>
    <col min="9932" max="9932" width="22.33203125" style="71" customWidth="1"/>
    <col min="9933" max="9933" width="12" style="71"/>
    <col min="9934" max="9934" width="14.33203125" style="71" customWidth="1"/>
    <col min="9935" max="10186" width="12" style="71"/>
    <col min="10187" max="10187" width="36.33203125" style="71" customWidth="1"/>
    <col min="10188" max="10188" width="22.33203125" style="71" customWidth="1"/>
    <col min="10189" max="10189" width="12" style="71"/>
    <col min="10190" max="10190" width="14.33203125" style="71" customWidth="1"/>
    <col min="10191" max="10442" width="12" style="71"/>
    <col min="10443" max="10443" width="36.33203125" style="71" customWidth="1"/>
    <col min="10444" max="10444" width="22.33203125" style="71" customWidth="1"/>
    <col min="10445" max="10445" width="12" style="71"/>
    <col min="10446" max="10446" width="14.33203125" style="71" customWidth="1"/>
    <col min="10447" max="10698" width="12" style="71"/>
    <col min="10699" max="10699" width="36.33203125" style="71" customWidth="1"/>
    <col min="10700" max="10700" width="22.33203125" style="71" customWidth="1"/>
    <col min="10701" max="10701" width="12" style="71"/>
    <col min="10702" max="10702" width="14.33203125" style="71" customWidth="1"/>
    <col min="10703" max="10954" width="12" style="71"/>
    <col min="10955" max="10955" width="36.33203125" style="71" customWidth="1"/>
    <col min="10956" max="10956" width="22.33203125" style="71" customWidth="1"/>
    <col min="10957" max="10957" width="12" style="71"/>
    <col min="10958" max="10958" width="14.33203125" style="71" customWidth="1"/>
    <col min="10959" max="11210" width="12" style="71"/>
    <col min="11211" max="11211" width="36.33203125" style="71" customWidth="1"/>
    <col min="11212" max="11212" width="22.33203125" style="71" customWidth="1"/>
    <col min="11213" max="11213" width="12" style="71"/>
    <col min="11214" max="11214" width="14.33203125" style="71" customWidth="1"/>
    <col min="11215" max="11466" width="12" style="71"/>
    <col min="11467" max="11467" width="36.33203125" style="71" customWidth="1"/>
    <col min="11468" max="11468" width="22.33203125" style="71" customWidth="1"/>
    <col min="11469" max="11469" width="12" style="71"/>
    <col min="11470" max="11470" width="14.33203125" style="71" customWidth="1"/>
    <col min="11471" max="11722" width="12" style="71"/>
    <col min="11723" max="11723" width="36.33203125" style="71" customWidth="1"/>
    <col min="11724" max="11724" width="22.33203125" style="71" customWidth="1"/>
    <col min="11725" max="11725" width="12" style="71"/>
    <col min="11726" max="11726" width="14.33203125" style="71" customWidth="1"/>
    <col min="11727" max="11978" width="12" style="71"/>
    <col min="11979" max="11979" width="36.33203125" style="71" customWidth="1"/>
    <col min="11980" max="11980" width="22.33203125" style="71" customWidth="1"/>
    <col min="11981" max="11981" width="12" style="71"/>
    <col min="11982" max="11982" width="14.33203125" style="71" customWidth="1"/>
    <col min="11983" max="12234" width="12" style="71"/>
    <col min="12235" max="12235" width="36.33203125" style="71" customWidth="1"/>
    <col min="12236" max="12236" width="22.33203125" style="71" customWidth="1"/>
    <col min="12237" max="12237" width="12" style="71"/>
    <col min="12238" max="12238" width="14.33203125" style="71" customWidth="1"/>
    <col min="12239" max="12490" width="12" style="71"/>
    <col min="12491" max="12491" width="36.33203125" style="71" customWidth="1"/>
    <col min="12492" max="12492" width="22.33203125" style="71" customWidth="1"/>
    <col min="12493" max="12493" width="12" style="71"/>
    <col min="12494" max="12494" width="14.33203125" style="71" customWidth="1"/>
    <col min="12495" max="12746" width="12" style="71"/>
    <col min="12747" max="12747" width="36.33203125" style="71" customWidth="1"/>
    <col min="12748" max="12748" width="22.33203125" style="71" customWidth="1"/>
    <col min="12749" max="12749" width="12" style="71"/>
    <col min="12750" max="12750" width="14.33203125" style="71" customWidth="1"/>
    <col min="12751" max="13002" width="12" style="71"/>
    <col min="13003" max="13003" width="36.33203125" style="71" customWidth="1"/>
    <col min="13004" max="13004" width="22.33203125" style="71" customWidth="1"/>
    <col min="13005" max="13005" width="12" style="71"/>
    <col min="13006" max="13006" width="14.33203125" style="71" customWidth="1"/>
    <col min="13007" max="13258" width="12" style="71"/>
    <col min="13259" max="13259" width="36.33203125" style="71" customWidth="1"/>
    <col min="13260" max="13260" width="22.33203125" style="71" customWidth="1"/>
    <col min="13261" max="13261" width="12" style="71"/>
    <col min="13262" max="13262" width="14.33203125" style="71" customWidth="1"/>
    <col min="13263" max="13514" width="12" style="71"/>
    <col min="13515" max="13515" width="36.33203125" style="71" customWidth="1"/>
    <col min="13516" max="13516" width="22.33203125" style="71" customWidth="1"/>
    <col min="13517" max="13517" width="12" style="71"/>
    <col min="13518" max="13518" width="14.33203125" style="71" customWidth="1"/>
    <col min="13519" max="13770" width="12" style="71"/>
    <col min="13771" max="13771" width="36.33203125" style="71" customWidth="1"/>
    <col min="13772" max="13772" width="22.33203125" style="71" customWidth="1"/>
    <col min="13773" max="13773" width="12" style="71"/>
    <col min="13774" max="13774" width="14.33203125" style="71" customWidth="1"/>
    <col min="13775" max="14026" width="12" style="71"/>
    <col min="14027" max="14027" width="36.33203125" style="71" customWidth="1"/>
    <col min="14028" max="14028" width="22.33203125" style="71" customWidth="1"/>
    <col min="14029" max="14029" width="12" style="71"/>
    <col min="14030" max="14030" width="14.33203125" style="71" customWidth="1"/>
    <col min="14031" max="14282" width="12" style="71"/>
    <col min="14283" max="14283" width="36.33203125" style="71" customWidth="1"/>
    <col min="14284" max="14284" width="22.33203125" style="71" customWidth="1"/>
    <col min="14285" max="14285" width="12" style="71"/>
    <col min="14286" max="14286" width="14.33203125" style="71" customWidth="1"/>
    <col min="14287" max="14538" width="12" style="71"/>
    <col min="14539" max="14539" width="36.33203125" style="71" customWidth="1"/>
    <col min="14540" max="14540" width="22.33203125" style="71" customWidth="1"/>
    <col min="14541" max="14541" width="12" style="71"/>
    <col min="14542" max="14542" width="14.33203125" style="71" customWidth="1"/>
    <col min="14543" max="14794" width="12" style="71"/>
    <col min="14795" max="14795" width="36.33203125" style="71" customWidth="1"/>
    <col min="14796" max="14796" width="22.33203125" style="71" customWidth="1"/>
    <col min="14797" max="14797" width="12" style="71"/>
    <col min="14798" max="14798" width="14.33203125" style="71" customWidth="1"/>
    <col min="14799" max="15050" width="12" style="71"/>
    <col min="15051" max="15051" width="36.33203125" style="71" customWidth="1"/>
    <col min="15052" max="15052" width="22.33203125" style="71" customWidth="1"/>
    <col min="15053" max="15053" width="12" style="71"/>
    <col min="15054" max="15054" width="14.33203125" style="71" customWidth="1"/>
    <col min="15055" max="15306" width="12" style="71"/>
    <col min="15307" max="15307" width="36.33203125" style="71" customWidth="1"/>
    <col min="15308" max="15308" width="22.33203125" style="71" customWidth="1"/>
    <col min="15309" max="15309" width="12" style="71"/>
    <col min="15310" max="15310" width="14.33203125" style="71" customWidth="1"/>
    <col min="15311" max="15562" width="12" style="71"/>
    <col min="15563" max="15563" width="36.33203125" style="71" customWidth="1"/>
    <col min="15564" max="15564" width="22.33203125" style="71" customWidth="1"/>
    <col min="15565" max="15565" width="12" style="71"/>
    <col min="15566" max="15566" width="14.33203125" style="71" customWidth="1"/>
    <col min="15567" max="15818" width="12" style="71"/>
    <col min="15819" max="15819" width="36.33203125" style="71" customWidth="1"/>
    <col min="15820" max="15820" width="22.33203125" style="71" customWidth="1"/>
    <col min="15821" max="15821" width="12" style="71"/>
    <col min="15822" max="15822" width="14.33203125" style="71" customWidth="1"/>
    <col min="15823" max="16074" width="12" style="71"/>
    <col min="16075" max="16075" width="36.33203125" style="71" customWidth="1"/>
    <col min="16076" max="16076" width="22.33203125" style="71" customWidth="1"/>
    <col min="16077" max="16077" width="12" style="71"/>
    <col min="16078" max="16078" width="14.33203125" style="71" customWidth="1"/>
    <col min="16079" max="16384" width="12" style="71"/>
  </cols>
  <sheetData>
    <row r="1" spans="1:4" ht="20.100000000000001" customHeight="1" x14ac:dyDescent="0.2">
      <c r="A1" s="1322"/>
      <c r="B1" s="1584" t="s">
        <v>0</v>
      </c>
      <c r="C1" s="1584"/>
      <c r="D1" s="1584"/>
    </row>
    <row r="2" spans="1:4" ht="20.100000000000001" customHeight="1" x14ac:dyDescent="0.2">
      <c r="A2" s="1322"/>
      <c r="B2" s="1584" t="s">
        <v>924</v>
      </c>
      <c r="C2" s="1584"/>
      <c r="D2" s="1584"/>
    </row>
    <row r="3" spans="1:4" ht="20.100000000000001" customHeight="1" x14ac:dyDescent="0.2">
      <c r="A3" s="1322"/>
      <c r="B3" s="1846" t="str">
        <f>Instructivo!C3</f>
        <v>CÓDIGO: F-PGC-21</v>
      </c>
      <c r="C3" s="1847"/>
      <c r="D3" s="709" t="str">
        <f>Instructivo!G3</f>
        <v>VERSIÓN: 04</v>
      </c>
    </row>
    <row r="4" spans="1:4" ht="19.5" customHeight="1" x14ac:dyDescent="0.2">
      <c r="A4" s="747"/>
      <c r="B4" s="747"/>
      <c r="C4" s="747"/>
      <c r="D4" s="747"/>
    </row>
    <row r="5" spans="1:4" ht="110.25" customHeight="1" x14ac:dyDescent="0.2">
      <c r="A5" s="1848" t="s">
        <v>1523</v>
      </c>
      <c r="B5" s="1848"/>
      <c r="C5" s="1848"/>
      <c r="D5" s="1848"/>
    </row>
    <row r="6" spans="1:4" ht="19.5" customHeight="1" x14ac:dyDescent="0.2">
      <c r="A6" s="747"/>
      <c r="B6" s="747"/>
      <c r="C6" s="747"/>
      <c r="D6" s="747"/>
    </row>
    <row r="7" spans="1:4" ht="19.5" customHeight="1" thickBot="1" x14ac:dyDescent="0.25">
      <c r="A7" s="747"/>
      <c r="B7" s="747"/>
      <c r="C7" s="747"/>
      <c r="D7" s="747"/>
    </row>
    <row r="8" spans="1:4" ht="12.75" customHeight="1" thickBot="1" x14ac:dyDescent="0.25">
      <c r="A8" s="256" t="s">
        <v>820</v>
      </c>
      <c r="B8" s="1586">
        <v>2023</v>
      </c>
      <c r="C8" s="1651"/>
      <c r="D8" s="1587"/>
    </row>
    <row r="9" spans="1:4" ht="15.75" customHeight="1" thickBot="1" x14ac:dyDescent="0.25">
      <c r="A9" s="256" t="s">
        <v>821</v>
      </c>
      <c r="B9" s="1586" t="s">
        <v>925</v>
      </c>
      <c r="C9" s="1651"/>
      <c r="D9" s="1587"/>
    </row>
    <row r="10" spans="1:4" ht="21.75" customHeight="1" thickBot="1" x14ac:dyDescent="0.25">
      <c r="A10" s="263"/>
      <c r="B10" s="264"/>
      <c r="C10" s="264"/>
      <c r="D10" s="264"/>
    </row>
    <row r="11" spans="1:4" ht="36.75" customHeight="1" x14ac:dyDescent="0.2">
      <c r="A11" s="750" t="s">
        <v>926</v>
      </c>
      <c r="B11" s="751" t="s">
        <v>374</v>
      </c>
      <c r="C11" s="751" t="s">
        <v>375</v>
      </c>
      <c r="D11" s="752" t="s">
        <v>927</v>
      </c>
    </row>
    <row r="12" spans="1:4" ht="20.100000000000001" customHeight="1" x14ac:dyDescent="0.2">
      <c r="A12" s="753" t="s">
        <v>928</v>
      </c>
      <c r="B12" s="754">
        <v>1242243.9272727272</v>
      </c>
      <c r="C12" s="755">
        <v>1.71</v>
      </c>
      <c r="D12" s="748">
        <f>ROUND('Ayuda honorarios'!B12*C12,-3)</f>
        <v>2124000</v>
      </c>
    </row>
    <row r="13" spans="1:4" ht="20.100000000000001" customHeight="1" x14ac:dyDescent="0.2">
      <c r="A13" s="753" t="s">
        <v>1524</v>
      </c>
      <c r="B13" s="754">
        <v>2126506.0240963856</v>
      </c>
      <c r="C13" s="755">
        <v>1.66</v>
      </c>
      <c r="D13" s="748">
        <f>ROUND('Ayuda honorarios'!B13*C13,-3)</f>
        <v>3530000</v>
      </c>
    </row>
    <row r="14" spans="1:4" ht="20.100000000000001" customHeight="1" x14ac:dyDescent="0.2">
      <c r="A14" s="753" t="s">
        <v>930</v>
      </c>
      <c r="B14" s="754">
        <v>2263291.1392405061</v>
      </c>
      <c r="C14" s="755">
        <v>1.58</v>
      </c>
      <c r="D14" s="748">
        <f>ROUND('Ayuda honorarios'!B14*C14,-3)</f>
        <v>3576000</v>
      </c>
    </row>
    <row r="15" spans="1:4" ht="20.100000000000001" customHeight="1" x14ac:dyDescent="0.2">
      <c r="A15" s="753" t="s">
        <v>931</v>
      </c>
      <c r="B15" s="754">
        <v>2625316.4556962023</v>
      </c>
      <c r="C15" s="755">
        <v>1.58</v>
      </c>
      <c r="D15" s="748">
        <f>ROUND('Ayuda honorarios'!B15*C15,-3)</f>
        <v>4148000</v>
      </c>
    </row>
    <row r="16" spans="1:4" ht="20.100000000000001" customHeight="1" x14ac:dyDescent="0.2">
      <c r="A16" s="753" t="s">
        <v>932</v>
      </c>
      <c r="B16" s="754">
        <v>2798101.2658227845</v>
      </c>
      <c r="C16" s="755">
        <v>1.58</v>
      </c>
      <c r="D16" s="748">
        <f>ROUND('Ayuda honorarios'!B16*C16,-3)</f>
        <v>4421000</v>
      </c>
    </row>
    <row r="17" spans="1:4" ht="20.100000000000001" customHeight="1" x14ac:dyDescent="0.2">
      <c r="A17" s="753" t="s">
        <v>933</v>
      </c>
      <c r="B17" s="754">
        <v>4115189.8734177211</v>
      </c>
      <c r="C17" s="755">
        <v>1.58</v>
      </c>
      <c r="D17" s="748">
        <f>ROUND('Ayuda honorarios'!B17*C17,-3)</f>
        <v>6502000</v>
      </c>
    </row>
    <row r="18" spans="1:4" ht="20.100000000000001" customHeight="1" thickBot="1" x14ac:dyDescent="0.25">
      <c r="A18" s="756" t="s">
        <v>934</v>
      </c>
      <c r="B18" s="757">
        <v>4936708.8607594939</v>
      </c>
      <c r="C18" s="758">
        <v>1.58</v>
      </c>
      <c r="D18" s="749">
        <f>ROUND('Ayuda honorarios'!B18*C18,-3)</f>
        <v>7800000</v>
      </c>
    </row>
    <row r="19" spans="1:4" ht="20.100000000000001" customHeight="1" thickBot="1" x14ac:dyDescent="0.25">
      <c r="A19" s="269"/>
      <c r="B19" s="269"/>
      <c r="C19" s="269"/>
      <c r="D19" s="269"/>
    </row>
    <row r="20" spans="1:4" ht="40.5" customHeight="1" thickBot="1" x14ac:dyDescent="0.25">
      <c r="A20" s="1849" t="s">
        <v>1525</v>
      </c>
      <c r="B20" s="1850"/>
      <c r="C20" s="1850"/>
      <c r="D20" s="1851"/>
    </row>
    <row r="21" spans="1:4" ht="20.100000000000001" customHeight="1" thickBot="1" x14ac:dyDescent="0.25">
      <c r="A21" s="269"/>
      <c r="B21" s="269"/>
      <c r="C21" s="269"/>
      <c r="D21" s="269"/>
    </row>
    <row r="22" spans="1:4" ht="20.100000000000001" customHeight="1" thickBot="1" x14ac:dyDescent="0.25">
      <c r="A22" s="1852" t="s">
        <v>1526</v>
      </c>
      <c r="B22" s="1853"/>
      <c r="C22" s="1853"/>
      <c r="D22" s="1854"/>
    </row>
    <row r="23" spans="1:4" ht="20.100000000000001" customHeight="1" thickBot="1" x14ac:dyDescent="0.25">
      <c r="A23" s="269"/>
      <c r="B23" s="269"/>
      <c r="C23" s="269"/>
      <c r="D23" s="269"/>
    </row>
    <row r="24" spans="1:4" ht="20.100000000000001" customHeight="1" thickBot="1" x14ac:dyDescent="0.25">
      <c r="A24" s="256" t="s">
        <v>1527</v>
      </c>
      <c r="B24" s="1586">
        <v>2023</v>
      </c>
      <c r="C24" s="1651"/>
      <c r="D24" s="1587"/>
    </row>
    <row r="25" spans="1:4" ht="20.100000000000001" customHeight="1" thickBot="1" x14ac:dyDescent="0.25">
      <c r="A25" s="275" t="s">
        <v>1171</v>
      </c>
      <c r="B25" s="1835">
        <v>1160000</v>
      </c>
      <c r="C25" s="1836"/>
      <c r="D25" s="1837"/>
    </row>
    <row r="26" spans="1:4" ht="20.100000000000001" customHeight="1" thickBot="1" x14ac:dyDescent="0.25">
      <c r="A26" s="275" t="s">
        <v>1528</v>
      </c>
      <c r="B26" s="1835">
        <v>140606</v>
      </c>
      <c r="C26" s="1836"/>
      <c r="D26" s="1837"/>
    </row>
    <row r="27" spans="1:4" ht="20.100000000000001" customHeight="1" thickBot="1" x14ac:dyDescent="0.25">
      <c r="A27" s="759"/>
      <c r="D27" s="759"/>
    </row>
    <row r="28" spans="1:4" ht="27.75" customHeight="1" x14ac:dyDescent="0.2">
      <c r="A28" s="760" t="s">
        <v>537</v>
      </c>
      <c r="B28" s="761" t="s">
        <v>1529</v>
      </c>
      <c r="C28" s="1838" t="s">
        <v>1530</v>
      </c>
      <c r="D28" s="1839"/>
    </row>
    <row r="29" spans="1:4" ht="20.100000000000001" customHeight="1" x14ac:dyDescent="0.2">
      <c r="A29" s="762" t="s">
        <v>946</v>
      </c>
      <c r="B29" s="763"/>
      <c r="C29" s="1840"/>
      <c r="D29" s="1841"/>
    </row>
    <row r="30" spans="1:4" ht="20.100000000000001" customHeight="1" x14ac:dyDescent="0.2">
      <c r="A30" s="764" t="s">
        <v>947</v>
      </c>
      <c r="B30" s="765">
        <v>8.5000000000000006E-2</v>
      </c>
      <c r="C30" s="1842"/>
      <c r="D30" s="1843"/>
    </row>
    <row r="31" spans="1:4" ht="20.100000000000001" customHeight="1" x14ac:dyDescent="0.2">
      <c r="A31" s="764" t="s">
        <v>948</v>
      </c>
      <c r="B31" s="765">
        <v>0.12</v>
      </c>
      <c r="C31" s="1842"/>
      <c r="D31" s="1843"/>
    </row>
    <row r="32" spans="1:4" ht="20.100000000000001" customHeight="1" x14ac:dyDescent="0.2">
      <c r="A32" s="764" t="s">
        <v>949</v>
      </c>
      <c r="B32" s="766">
        <v>6.9599999999999995E-2</v>
      </c>
      <c r="C32" s="1842"/>
      <c r="D32" s="1843"/>
    </row>
    <row r="33" spans="1:4" ht="20.100000000000001" customHeight="1" x14ac:dyDescent="0.2">
      <c r="A33" s="762" t="s">
        <v>950</v>
      </c>
      <c r="B33" s="763"/>
      <c r="C33" s="1840"/>
      <c r="D33" s="1841"/>
    </row>
    <row r="34" spans="1:4" ht="20.100000000000001" customHeight="1" x14ac:dyDescent="0.2">
      <c r="A34" s="764" t="s">
        <v>951</v>
      </c>
      <c r="B34" s="765">
        <v>0.04</v>
      </c>
      <c r="C34" s="1844" t="s">
        <v>1531</v>
      </c>
      <c r="D34" s="1845"/>
    </row>
    <row r="35" spans="1:4" ht="20.100000000000001" customHeight="1" x14ac:dyDescent="0.2">
      <c r="A35" s="764" t="s">
        <v>952</v>
      </c>
      <c r="B35" s="765">
        <v>0.03</v>
      </c>
      <c r="C35" s="1844" t="s">
        <v>1532</v>
      </c>
      <c r="D35" s="1845"/>
    </row>
    <row r="36" spans="1:4" ht="20.100000000000001" customHeight="1" x14ac:dyDescent="0.2">
      <c r="A36" s="764" t="s">
        <v>953</v>
      </c>
      <c r="B36" s="765">
        <v>0.02</v>
      </c>
      <c r="C36" s="1844" t="s">
        <v>1533</v>
      </c>
      <c r="D36" s="1845"/>
    </row>
    <row r="37" spans="1:4" ht="20.100000000000001" customHeight="1" x14ac:dyDescent="0.2">
      <c r="A37" s="762" t="s">
        <v>954</v>
      </c>
      <c r="B37" s="763"/>
      <c r="C37" s="1840"/>
      <c r="D37" s="1841"/>
    </row>
    <row r="38" spans="1:4" ht="20.100000000000001" customHeight="1" x14ac:dyDescent="0.2">
      <c r="A38" s="764" t="s">
        <v>955</v>
      </c>
      <c r="B38" s="766">
        <v>8.3333333333333329E-2</v>
      </c>
      <c r="C38" s="1828" t="s">
        <v>1534</v>
      </c>
      <c r="D38" s="1829"/>
    </row>
    <row r="39" spans="1:4" ht="20.100000000000001" customHeight="1" x14ac:dyDescent="0.2">
      <c r="A39" s="764" t="s">
        <v>956</v>
      </c>
      <c r="B39" s="766">
        <f>12%*B38</f>
        <v>9.9999999999999985E-3</v>
      </c>
      <c r="C39" s="1828" t="s">
        <v>1534</v>
      </c>
      <c r="D39" s="1829"/>
    </row>
    <row r="40" spans="1:4" ht="20.100000000000001" customHeight="1" x14ac:dyDescent="0.2">
      <c r="A40" s="764" t="s">
        <v>957</v>
      </c>
      <c r="B40" s="766">
        <v>8.3333333333333329E-2</v>
      </c>
      <c r="C40" s="1828" t="s">
        <v>1535</v>
      </c>
      <c r="D40" s="1829"/>
    </row>
    <row r="41" spans="1:4" ht="20.100000000000001" customHeight="1" x14ac:dyDescent="0.2">
      <c r="A41" s="764" t="s">
        <v>958</v>
      </c>
      <c r="B41" s="766">
        <f>B38/2</f>
        <v>4.1666666666666664E-2</v>
      </c>
      <c r="C41" s="1828" t="s">
        <v>1536</v>
      </c>
      <c r="D41" s="1829"/>
    </row>
    <row r="42" spans="1:4" ht="20.100000000000001" customHeight="1" thickBot="1" x14ac:dyDescent="0.25">
      <c r="A42" s="767" t="s">
        <v>1537</v>
      </c>
      <c r="B42" s="768">
        <f>ROUND(SUM(B30:B41),2)</f>
        <v>0.57999999999999996</v>
      </c>
      <c r="C42" s="1830"/>
      <c r="D42" s="1831"/>
    </row>
    <row r="43" spans="1:4" ht="20.100000000000001" customHeight="1" thickBot="1" x14ac:dyDescent="0.25">
      <c r="A43" s="769"/>
      <c r="B43" s="770"/>
      <c r="C43" s="759"/>
    </row>
    <row r="44" spans="1:4" ht="20.100000000000001" customHeight="1" thickBot="1" x14ac:dyDescent="0.3">
      <c r="A44" s="771" t="s">
        <v>926</v>
      </c>
      <c r="B44" s="772" t="s">
        <v>928</v>
      </c>
      <c r="C44" s="773" t="s">
        <v>929</v>
      </c>
    </row>
    <row r="45" spans="1:4" ht="20.100000000000001" customHeight="1" x14ac:dyDescent="0.2">
      <c r="A45" s="337" t="s">
        <v>1538</v>
      </c>
      <c r="B45" s="337">
        <f>B12/B25</f>
        <v>1.0708999373040753</v>
      </c>
      <c r="C45" s="774">
        <f>B13/B25</f>
        <v>1.8331948483589531</v>
      </c>
    </row>
    <row r="46" spans="1:4" ht="20.100000000000001" customHeight="1" x14ac:dyDescent="0.2">
      <c r="A46" s="775" t="s">
        <v>1539</v>
      </c>
      <c r="B46" s="776">
        <f>'Ayuda honorarios'!$B$26/'Ayuda honorarios'!B12</f>
        <v>0.11318710996534483</v>
      </c>
      <c r="C46" s="777">
        <f>B26/B13</f>
        <v>6.6120668555240791E-2</v>
      </c>
    </row>
    <row r="47" spans="1:4" ht="20.100000000000001" customHeight="1" x14ac:dyDescent="0.2">
      <c r="A47" s="775" t="s">
        <v>955</v>
      </c>
      <c r="B47" s="776">
        <f>B46*B38</f>
        <v>9.4322591637787355E-3</v>
      </c>
      <c r="C47" s="777">
        <f>C46*B38</f>
        <v>5.510055712936732E-3</v>
      </c>
    </row>
    <row r="48" spans="1:4" ht="20.100000000000001" customHeight="1" x14ac:dyDescent="0.2">
      <c r="A48" s="775" t="s">
        <v>956</v>
      </c>
      <c r="B48" s="776">
        <f>B47*12%</f>
        <v>1.1318710996534483E-3</v>
      </c>
      <c r="C48" s="777">
        <f>C47*12%</f>
        <v>6.6120668555240782E-4</v>
      </c>
    </row>
    <row r="49" spans="1:3" ht="20.100000000000001" customHeight="1" x14ac:dyDescent="0.2">
      <c r="A49" s="775" t="s">
        <v>957</v>
      </c>
      <c r="B49" s="776">
        <f>B47</f>
        <v>9.4322591637787355E-3</v>
      </c>
      <c r="C49" s="777">
        <f>C47</f>
        <v>5.510055712936732E-3</v>
      </c>
    </row>
    <row r="50" spans="1:3" ht="20.100000000000001" customHeight="1" thickBot="1" x14ac:dyDescent="0.25">
      <c r="A50" s="778" t="s">
        <v>414</v>
      </c>
      <c r="B50" s="779">
        <f>ROUND(SUM(B46:B49)+B42,2)</f>
        <v>0.71</v>
      </c>
      <c r="C50" s="780">
        <f>ROUND(SUM(C46:C49)+B42,2)</f>
        <v>0.66</v>
      </c>
    </row>
    <row r="51" spans="1:3" ht="26.25" customHeight="1" thickBot="1" x14ac:dyDescent="0.25">
      <c r="A51" s="1832" t="s">
        <v>1540</v>
      </c>
      <c r="B51" s="1833"/>
      <c r="C51" s="1834"/>
    </row>
  </sheetData>
  <mergeCells count="28">
    <mergeCell ref="B25:D25"/>
    <mergeCell ref="A1:A3"/>
    <mergeCell ref="B1:D1"/>
    <mergeCell ref="B2:D2"/>
    <mergeCell ref="B3:C3"/>
    <mergeCell ref="A5:D5"/>
    <mergeCell ref="B8:D8"/>
    <mergeCell ref="B9:D9"/>
    <mergeCell ref="A20:D20"/>
    <mergeCell ref="A22:D22"/>
    <mergeCell ref="B24:D24"/>
    <mergeCell ref="C38:D38"/>
    <mergeCell ref="B26:D26"/>
    <mergeCell ref="C28:D28"/>
    <mergeCell ref="C29:D29"/>
    <mergeCell ref="C30:D30"/>
    <mergeCell ref="C31:D31"/>
    <mergeCell ref="C32:D32"/>
    <mergeCell ref="C33:D33"/>
    <mergeCell ref="C34:D34"/>
    <mergeCell ref="C35:D35"/>
    <mergeCell ref="C36:D36"/>
    <mergeCell ref="C37:D37"/>
    <mergeCell ref="C39:D39"/>
    <mergeCell ref="C40:D40"/>
    <mergeCell ref="C41:D41"/>
    <mergeCell ref="C42:D42"/>
    <mergeCell ref="A51:C51"/>
  </mergeCells>
  <pageMargins left="0.74803149606299213" right="0.74803149606299213" top="0.98425196850393704" bottom="0.98425196850393704" header="0.51181102362204722" footer="0.51181102362204722"/>
  <pageSetup orientation="portrait" horizontalDpi="4294967292" verticalDpi="4294967292" r:id="rId1"/>
  <headerFooter>
    <oddFooter>&amp;R&amp;"Arial,Normal"&amp;K01+000Página &amp;P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DE4FF7AA3A5EE4DA2E73138C76C3EAC" ma:contentTypeVersion="17" ma:contentTypeDescription="Crear nuevo documento." ma:contentTypeScope="" ma:versionID="6629c8c53a190a10fc794fd51c0607d6">
  <xsd:schema xmlns:xsd="http://www.w3.org/2001/XMLSchema" xmlns:xs="http://www.w3.org/2001/XMLSchema" xmlns:p="http://schemas.microsoft.com/office/2006/metadata/properties" xmlns:ns2="e573e552-bd5b-49ef-b258-b37cea520cae" xmlns:ns3="caa0d3d9-ed69-4dad-a90c-fdf219a03e6b" targetNamespace="http://schemas.microsoft.com/office/2006/metadata/properties" ma:root="true" ma:fieldsID="3c4d75e0b91f36a61b8ded0f37c42f85" ns2:_="" ns3:_="">
    <xsd:import namespace="e573e552-bd5b-49ef-b258-b37cea520cae"/>
    <xsd:import namespace="caa0d3d9-ed69-4dad-a90c-fdf219a03e6b"/>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DateTaken" minOccurs="0"/>
                <xsd:element ref="ns2:MediaServiceLocation" minOccurs="0"/>
                <xsd:element ref="ns2:MediaServiceOCR" minOccurs="0"/>
                <xsd:element ref="ns3:SharedWithUsers" minOccurs="0"/>
                <xsd:element ref="ns3:SharedWithDetails" minOccurs="0"/>
                <xsd:element ref="ns2:MediaLengthInSeconds" minOccurs="0"/>
                <xsd:element ref="ns2:Creaci_x00f3_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73e552-bd5b-49ef-b258-b37cea520ca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Creaci_x00f3_n" ma:index="21" nillable="true" ma:displayName="Creación" ma:description="Fecha de seguimiento" ma:format="DateOnly" ma:internalName="Creaci_x00f3_n">
      <xsd:simpleType>
        <xsd:restriction base="dms:DateTime"/>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d0af03ac-dea5-4eb1-924c-dc58198652e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aa0d3d9-ed69-4dad-a90c-fdf219a03e6b"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23336fc1-41b9-4919-b257-0e267b9832de}" ma:internalName="TaxCatchAll" ma:showField="CatchAllData" ma:web="caa0d3d9-ed69-4dad-a90c-fdf219a03e6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Creaci_x00f3_n xmlns="e573e552-bd5b-49ef-b258-b37cea520cae" xsi:nil="true"/>
    <lcf76f155ced4ddcb4097134ff3c332f xmlns="e573e552-bd5b-49ef-b258-b37cea520cae">
      <Terms xmlns="http://schemas.microsoft.com/office/infopath/2007/PartnerControls"/>
    </lcf76f155ced4ddcb4097134ff3c332f>
    <TaxCatchAll xmlns="caa0d3d9-ed69-4dad-a90c-fdf219a03e6b" xsi:nil="true"/>
  </documentManagement>
</p:properties>
</file>

<file path=customXml/itemProps1.xml><?xml version="1.0" encoding="utf-8"?>
<ds:datastoreItem xmlns:ds="http://schemas.openxmlformats.org/officeDocument/2006/customXml" ds:itemID="{6DC8B00C-FD2D-461A-A7E0-BED9A90EE3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573e552-bd5b-49ef-b258-b37cea520cae"/>
    <ds:schemaRef ds:uri="caa0d3d9-ed69-4dad-a90c-fdf219a03e6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5238D31-BD7C-4151-93C1-3F27DACD82DF}">
  <ds:schemaRefs>
    <ds:schemaRef ds:uri="http://schemas.microsoft.com/sharepoint/v3/contenttype/forms"/>
  </ds:schemaRefs>
</ds:datastoreItem>
</file>

<file path=customXml/itemProps3.xml><?xml version="1.0" encoding="utf-8"?>
<ds:datastoreItem xmlns:ds="http://schemas.openxmlformats.org/officeDocument/2006/customXml" ds:itemID="{D860162D-FBAA-4C27-A266-6B3434A1E2F5}">
  <ds:schemaRefs>
    <ds:schemaRef ds:uri="http://schemas.microsoft.com/office/2006/metadata/properties"/>
    <ds:schemaRef ds:uri="http://schemas.microsoft.com/office/infopath/2007/PartnerControls"/>
    <ds:schemaRef ds:uri="e573e552-bd5b-49ef-b258-b37cea520cae"/>
    <ds:schemaRef ds:uri="caa0d3d9-ed69-4dad-a90c-fdf219a03e6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43</vt:i4>
      </vt:variant>
      <vt:variant>
        <vt:lpstr>Rangos con nombre</vt:lpstr>
      </vt:variant>
      <vt:variant>
        <vt:i4>71</vt:i4>
      </vt:variant>
    </vt:vector>
  </HeadingPairs>
  <TitlesOfParts>
    <vt:vector size="114" baseType="lpstr">
      <vt:lpstr>Instructivo</vt:lpstr>
      <vt:lpstr>Plan Ejecución</vt:lpstr>
      <vt:lpstr>Presupuesto Contrato</vt:lpstr>
      <vt:lpstr>Ppto PSP</vt:lpstr>
      <vt:lpstr>Presupuesto Convenio</vt:lpstr>
      <vt:lpstr>Memoria de cálculo O1</vt:lpstr>
      <vt:lpstr>PE1 -TARIFA 1 </vt:lpstr>
      <vt:lpstr>PE1 -TARIFA 2</vt:lpstr>
      <vt:lpstr>Hoja1</vt:lpstr>
      <vt:lpstr>PE2-FPE</vt:lpstr>
      <vt:lpstr>PE3-FPE</vt:lpstr>
      <vt:lpstr>PE4-FPE</vt:lpstr>
      <vt:lpstr>PE5-FPE</vt:lpstr>
      <vt:lpstr>PE6-FPE 2</vt:lpstr>
      <vt:lpstr>PE7-FPE</vt:lpstr>
      <vt:lpstr>Memoria de cálculo O2</vt:lpstr>
      <vt:lpstr>Memoria de cálculo O3</vt:lpstr>
      <vt:lpstr>Gastos de adm</vt:lpstr>
      <vt:lpstr>Bienes relevantes</vt:lpstr>
      <vt:lpstr>Propuesta económica O2</vt:lpstr>
      <vt:lpstr>Propuesta económica O3</vt:lpstr>
      <vt:lpstr>PAB CA</vt:lpstr>
      <vt:lpstr>Evaluación financiera</vt:lpstr>
      <vt:lpstr>PAB CR</vt:lpstr>
      <vt:lpstr>Habilitados - SI</vt:lpstr>
      <vt:lpstr>A. Lances - SIP</vt:lpstr>
      <vt:lpstr>D. Lances - SIP</vt:lpstr>
      <vt:lpstr>DD. Lances - SIP</vt:lpstr>
      <vt:lpstr>Gtos DyM</vt:lpstr>
      <vt:lpstr>Honorarios</vt:lpstr>
      <vt:lpstr>Jornal</vt:lpstr>
      <vt:lpstr>Salarios</vt:lpstr>
      <vt:lpstr>Alimentación</vt:lpstr>
      <vt:lpstr>Distintivos</vt:lpstr>
      <vt:lpstr>Cuantías</vt:lpstr>
      <vt:lpstr>Apoyo</vt:lpstr>
      <vt:lpstr>Obra&amp;K</vt:lpstr>
      <vt:lpstr>Imp &amp; garantías</vt:lpstr>
      <vt:lpstr>A&amp;PA</vt:lpstr>
      <vt:lpstr>IVA</vt:lpstr>
      <vt:lpstr>Notas PE</vt:lpstr>
      <vt:lpstr>CF&amp;O</vt:lpstr>
      <vt:lpstr>Ayuda honorarios</vt:lpstr>
      <vt:lpstr>alimentación</vt:lpstr>
      <vt:lpstr>ANTI</vt:lpstr>
      <vt:lpstr>APOYO</vt:lpstr>
      <vt:lpstr>'A&amp;PA'!Área_de_impresión</vt:lpstr>
      <vt:lpstr>'A. Lances - SIP'!Área_de_impresión</vt:lpstr>
      <vt:lpstr>Alimentación!Área_de_impresión</vt:lpstr>
      <vt:lpstr>Apoyo!Área_de_impresión</vt:lpstr>
      <vt:lpstr>'CF&amp;O'!Área_de_impresión</vt:lpstr>
      <vt:lpstr>Cuantías!Área_de_impresión</vt:lpstr>
      <vt:lpstr>'D. Lances - SIP'!Área_de_impresión</vt:lpstr>
      <vt:lpstr>'DD. Lances - SIP'!Área_de_impresión</vt:lpstr>
      <vt:lpstr>Distintivos!Área_de_impresión</vt:lpstr>
      <vt:lpstr>'Evaluación financiera'!Área_de_impresión</vt:lpstr>
      <vt:lpstr>'Gtos DyM'!Área_de_impresión</vt:lpstr>
      <vt:lpstr>'Habilitados - SI'!Área_de_impresión</vt:lpstr>
      <vt:lpstr>Honorarios!Área_de_impresión</vt:lpstr>
      <vt:lpstr>'Imp &amp; garantías'!Área_de_impresión</vt:lpstr>
      <vt:lpstr>IVA!Área_de_impresión</vt:lpstr>
      <vt:lpstr>Jornal!Área_de_impresión</vt:lpstr>
      <vt:lpstr>'Notas PE'!Área_de_impresión</vt:lpstr>
      <vt:lpstr>'Obra&amp;K'!Área_de_impresión</vt:lpstr>
      <vt:lpstr>'PAB CR'!Área_de_impresión</vt:lpstr>
      <vt:lpstr>'Plan Ejecución'!Área_de_impresión</vt:lpstr>
      <vt:lpstr>'Ppto PSP'!Área_de_impresión</vt:lpstr>
      <vt:lpstr>'Presupuesto Contrato'!Área_de_impresión</vt:lpstr>
      <vt:lpstr>'Presupuesto Convenio'!Área_de_impresión</vt:lpstr>
      <vt:lpstr>'Propuesta económica O3'!Área_de_impresión</vt:lpstr>
      <vt:lpstr>Salarios!Área_de_impresión</vt:lpstr>
      <vt:lpstr>CRK</vt:lpstr>
      <vt:lpstr>CUANTIAS</vt:lpstr>
      <vt:lpstr>distintivos</vt:lpstr>
      <vt:lpstr>evafin</vt:lpstr>
      <vt:lpstr>gdym</vt:lpstr>
      <vt:lpstr>gtosadm</vt:lpstr>
      <vt:lpstr>'Bienes relevantes'!gtosadm2</vt:lpstr>
      <vt:lpstr>gtosadm2</vt:lpstr>
      <vt:lpstr>'Ayuda honorarios'!honorarios</vt:lpstr>
      <vt:lpstr>honorarios</vt:lpstr>
      <vt:lpstr>'A&amp;PA'!impg</vt:lpstr>
      <vt:lpstr>impg</vt:lpstr>
      <vt:lpstr>ins</vt:lpstr>
      <vt:lpstr>IVA</vt:lpstr>
      <vt:lpstr>jornal</vt:lpstr>
      <vt:lpstr>MCCOP2</vt:lpstr>
      <vt:lpstr>MCCOP3</vt:lpstr>
      <vt:lpstr>MCOP1</vt:lpstr>
      <vt:lpstr>'Memoria de cálculo O3'!MCOP3</vt:lpstr>
      <vt:lpstr>NPE</vt:lpstr>
      <vt:lpstr>PABCA</vt:lpstr>
      <vt:lpstr>PABCR</vt:lpstr>
      <vt:lpstr>PC</vt:lpstr>
      <vt:lpstr>PCV</vt:lpstr>
      <vt:lpstr>PEFI</vt:lpstr>
      <vt:lpstr>'Memoria de cálculo O2'!PPTA2</vt:lpstr>
      <vt:lpstr>PPTA2</vt:lpstr>
      <vt:lpstr>ppta3</vt:lpstr>
      <vt:lpstr>PPTOPSP</vt:lpstr>
      <vt:lpstr>rele</vt:lpstr>
      <vt:lpstr>RFO</vt:lpstr>
      <vt:lpstr>salarios</vt:lpstr>
      <vt:lpstr>subasta1</vt:lpstr>
      <vt:lpstr>subasta2</vt:lpstr>
      <vt:lpstr>subasta3</vt:lpstr>
      <vt:lpstr>subasta4</vt:lpstr>
      <vt:lpstr>'Ayuda honorarios'!Títulos_a_imprimir</vt:lpstr>
      <vt:lpstr>Distintivos!Títulos_a_imprimir</vt:lpstr>
      <vt:lpstr>Honorarios!Títulos_a_imprimir</vt:lpstr>
      <vt:lpstr>'Plan Ejecución'!Títulos_a_imprimir</vt:lpstr>
      <vt:lpstr>'Ppto PSP'!Títulos_a_imprimir</vt:lpstr>
      <vt:lpstr>'Presupuesto Contrato'!Títulos_a_imprimir</vt:lpstr>
      <vt:lpstr>'Presupuesto Convenio'!Títulos_a_imprimir</vt:lpstr>
    </vt:vector>
  </TitlesOfParts>
  <Manager/>
  <Company>Municipio de Medellin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Presupuesto Estudios previos</dc:title>
  <dc:subject/>
  <dc:creator>CORANTIOQUIA</dc:creator>
  <cp:keywords/>
  <dc:description/>
  <cp:lastModifiedBy>Gustavo Antonio Zapata Zapata</cp:lastModifiedBy>
  <cp:revision/>
  <dcterms:created xsi:type="dcterms:W3CDTF">2007-01-17T19:41:47Z</dcterms:created>
  <dcterms:modified xsi:type="dcterms:W3CDTF">2026-05-20T19:56:07Z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0x010100EDE4FF7AA3A5EE4DA2E73138C76C3EAC</vt:lpwstr>
  </property>
  <property fmtid="{D5CDD505-2E9C-101B-9397-08002B2CF9AE}" pid="3" name="MediaServiceImageTags">
    <vt:lpwstr/>
  </property>
</Properties>
</file>