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planeacionnacional-my.sharepoint.com/personal/edgagiraldo_dnp_gov_co/Documents/Archivos de chat de Microsoft Teams/"/>
    </mc:Choice>
  </mc:AlternateContent>
  <xr:revisionPtr revIDLastSave="1869" documentId="8_{DDD9AF60-DA27-4102-9DD8-3C46A38A5900}" xr6:coauthVersionLast="47" xr6:coauthVersionMax="47" xr10:uidLastSave="{9B8F7A9B-46AC-4368-997E-F1C45BF4FA0F}"/>
  <bookViews>
    <workbookView xWindow="-120" yWindow="-120" windowWidth="29040" windowHeight="15720" firstSheet="2" activeTab="5" xr2:uid="{57A47F2B-1F4B-4D1C-BFA9-94D9A484E085}"/>
  </bookViews>
  <sheets>
    <sheet name="WEXLER" sheetId="4" r:id="rId1"/>
    <sheet name="SPECTRA INGENIERÍA SAS" sheetId="2" r:id="rId2"/>
    <sheet name="VALTADRIA GROUP" sheetId="3" r:id="rId3"/>
    <sheet name="CONVIEST" sheetId="6" r:id="rId4"/>
    <sheet name="LSN" sheetId="5" r:id="rId5"/>
    <sheet name="Consolidado" sheetId="1"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21" i="1" l="1"/>
  <c r="D36" i="1"/>
  <c r="D37" i="1"/>
  <c r="E36" i="1"/>
  <c r="D121" i="1"/>
  <c r="H119" i="1"/>
  <c r="H120" i="1"/>
  <c r="H118" i="1"/>
  <c r="L61" i="1"/>
  <c r="F71" i="1" s="1"/>
  <c r="L60" i="1"/>
  <c r="E71" i="1" s="1"/>
  <c r="L59" i="1"/>
  <c r="D71" i="1" s="1"/>
  <c r="J61" i="1"/>
  <c r="F70" i="1" s="1"/>
  <c r="J60" i="1"/>
  <c r="K60" i="1" s="1"/>
  <c r="J59" i="1"/>
  <c r="K59" i="1" s="1"/>
  <c r="H61" i="1"/>
  <c r="I61" i="1" s="1"/>
  <c r="H60" i="1"/>
  <c r="E69" i="1" s="1"/>
  <c r="H59" i="1"/>
  <c r="D69" i="1" s="1"/>
  <c r="C71" i="1"/>
  <c r="C84" i="1" s="1"/>
  <c r="C104" i="1" s="1"/>
  <c r="C70" i="1"/>
  <c r="C83" i="1" s="1"/>
  <c r="C103" i="1" s="1"/>
  <c r="G100" i="1" s="1"/>
  <c r="C69" i="1"/>
  <c r="C82" i="1" s="1"/>
  <c r="C102" i="1" s="1"/>
  <c r="F100" i="1" s="1"/>
  <c r="C68" i="1"/>
  <c r="C81" i="1" s="1"/>
  <c r="C101" i="1" s="1"/>
  <c r="E100" i="1" s="1"/>
  <c r="F61" i="1"/>
  <c r="F68" i="1" s="1"/>
  <c r="F60" i="1"/>
  <c r="E68" i="1" s="1"/>
  <c r="F59" i="1"/>
  <c r="D68" i="1" s="1"/>
  <c r="L56" i="1"/>
  <c r="J56" i="1"/>
  <c r="B70" i="1" s="1"/>
  <c r="B83" i="1" s="1"/>
  <c r="H56" i="1"/>
  <c r="B69" i="1" s="1"/>
  <c r="B82" i="1" s="1"/>
  <c r="F56" i="1"/>
  <c r="B68" i="1" s="1"/>
  <c r="B81" i="1" s="1"/>
  <c r="B14" i="1"/>
  <c r="B13" i="1"/>
  <c r="B27" i="1" s="1"/>
  <c r="N7" i="1"/>
  <c r="N6" i="1"/>
  <c r="N5" i="1"/>
  <c r="O5" i="1" s="1"/>
  <c r="L7" i="1"/>
  <c r="F16" i="1" s="1"/>
  <c r="L6" i="1"/>
  <c r="E16" i="1" s="1"/>
  <c r="L5" i="1"/>
  <c r="D16" i="1" s="1"/>
  <c r="J7" i="1"/>
  <c r="F15" i="1" s="1"/>
  <c r="J6" i="1"/>
  <c r="E15" i="1" s="1"/>
  <c r="J5" i="1"/>
  <c r="D15" i="1" s="1"/>
  <c r="H7" i="1"/>
  <c r="F14" i="1" s="1"/>
  <c r="H6" i="1"/>
  <c r="E14" i="1" s="1"/>
  <c r="H5" i="1"/>
  <c r="D14" i="1" s="1"/>
  <c r="F7" i="1"/>
  <c r="F13" i="1" s="1"/>
  <c r="F6" i="1"/>
  <c r="E13" i="1" s="1"/>
  <c r="F5" i="1"/>
  <c r="D13" i="1" s="1"/>
  <c r="C31" i="1"/>
  <c r="B31" i="1"/>
  <c r="C17" i="1"/>
  <c r="B17" i="1"/>
  <c r="C30" i="1"/>
  <c r="G6" i="1" l="1"/>
  <c r="M61" i="1"/>
  <c r="M59" i="1"/>
  <c r="G5" i="1"/>
  <c r="G59" i="1"/>
  <c r="F69" i="1"/>
  <c r="F73" i="1"/>
  <c r="K7" i="1"/>
  <c r="G61" i="1"/>
  <c r="M7" i="1"/>
  <c r="K61" i="1"/>
  <c r="K62" i="1" s="1"/>
  <c r="D83" i="1" s="1"/>
  <c r="E83" i="1" s="1"/>
  <c r="F83" i="1" s="1"/>
  <c r="D103" i="1" s="1"/>
  <c r="G60" i="1"/>
  <c r="K6" i="1"/>
  <c r="D70" i="1"/>
  <c r="D73" i="1" s="1"/>
  <c r="I7" i="1"/>
  <c r="I59" i="1"/>
  <c r="E70" i="1"/>
  <c r="E73" i="1" s="1"/>
  <c r="B71" i="1"/>
  <c r="B84" i="1" s="1"/>
  <c r="I6" i="1"/>
  <c r="M6" i="1"/>
  <c r="I60" i="1"/>
  <c r="G7" i="1"/>
  <c r="M5" i="1"/>
  <c r="M60" i="1"/>
  <c r="E17" i="1"/>
  <c r="E19" i="1" s="1"/>
  <c r="E20" i="1" s="1"/>
  <c r="O6" i="1"/>
  <c r="F17" i="1"/>
  <c r="F19" i="1" s="1"/>
  <c r="F20" i="1" s="1"/>
  <c r="O7" i="1"/>
  <c r="D17" i="1"/>
  <c r="D19" i="1" s="1"/>
  <c r="D20" i="1" s="1"/>
  <c r="B30" i="1"/>
  <c r="C16" i="1"/>
  <c r="B16" i="1"/>
  <c r="G8" i="1" l="1"/>
  <c r="G9" i="1" s="1"/>
  <c r="G10" i="1" s="1"/>
  <c r="D74" i="1"/>
  <c r="G141" i="1"/>
  <c r="H141" i="1" s="1"/>
  <c r="M62" i="1"/>
  <c r="D84" i="1" s="1"/>
  <c r="E84" i="1" s="1"/>
  <c r="F84" i="1" s="1"/>
  <c r="D104" i="1" s="1"/>
  <c r="F104" i="1" s="1"/>
  <c r="G62" i="1"/>
  <c r="G63" i="1" s="1"/>
  <c r="G64" i="1" s="1"/>
  <c r="E74" i="1"/>
  <c r="G142" i="1"/>
  <c r="H142" i="1" s="1"/>
  <c r="F74" i="1"/>
  <c r="G143" i="1"/>
  <c r="H143" i="1" s="1"/>
  <c r="K63" i="1"/>
  <c r="K64" i="1" s="1"/>
  <c r="D27" i="1"/>
  <c r="I62" i="1"/>
  <c r="M8" i="1"/>
  <c r="D21" i="1"/>
  <c r="D22" i="1" s="1"/>
  <c r="D23" i="1" s="1"/>
  <c r="D24" i="1" s="1"/>
  <c r="K5" i="1"/>
  <c r="K8" i="1" s="1"/>
  <c r="M63" i="1" l="1"/>
  <c r="M64" i="1" s="1"/>
  <c r="H103" i="1"/>
  <c r="G104" i="1"/>
  <c r="D81" i="1"/>
  <c r="E81" i="1" s="1"/>
  <c r="F81" i="1" s="1"/>
  <c r="D101" i="1" s="1"/>
  <c r="D75" i="1"/>
  <c r="D76" i="1" s="1"/>
  <c r="H144" i="1"/>
  <c r="M9" i="1"/>
  <c r="D30" i="1"/>
  <c r="D82" i="1"/>
  <c r="E82" i="1" s="1"/>
  <c r="F82" i="1" s="1"/>
  <c r="D102" i="1" s="1"/>
  <c r="I63" i="1"/>
  <c r="I64" i="1" s="1"/>
  <c r="K9" i="1"/>
  <c r="D29" i="1"/>
  <c r="E29" i="1" s="1"/>
  <c r="F29" i="1" s="1"/>
  <c r="I5" i="1"/>
  <c r="I8" i="1" s="1"/>
  <c r="D28" i="1" s="1"/>
  <c r="D128" i="1" l="1"/>
  <c r="D129" i="1" s="1"/>
  <c r="D77" i="1"/>
  <c r="E128" i="1"/>
  <c r="E102" i="1"/>
  <c r="F101" i="1"/>
  <c r="F103" i="1"/>
  <c r="H102" i="1"/>
  <c r="G102" i="1"/>
  <c r="E103" i="1"/>
  <c r="G101" i="1"/>
  <c r="E104" i="1"/>
  <c r="H101" i="1"/>
  <c r="D87" i="1"/>
  <c r="D89" i="1"/>
  <c r="D88" i="1"/>
  <c r="I9" i="1"/>
  <c r="I10" i="1" s="1"/>
  <c r="O8" i="1"/>
  <c r="E27" i="1"/>
  <c r="F27" i="1" s="1"/>
  <c r="M10" i="1"/>
  <c r="E87" i="1" l="1"/>
  <c r="D90" i="1"/>
  <c r="I117" i="1"/>
  <c r="E117" i="1"/>
  <c r="D78" i="1"/>
  <c r="O9" i="1"/>
  <c r="D31" i="1"/>
  <c r="E28" i="1"/>
  <c r="F28" i="1" s="1"/>
  <c r="E30" i="1"/>
  <c r="F30" i="1" s="1"/>
  <c r="G117" i="1" l="1"/>
  <c r="E120" i="1"/>
  <c r="E119" i="1"/>
  <c r="E118" i="1"/>
  <c r="O10" i="1"/>
  <c r="E31" i="1"/>
  <c r="F31" i="1" s="1"/>
  <c r="K10" i="1"/>
  <c r="E121" i="1" l="1"/>
  <c r="D34" i="1"/>
  <c r="D35" i="1"/>
  <c r="D33" i="1"/>
  <c r="C13" i="1"/>
  <c r="C27" i="1" s="1"/>
  <c r="D38" i="1" l="1"/>
  <c r="D41" i="1"/>
  <c r="D43" i="1"/>
  <c r="D42" i="1"/>
  <c r="B15" i="1"/>
  <c r="B28" i="1"/>
  <c r="C15" i="1"/>
  <c r="C29" i="1" s="1"/>
  <c r="C14" i="1"/>
  <c r="C28" i="1" s="1"/>
  <c r="D40" i="1" l="1"/>
  <c r="D39" i="1"/>
  <c r="C26" i="1"/>
  <c r="B29" i="1"/>
  <c r="D131" i="1" l="1"/>
  <c r="D130" i="1"/>
  <c r="E130" i="1" s="1"/>
  <c r="F130" i="1" s="1"/>
  <c r="F128" i="1"/>
  <c r="E131" i="1" l="1"/>
  <c r="F131" i="1" s="1"/>
  <c r="E129" i="1"/>
  <c r="F129" i="1" s="1"/>
  <c r="F132" i="1" l="1"/>
  <c r="F133" i="1" s="1"/>
</calcChain>
</file>

<file path=xl/sharedStrings.xml><?xml version="1.0" encoding="utf-8"?>
<sst xmlns="http://schemas.openxmlformats.org/spreadsheetml/2006/main" count="469" uniqueCount="143">
  <si>
    <t> </t>
  </si>
  <si>
    <t>FORMATO COTIZACION</t>
  </si>
  <si>
    <t>DOCUMENTO:  Adquisición, implementación, configuración, puesta en operación, soporte y garantía de soluciones de seguridad tecnológica para el Departamento Nacional de Planeación (DNP), orientadas al fortalecimiento de la seguridad de las aplicaciones web institucionales y del control de acceso a la red corporativa, mediante la implementación de soluciones de Firewall de Aplicaciones Web (WAF) de nueva generación, Control de Acceso a la Red (NAC) y monitorización no intrusiva del tráfico de red.</t>
  </si>
  <si>
    <t>El Departamento Nacional de Planeación (DNP) enfrenta actualmente brechas relevantes en su postura de ciberseguridad asociadas tanto al control de acceso a la red institucional como a la protección de sus aplicaciones web expuestas a Internet y a la limitada visibilidad sobre el tráfico que circula por su infraestructura tecnológica.
Por una parte, la Entidad no cuenta con una solución de Control de Acceso a la Red (NAC) que permita validar en tiempo real el cumplimiento de políticas de seguridad de los dispositivos y usuarios antes de autorizar su conexión a la infraestructura tecnológica. Esta situación se vuelve especialmente crítica considerando la conexión recurrente de equipos desde entornos cableados, inalámbricos y remotos por parte de funcionarios, contratistas y terceros, lo cual incrementa la probabilidad de ingreso de dispositivos no conformes, vulnerables o potencialmente comprometidos.
En el contexto actual de ciber amenazas caracterizado por el uso de credenciales comprometidas, accesos no autorizados y movimientos laterales dentro de la red, la ausencia de capacidades NAC limita de forma significativa la prevención, detección temprana y contención de incidentes de seguridad, exponiendo a la Entidad a riesgos sobre la disponibilidad de los servicios, la confidencialidad e integridad de la información y la continuidad operativa.
De manera complementaria, el DNP dispone actualmente de ciento cuarenta y tres (143) aplicaciones web, con proyección de crecimiento, las cuales soportan servicios institucionales críticos y se encuentran expuestas permanentemente a amenazas cibernéticas dirigidas, propias del sector gobierno. La inexistencia de un Firewall de Aplicaciones Web (WAF) especializado incrementa el riesgo de materialización de incidentes tales como defacement de portales, explotación de vulnerabilidades, indisponibilidad de servicios digitales y afectaciones a la imagen institucional, con posibles impactos reputacionales y observaciones por parte de entes de control.
Adicionalmente, la Entidad presenta limitaciones en la visibilidad y monitoreo del tráfico que circula por su infraestructura de red, lo cual dificulta el análisis oportuno de comportamientos anómalos, la identificación de posibles amenazas y la generación de evidencia técnica para la investigación de incidentes de seguridad. La ausencia de mecanismos de monitorización no intrusiva del tráfico de red limita la capacidad institucional para observar y analizar el flujo de información que transita por los enlaces críticos sin afectar la operación de los servicios tecnológicos.
La implementación de capacidades de monitorización no intrusiva permitirá obtener visibilidad del tráfico de red mediante mecanismos de replicación pasiva hacia herramientas de análisis y seguridad, fortaleciendo las capacidades de detección, análisis y respuesta ante eventos de ciberseguridad, así como el monitoreo del desempeño de los servicios tecnológicos.
En este escenario, la implementación conjunta de capacidades NAC, WAF y monitorización no intrusiva del tráfico de red se alinea con el principio de defensa en profundidad y con las buenas prácticas de seguridad de la información, al permitir:
• Controlar y validar el acceso de usuarios y dispositivos a la red institucional.
• Reducir la superficie de ataque interna y externa.
• Proteger de forma centralizada las aplicaciones web actuales y futuras.
• Mejorar la visibilidad del tráfico de red para facilitar el análisis de seguridad y la detección de comportamientos anómalos.
• Fortalecer la capacidad de prevención, detección y respuesta ante incidentes.
• Mejorar la trazabilidad y el cumplimiento de políticas de seguridad.
Adicionalmente, la solución requerida deberá garantizar interoperabilidad con la plataforma de seguridad existente en la Entidad, así como capacidades de integración, correlación de eventos y administración centralizada, con el fin de reducir la complejidad operativa, optimizar la gestión de la seguridad y favorecer la eficiencia en costos de operación y soporte.
Se considera crítica la restitución de los recursos del proyecto, dado que su aplazamiento prolonga una exposición de riesgo actualmente identificada y sin control compensatorio equivalente, manteniendo a la Entidad en un nivel de vulnerabilidad que no es acorde con la naturaleza de los servicios que presta ni con las exigencias del entorno de amenazas vigente.
En consecuencia, la adquisición e implementación de estas soluciones constituye una medida necesaria y proporcional para fortalecer la postura de ciberseguridad institucional, proteger los activos de información del DNP y garantizar la continuidad y confiabilidad de los servicios digitales ofrecidos a la ciudadanía.</t>
  </si>
  <si>
    <r>
      <t xml:space="preserve">CLASIFICADOR DE BIENES Y SERVICIOS: </t>
    </r>
    <r>
      <rPr>
        <sz val="9"/>
        <rFont val="Arial"/>
        <family val="2"/>
      </rPr>
      <t>(</t>
    </r>
    <r>
      <rPr>
        <b/>
        <sz val="9"/>
        <rFont val="Arial"/>
        <family val="2"/>
      </rPr>
      <t>Nota</t>
    </r>
    <r>
      <rPr>
        <sz val="9"/>
        <rFont val="Arial"/>
        <family val="2"/>
      </rPr>
      <t xml:space="preserve">. </t>
    </r>
    <r>
      <rPr>
        <b/>
        <sz val="9"/>
        <rFont val="Arial"/>
        <family val="2"/>
      </rPr>
      <t>El proveedor podrá sugerir otros códigos que se relacionen con el bien y/o servicio a contratar)</t>
    </r>
  </si>
  <si>
    <t>De acuerdo con la clasificación del Código Estándar de Productos y Servicios de Naciones Unidas, (UNSPSC), el servicio requerido por el Departamento Nacional de Planeación, identificados con los códigos: 43233201- 81111801-43222501-81112203-81112208</t>
  </si>
  <si>
    <t>OBJETO: Adquisición, implementación, configuración, puesta en operación, soporte y garantía de soluciones de seguridad tecnológica para el Departamento Nacional de Planeación (DNP), orientadas al fortalecimiento de la seguridad de las aplicaciones web institucionales y del control de acceso a la red corporativa, mediante la implementación de soluciones de Firewall de Aplicaciones Web (WAF) de nueva generación, Control de Acceso a la Red (NAC) y monitorización no intrusiva del tráfico de red.</t>
  </si>
  <si>
    <r>
      <t>ACTIVIDADES ESPECÍFICAS ESTIMADAS A DESARROLLAR</t>
    </r>
    <r>
      <rPr>
        <sz val="11"/>
        <rFont val="Calibri"/>
        <family val="2"/>
      </rPr>
      <t xml:space="preserve">
(Nota. En la publicación del proceso la entidad podrá incluir adicionales que tengan relación directa con el objeto a contratar).
El contratista deberá prestar el soporte de primer nivel sobre las soluciones implementadas, mientras que el soporte de segundo nivel deberá ser provisto directamente por el fabricante de las mismas. El fabricante deberá contar con representación oficial y capacidad de atención en Colombia
El contratista deberá disponer de un servicio de atención técnica mediante el cual se reciban los incidentes y requerimientos reportados por el DNP. Este servicio deberá incluir el registro de cada caso, consignando como mínimo la fecha, hora, descripción del incidente o requerimiento y número de caso asignado para su identificación y seguimiento, conforme a los niveles de servicio definidos por el fabricante.
El contratista deberá realizar, durante los tres (3) primeros meses de ejecución del contrato, las actividades de instalación, configuración, puesta en funcionamiento, hardening, assessment inicial y afinamiento de las plataformas NAC,WAF y monitorización no intrusiva del tráfico de red, conforme a las mejores prácticas del fabricante y a las políticas de seguridad del DNP. Estas actividades deberán garantizar la correcta integración con la infraestructura tecnológica de la Entidad, la aplicación de configuraciones seguras desde su entrada en operación y la estabilización de las soluciones en ambiente productivo.
El contratista deberá prestar el servicio de soporte y atención de incidentes mediante atención telefónica, correo electrónico, sesiones remotas y/o atención en sitio, en horario hábil y no hábil, garantizando disponibilidad 24x7x365.
Cuando un incidente requiera atención en sitio, el contratista deberá desplazarse a la ubicación definida por el supervisor del contrato en un tiempo no mayor a dos (2) horas contadas a partir de la notificación formal.
El contratista deberá escalar al fabricante aquellos incidentes que no hayan sido solucionados dentro de las veinticuatro (24) horas siguientes a su reporte por parte del DNP, utilizando los canales oficiales de soporte del fabricante.
El contratista deberá realizar la configuración, activación y puesta en funcionamiento de todo el licenciamiento adquirido para las soluciones NAC, WAF y monitorización no intrusiva del tráfico de red, garantizando su correcta integración con la infraestructura tecnológica de la Entidad.
El contratista deberá realizar el soporte técnico, mantenimiento preventivo y correctivo, así como la gestión de actualizaciones de firmware y software conforme a las versiones estables publicadas por el fabricante.
El contratista deberá asesorar al DNP en la solución de problemas que se presenten durante la instalación, configuración y utilización de las soluciones objeto del contrato.
El contratista deberá estructurar y presentar, cuando aplique, las solicitudes de cambio (RFC) requeridas para la implementación de mejoras o mitigación de vulnerabilidades, conforme a los procedimientos internos del DNP.
El contratista deberá incluir dentro del soporte el proceso de RMA (Return Merchandise Authorization) o mecanismo equivalente del fabricante para la gestión de equipos defectuosos cuando aplique.
El contratista deberá garantizar que el reemplazo de partes se realice conforme a los tiempos establecidos por el fabricante dentro del nivel de soporte adquirido
En caso de que un equipo requiera más de tres (3) reemplazos de partes por fallas dentro de un período inferior a un (1) año, el contratista deberá gestionar el cambio total del dispositivo.
El contratista deberá prestar el servicio de soporte, mantenimiento y garantía en la ciudad de Bogotá D.C. y sus alrededores, asegurando cobertura adecuada para la atención oportuna de los requerimientos de la Entidad.
El contratista deberá realizar una transferencia de conocimiento técnico sobre las soluciones NAC  WAF y monitorización no intrusiva del tráfico de red que incluya administración, configuración, operación y atención de incidentes.
La capacitación deberá:
Tener una duración mínima de treinta (30) horas por cada producto, Incluir temario detallado previamente aprobado, realizarse para mínimo Cuatro (4) funcionarios designados por el DNP, Entregar memorias y material de consulta.</t>
    </r>
  </si>
  <si>
    <t>DOCUMENTOS Y/O REQUERIMIENTOS TÉCNICOS ADICIONALES:</t>
  </si>
  <si>
    <r>
      <t>REQUISITOS TÉCNICOS: Para el proceso de selección el proveedor debe tener en cuenta que debe acreditar lo siguiente:</t>
    </r>
    <r>
      <rPr>
        <sz val="11"/>
        <rFont val="Calibri"/>
        <family val="2"/>
      </rPr>
      <t xml:space="preserve">
El contratista deberá aportar un certificado expedido por el fabricante de las soluciones, dirigido a la Entidad donde se especifique que  cuenta con un nivel de partner o canal en la categoría mas alta dentro del programa de canales del fabricante y su fecha de expedición no podrá ser superior a treinta (30) días calendario contados a partir del cierre del proceso de selección.
El contratista deberá acreditar que cuenta con personal técnico certificado en soluciones de WAF, NAC y monitorización no intrusiva del tráfico de red  para la prestación del servicio de soporte especializado requerido por la Entidad, para lo cual deberá aportar certificaciones vigentes del personal o certificación del fabricante que lo avale.</t>
    </r>
  </si>
  <si>
    <t>MECANISMOS MÍNIMOS DE COBERTURA DEL CONTRATO. (Nota. Las garantías pueden ser modificadas de acuerdo al análisis del estudio sector y afinidad con el objeto a desarrollar)</t>
  </si>
  <si>
    <t>Riesgo</t>
  </si>
  <si>
    <t>Valor</t>
  </si>
  <si>
    <t>Vigencia</t>
  </si>
  <si>
    <t>Cumplimiento</t>
  </si>
  <si>
    <t>10% del valor del Contrato</t>
  </si>
  <si>
    <t>Por el término de ejecución y seis (6) meses más contados a partir de la firma del contrato.</t>
  </si>
  <si>
    <t>Calidad del servicio (spoporte técnico)</t>
  </si>
  <si>
    <t>Dos (2) años contados a partir de la terminación del plazo de ejecución del contrato.</t>
  </si>
  <si>
    <t>Pagos de salarios, prestaciones sociales legales e indemnizaciones laborales</t>
  </si>
  <si>
    <t>5% del valor del Contrato</t>
  </si>
  <si>
    <t>Por el término de ejecución y tres (3) años más contados a partir de la firma del contrato.</t>
  </si>
  <si>
    <t xml:space="preserve">ESPECIFICACIONES TÉCNICAS REQUERIDAS </t>
  </si>
  <si>
    <t>Item</t>
  </si>
  <si>
    <t>Descripcion</t>
  </si>
  <si>
    <t xml:space="preserve">Cantidad </t>
  </si>
  <si>
    <t>Valor Unitario</t>
  </si>
  <si>
    <t>Valor total</t>
  </si>
  <si>
    <t>Web Application Firewall (WAF) en HA</t>
  </si>
  <si>
    <t xml:space="preserve"> $ 450.730.668</t>
  </si>
  <si>
    <t>Network Access Control (NAC) en HA</t>
  </si>
  <si>
    <t xml:space="preserve"> $ 434.720.002</t>
  </si>
  <si>
    <t>Solucion Monitorizacion no inclusiva de trafico</t>
  </si>
  <si>
    <t xml:space="preserve"> $ 128.497.001</t>
  </si>
  <si>
    <t>VALOR ANTES DE IVA</t>
  </si>
  <si>
    <t xml:space="preserve"> $1.013.947.671</t>
  </si>
  <si>
    <t>VALOR IVA</t>
  </si>
  <si>
    <t xml:space="preserve"> $ 192.650.057</t>
  </si>
  <si>
    <t>VALOR INCLUIDO IVA</t>
  </si>
  <si>
    <t xml:space="preserve"> $ 1.206.597.728</t>
  </si>
  <si>
    <r>
      <t xml:space="preserve">REQUISITOS DE LA PROPUESTA: </t>
    </r>
    <r>
      <rPr>
        <sz val="11"/>
        <rFont val="Arial Narrow"/>
        <family val="2"/>
      </rPr>
      <t>El proponente debe diligenciar por completo el Cuadro anterior, el cual deberá presentarlo en pesos colombianos y con el ofrecimiento economico se entiende incluida las condiciones contractuales remitidas con la ficha técnica. Lo anterior, con la finalidad de establecer el valor del presente proceso de selección y establecer las condiciones contractuales minmas del sector que se requieren para el desarrollo del objeto contractual. Adicionalmente, se estima una necesidad de que la cotización tenga una vigencia de noventa (90) días, en caso de que el proveedor estime una vigencia diferente por favor indicarlo en su respuesta.</t>
    </r>
  </si>
  <si>
    <r>
      <t>FORMA DE PAGO Y PLAZO DE EJECUCIÓN:
-</t>
    </r>
    <r>
      <rPr>
        <sz val="11"/>
        <rFont val="Arial Narrow"/>
        <family val="2"/>
      </rPr>
      <t>El DNP, pagará el valor del contrato en un (1) solo pago previo recibo a satisfacción de los soportes de entrega de los 2 (dos) equipos  de WAF, de los dos (2) equipos de  NAC y de la solucion de monitorización no intrusiva del tráfico de red.Suma que cancelará previo cumplimiento de los siguientes requisitos :</t>
    </r>
    <r>
      <rPr>
        <b/>
        <sz val="11"/>
        <rFont val="Arial Narrow"/>
        <family val="2"/>
      </rPr>
      <t xml:space="preserve">
• </t>
    </r>
    <r>
      <rPr>
        <sz val="11"/>
        <rFont val="Arial Narrow"/>
        <family val="2"/>
      </rPr>
      <t>Factura electrónica o Cuenta de cobro según sea el caso con el lleno de los requisitos legales.
• Recibo de cumplimiento a satisfacción por parte del supervisor del contrato, con el cumplimiento de las obligaciones establecidas.
• Copia del comprobante del pago de seguridad social y/o aportes parafiscales (persona natural) o certificación original y/o Copia expedida por el representante legal o revisor fiscal de encontrarse al día en el pago al sistema de seguridad social de sus empleados y en los aportes parafiscales y ARL, si estuviere obligado a este pago (persona jurídica), de conformidad con lo establecido en la Ley 789 de 2012 y el plazo estimado de ejecución de este contrato será hasta por un (1) mes.</t>
    </r>
  </si>
  <si>
    <r>
      <t xml:space="preserve">IDENTIFICACIÓN DEL PROVEEDOR: </t>
    </r>
    <r>
      <rPr>
        <sz val="11"/>
        <rFont val="Arial Narrow"/>
        <family val="2"/>
      </rPr>
      <t>(El proveedor deberá indicar el tamaño empresarial al cual pertenece, es decir, si es micro, pequeña, mediana o gran empresa. Opcional: De ser posible remitir una copia del certificado de existencia y representacion legal).</t>
    </r>
  </si>
  <si>
    <r>
      <t>PRESENTACIÓN DE OFERTAS</t>
    </r>
    <r>
      <rPr>
        <sz val="11"/>
        <rFont val="Arial Narrow"/>
        <family val="2"/>
      </rPr>
      <t>: Enviar cotización y/o observaciones por la plataforma de Secop II, en caso de ser este el medio de convocatoria.</t>
    </r>
  </si>
  <si>
    <r>
      <t>OBSERVACIONES</t>
    </r>
    <r>
      <rPr>
        <sz val="11"/>
        <rFont val="Arial Narrow"/>
        <family val="2"/>
      </rPr>
      <t>: (El proveedor podrá incluir en este campo las observaciones a la ficha técnica de las condiciones establecidas por el DNP, a  fin de que la entidad pueda analizar y realizar los ajustes necesarios, si hay a lugar, del objeto a contratar)</t>
    </r>
  </si>
  <si>
    <t>OFICINA DE TECNOLOGIAS Y SISTEMAS DE INFORMACIÓN</t>
  </si>
  <si>
    <r>
      <t>REQUISITOS TÉCNICOS: Para el proceso de selección el proveedor debe tener en cuenta que debe acreditar lo siguiente:</t>
    </r>
    <r>
      <rPr>
        <sz val="11"/>
        <color rgb="FF000000"/>
        <rFont val="Calibri"/>
        <family val="2"/>
      </rPr>
      <t xml:space="preserve">
El oferente deberá aportar un certificado expedido por el fabricante de las soluciones, dirigido a la Entidad donde se especifique que  cuenta con un nivel de partner o canal en la categoría mas alta dentro del programa de canales del fabricante y su fecha de expedición no podrá ser superior a treinta (30) días calendario contados a partir del cierre del proceso de selección.
El oferente deberá acreditar que cuenta con personal técnico certificado en soluciones de WAF, NAC y monitorización no intrusiva del tráfico de red, para la prestación del servicio de soporte especializado requerido por la Entidad, para lo cual deberá aportar certificaciones vigentes del personal, certificados de aprobación de exámenes oficiales del fabricante o certificación del fabricante que avale dichas competencias.</t>
    </r>
  </si>
  <si>
    <t xml:space="preserve"> $ 1.548.236.756</t>
  </si>
  <si>
    <t xml:space="preserve"> $ 862.452.648</t>
  </si>
  <si>
    <t xml:space="preserve"> $    92.357.871</t>
  </si>
  <si>
    <t xml:space="preserve"> $ 2.503.047.275</t>
  </si>
  <si>
    <t xml:space="preserve"> $ 475.578.982</t>
  </si>
  <si>
    <t xml:space="preserve"> $ 2.978.626.257</t>
  </si>
  <si>
    <t>NOTA: En caso de requerir otra información o recibir defectuosamente el texto o incompleto el número de hojas favor comunicarse a: xxxxx</t>
  </si>
  <si>
    <t xml:space="preserve"> $1.572.107.514,00</t>
  </si>
  <si>
    <t xml:space="preserve"> $ 843.133.304,00</t>
  </si>
  <si>
    <t xml:space="preserve"> $ 92.851.104,00</t>
  </si>
  <si>
    <t>$ 2.508.091.922,00</t>
  </si>
  <si>
    <t xml:space="preserve"> $ 476.537.465,18</t>
  </si>
  <si>
    <t xml:space="preserve"> $   2.984.629.387,18</t>
  </si>
  <si>
    <t xml:space="preserve"> $1.562.972.134,00</t>
  </si>
  <si>
    <t xml:space="preserve"> $  865.792.976,00</t>
  </si>
  <si>
    <t xml:space="preserve"> $   92.804.487,00</t>
  </si>
  <si>
    <t xml:space="preserve"> $ 2.521.569.597,00</t>
  </si>
  <si>
    <t xml:space="preserve"> $ 479.098.223,43</t>
  </si>
  <si>
    <t xml:space="preserve"> $ 3.000.667.820,43</t>
  </si>
  <si>
    <t xml:space="preserve"> $ 1.584.895.178,00</t>
  </si>
  <si>
    <t xml:space="preserve"> $ 874.368.322,00</t>
  </si>
  <si>
    <t xml:space="preserve"> $ 92.016.254,00</t>
  </si>
  <si>
    <t xml:space="preserve"> $2.551.279.754,00</t>
  </si>
  <si>
    <t xml:space="preserve"> $ 484.743.153,26</t>
  </si>
  <si>
    <t xml:space="preserve"> $ 3.036.022.907,26</t>
  </si>
  <si>
    <t>Proceso de Cotización:</t>
  </si>
  <si>
    <t>SECOP II: DNP-SIP-027-2026 : 5 COTIZACIONES</t>
  </si>
  <si>
    <t>WEXLER</t>
  </si>
  <si>
    <t>SPECTRA INGENIERIA SAS</t>
  </si>
  <si>
    <t>VALTADRIA GROUP</t>
  </si>
  <si>
    <t>CONVIEST</t>
  </si>
  <si>
    <t>LSN</t>
  </si>
  <si>
    <t>Correo Electronico: 0</t>
  </si>
  <si>
    <t>Ítem</t>
  </si>
  <si>
    <t>Descripción</t>
  </si>
  <si>
    <t>Cantidad Licencias</t>
  </si>
  <si>
    <t>COTIZANTE 1</t>
  </si>
  <si>
    <t>COTIZANTE 2</t>
  </si>
  <si>
    <t>COTIZANTE 3</t>
  </si>
  <si>
    <t>COTIZANTE 4</t>
  </si>
  <si>
    <t>COTIZANTE 5</t>
  </si>
  <si>
    <t>Valor unitario</t>
  </si>
  <si>
    <t>EMPRESA</t>
  </si>
  <si>
    <t>COTIZANTE</t>
  </si>
  <si>
    <t>ÍTEM 1</t>
  </si>
  <si>
    <t>ÍTEM 2</t>
  </si>
  <si>
    <t>ÍTEM 3</t>
  </si>
  <si>
    <t>PROMEDIO DEL COMPONENTE</t>
  </si>
  <si>
    <t>VALOR X CANTIDAD</t>
  </si>
  <si>
    <t>VALOR TOTAL</t>
  </si>
  <si>
    <t>IVA</t>
  </si>
  <si>
    <t>VALOR TOTAL ESTIMADO</t>
  </si>
  <si>
    <t>VALOR TOTAL ESTIMADO SMMLV</t>
  </si>
  <si>
    <t>SUBTOTAL</t>
  </si>
  <si>
    <t>VALOR TOTAL COTIZACIÓN</t>
  </si>
  <si>
    <t xml:space="preserve">Media </t>
  </si>
  <si>
    <t>Mediana</t>
  </si>
  <si>
    <t>Desv estandar</t>
  </si>
  <si>
    <t>Coeficiente de Variación</t>
  </si>
  <si>
    <t>Piso - Desvest (mediana -1 desvest.)</t>
  </si>
  <si>
    <t>Techo - Desvest (mediana +1 desvest.)</t>
  </si>
  <si>
    <t>De acuerdo con el análisis de piso y techo (mediana ± una desviación estándar), se establece un rango entre $2,182,291,228 y $3,786,967,546. en este sentido, se evidencia que la cotización N.º 1, por valor de $1,206,597,728, se encuentra por debajo del límite inferior, por lo que se considera un dato atípico y se excluye del análisis.
En consecuencia, el presupuesto del proceso se determina con base en las cuatro cotizaciones restantes, las cuales se encuentran dentro del rango definido, garantizando así una estimación más consistente y representativa.</t>
  </si>
  <si>
    <t>Análisis sin dato atípico:</t>
  </si>
  <si>
    <t>Una vez excluida la cotización N.º 1 por considerarse atípica, se procede a realizar el análisis con las cuatro cotizaciones restantes, las cuales se encuentran dentro del rango definido por el análisis de piso y techo (mediana ± una desviación estándar). En este contexto, los datos presentan un comportamiento más homogéneo y consistente, permitiendo obtener una estimación más representativa para la determinación del presupuesto del proceso.</t>
  </si>
  <si>
    <t>Dado que el coeficiente de variación obtenido es de 0,86%, se evidencia que los datos presentan una baja dispersión, al encontrarse dentro del rango de 0 ≤ CV ≤ 0,3. En consecuencia, la media aritmética se considera una medida representativa y adecuada para la estimación del presupuesto del proceso.
Lo anterior indica que, una vez excluida la cotización atípica, las cotizaciones restantes muestran un comportamiento homogéneo y consistente, permitiendo utilizar el promedio como un valor confiable para la toma de decisiones.</t>
  </si>
  <si>
    <t>Análaisis % de mejora:</t>
  </si>
  <si>
    <t>NA</t>
  </si>
  <si>
    <t>Para establecer el porcentaje del lance mínimo de mejora, se realizó el cálculo identificando la tendencia de variación más baja entre las cotizaciones allegadas con el fin de determinar la diferencia mínima que predomina en los precios de mercado, siendo esta del 1%, este mecanismo permitirá desarrollar una subasta más dinámica, promoviendo un uso más eficiente de los recursos públicos, ya que incentiva una mayor cantidad de lances y una competencia más activa al cierre del evento</t>
  </si>
  <si>
    <t>RECURSO</t>
  </si>
  <si>
    <t>USO</t>
  </si>
  <si>
    <t>% DE PARTICIÁCIÓN</t>
  </si>
  <si>
    <t>VALOR</t>
  </si>
  <si>
    <t>CDP</t>
  </si>
  <si>
    <t>PGN</t>
  </si>
  <si>
    <t>C-0399-1000-8-0-0399066-02 ADQUISICIÓN DE BIENES Y SERVICIOS - SERVICIOS TECNOLOGICOS - FORTALECIMIENTO DE LAS TIC PARA EL CUMPLIMIENTO DE LOS OBJETIVOS DEL DNP A NIVEL NACIONAL</t>
  </si>
  <si>
    <t>SGR</t>
  </si>
  <si>
    <t>A-02-02-02-008-005-02 - SERVICIOS DE INVESTIGACIÓN Y SEGURIDAD - 1103012 FTO ÓRG</t>
  </si>
  <si>
    <t>A-02-02-02-008-005-02 - SERVICIOS DE INVESTIGACIÓN Y SEGURIDAD - 1203010 SSEC</t>
  </si>
  <si>
    <t>A-02-02-02-008-005-02 - SERVICIOS DE INVESTIGACIÓN Y SEGURIDAD - 1103011 SIEC</t>
  </si>
  <si>
    <t>TOTAL</t>
  </si>
  <si>
    <t>ANÁLISIS BOLSA MERCANTÍL</t>
  </si>
  <si>
    <t>PRESUPUESTO ANTES DE IVA</t>
  </si>
  <si>
    <t xml:space="preserve"> Registro Bolsa  </t>
  </si>
  <si>
    <t xml:space="preserve"> Compensación y Liquidación  </t>
  </si>
  <si>
    <t> Costo Comisión*</t>
  </si>
  <si>
    <t>*Promedio de las comisiones para procesos con valores entre $2,700 mill y $3.300 mill del 01/01/2025 al 24/03/2026.</t>
  </si>
  <si>
    <t>Sobrecosto</t>
  </si>
  <si>
    <t>Cantidad</t>
  </si>
  <si>
    <t>VALOR UNITARIO INCLUIDO IVA</t>
  </si>
  <si>
    <t>VALOR TOTAL INCLUIDO IVA</t>
  </si>
  <si>
    <t>TOTAL CON IVA</t>
  </si>
  <si>
    <t>Q1</t>
  </si>
  <si>
    <t>Q3</t>
  </si>
  <si>
    <t>RIC</t>
  </si>
  <si>
    <t>Límite inferior</t>
  </si>
  <si>
    <t>Límite superior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</si>
</sst>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_(&quot;$&quot;\ * #,##0_);_(&quot;$&quot;\ * \(#,##0\);_(&quot;$&quot;\ * &quot;-&quot;??_);_(@_)"/>
    <numFmt numFmtId="166" formatCode="_-* #,##0_-;\-* #,##0_-;_-* &quot;-&quot;??_-;_-@_-"/>
    <numFmt numFmtId="167" formatCode="_-&quot;$&quot;\ * #,##0_-;\-&quot;$&quot;\ * #,##0_-;_-&quot;$&quot;\ * &quot;-&quot;??_-;_-@_-"/>
    <numFmt numFmtId="168" formatCode="_-&quot;$&quot;* #,##0_-;\-&quot;$&quot;* #,##0_-;_-&quot;$&quot;* &quot;-&quot;_-;_-@_-"/>
    <numFmt numFmtId="169" formatCode="[$$-240A]\ #,##0.00"/>
    <numFmt numFmtId="170" formatCode="_-* #,##0.00000_-;\-* #,##0.00000_-;_-* &quot;-&quot;??_-;_-@_-"/>
    <numFmt numFmtId="171" formatCode="_([$$-409]* #,##0_);_([$$-409]* \(#,##0\);_([$$-409]* &quot;-&quot;??_);_(@_)"/>
    <numFmt numFmtId="172" formatCode="[$$-240A]\ #,##0"/>
  </numFmts>
  <fonts count="43" x14ac:knownFonts="1">
    <font>
      <sz val="11"/>
      <color theme="1"/>
      <name val="Aptos Narrow"/>
      <family val="2"/>
      <scheme val="minor"/>
    </font>
    <font>
      <sz val="11"/>
      <color theme="1"/>
      <name val="Aptos Narrow"/>
      <family val="2"/>
      <scheme val="minor"/>
    </font>
    <font>
      <b/>
      <sz val="11"/>
      <color theme="1"/>
      <name val="Aptos Narrow"/>
      <family val="2"/>
      <scheme val="minor"/>
    </font>
    <font>
      <b/>
      <sz val="11"/>
      <name val="Arial"/>
      <family val="2"/>
    </font>
    <font>
      <sz val="10"/>
      <name val="Arial"/>
      <family val="2"/>
    </font>
    <font>
      <b/>
      <sz val="11"/>
      <name val="Arial Narrow"/>
      <family val="2"/>
    </font>
    <font>
      <sz val="11"/>
      <name val="Arial Narrow"/>
      <family val="2"/>
    </font>
    <font>
      <sz val="11"/>
      <name val="Aptos Narrow"/>
      <family val="2"/>
      <scheme val="minor"/>
    </font>
    <font>
      <b/>
      <sz val="11"/>
      <name val="Aptos Narrow"/>
      <family val="2"/>
      <scheme val="minor"/>
    </font>
    <font>
      <b/>
      <sz val="10"/>
      <name val="Aptos Narrow"/>
      <family val="2"/>
      <scheme val="minor"/>
    </font>
    <font>
      <sz val="10"/>
      <name val="Aptos Narrow"/>
      <family val="2"/>
      <scheme val="minor"/>
    </font>
    <font>
      <sz val="10"/>
      <color rgb="FFFF0000"/>
      <name val="Aptos Narrow"/>
      <family val="2"/>
      <scheme val="minor"/>
    </font>
    <font>
      <u/>
      <sz val="11"/>
      <color theme="10"/>
      <name val="Aptos Narrow"/>
      <family val="2"/>
      <scheme val="minor"/>
    </font>
    <font>
      <sz val="10"/>
      <color rgb="FF000000"/>
      <name val="Arial Narrow"/>
      <family val="2"/>
    </font>
    <font>
      <sz val="10"/>
      <name val="Tahoma"/>
      <family val="2"/>
    </font>
    <font>
      <sz val="11"/>
      <name val="Arial"/>
      <family val="2"/>
    </font>
    <font>
      <sz val="14"/>
      <color theme="1"/>
      <name val="Aptos Narrow"/>
      <family val="2"/>
      <scheme val="minor"/>
    </font>
    <font>
      <b/>
      <sz val="14"/>
      <color theme="1"/>
      <name val="Aptos Narrow"/>
      <family val="2"/>
      <scheme val="minor"/>
    </font>
    <font>
      <sz val="10"/>
      <name val="Arial Narrow"/>
      <family val="2"/>
    </font>
    <font>
      <b/>
      <sz val="10"/>
      <name val="Arial Narrow"/>
      <family val="2"/>
    </font>
    <font>
      <b/>
      <sz val="11"/>
      <color theme="1"/>
      <name val="Arial Narrow"/>
      <family val="2"/>
    </font>
    <font>
      <sz val="11"/>
      <color theme="1"/>
      <name val="Arial Narrow"/>
      <family val="2"/>
    </font>
    <font>
      <u/>
      <sz val="11"/>
      <color theme="10"/>
      <name val="Arial Narrow"/>
      <family val="2"/>
    </font>
    <font>
      <sz val="10"/>
      <color theme="1"/>
      <name val="Arial Narrow"/>
      <family val="2"/>
    </font>
    <font>
      <b/>
      <sz val="10"/>
      <color theme="1"/>
      <name val="Arial Narrow"/>
      <family val="2"/>
    </font>
    <font>
      <sz val="10"/>
      <color rgb="FF000000"/>
      <name val="Aptos Narrow"/>
      <family val="2"/>
      <scheme val="minor"/>
    </font>
    <font>
      <b/>
      <sz val="11"/>
      <color rgb="FF000000"/>
      <name val="Arial Narrow"/>
      <family val="2"/>
    </font>
    <font>
      <sz val="11"/>
      <color rgb="FF000000"/>
      <name val="Arial Narrow"/>
      <family val="2"/>
    </font>
    <font>
      <sz val="11"/>
      <color theme="1"/>
      <name val="Calibri"/>
      <family val="2"/>
    </font>
    <font>
      <b/>
      <sz val="11"/>
      <name val="Aptos Narrow"/>
      <family val="2"/>
    </font>
    <font>
      <sz val="18"/>
      <color rgb="FFFF0000"/>
      <name val="Aptos Narrow"/>
      <family val="2"/>
      <scheme val="minor"/>
    </font>
    <font>
      <sz val="11"/>
      <color rgb="FF000000"/>
      <name val="Calibri"/>
      <family val="2"/>
    </font>
    <font>
      <b/>
      <sz val="12"/>
      <name val="Arial Narrow"/>
      <family val="2"/>
    </font>
    <font>
      <sz val="11"/>
      <color rgb="FF333333"/>
      <name val="Arial Narrow"/>
      <family val="2"/>
    </font>
    <font>
      <sz val="10"/>
      <color theme="1"/>
      <name val="Aptos Narrow"/>
      <family val="2"/>
      <scheme val="minor"/>
    </font>
    <font>
      <sz val="10"/>
      <color rgb="FFFF0000"/>
      <name val="Arial Narrow"/>
      <family val="2"/>
    </font>
    <font>
      <sz val="11"/>
      <name val="Calibri"/>
      <family val="2"/>
    </font>
    <font>
      <sz val="22"/>
      <name val="Tahoma"/>
      <family val="2"/>
    </font>
    <font>
      <sz val="9"/>
      <name val="Arial"/>
      <family val="2"/>
    </font>
    <font>
      <b/>
      <sz val="9"/>
      <name val="Arial"/>
      <family val="2"/>
    </font>
    <font>
      <b/>
      <sz val="11"/>
      <name val="Calibri"/>
      <family val="2"/>
    </font>
    <font>
      <b/>
      <sz val="11"/>
      <color rgb="FF000000"/>
      <name val="Calibri"/>
      <family val="2"/>
    </font>
    <font>
      <sz val="11"/>
      <color theme="1"/>
      <name val="Arial Narrow"/>
      <family val="2"/>
    </font>
  </fonts>
  <fills count="8">
    <fill>
      <patternFill patternType="none"/>
    </fill>
    <fill>
      <patternFill patternType="gray125"/>
    </fill>
    <fill>
      <patternFill patternType="solid">
        <fgColor theme="7" tint="0.79998168889431442"/>
        <bgColor indexed="64"/>
      </patternFill>
    </fill>
    <fill>
      <patternFill patternType="solid">
        <fgColor rgb="FFD1D1D1"/>
        <bgColor indexed="64"/>
      </patternFill>
    </fill>
    <fill>
      <patternFill patternType="solid">
        <fgColor rgb="FFB4C6E7"/>
        <bgColor rgb="FF000000"/>
      </patternFill>
    </fill>
    <fill>
      <patternFill patternType="solid">
        <fgColor rgb="FF8EA9DB"/>
        <bgColor rgb="FF000000"/>
      </patternFill>
    </fill>
    <fill>
      <patternFill patternType="solid">
        <fgColor rgb="FF305496"/>
        <bgColor rgb="FF000000"/>
      </patternFill>
    </fill>
    <fill>
      <patternFill patternType="solid">
        <fgColor rgb="FFFFFF0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rgb="FF000000"/>
      </right>
      <top/>
      <bottom style="thin">
        <color indexed="64"/>
      </bottom>
      <diagonal/>
    </border>
    <border>
      <left style="thin">
        <color rgb="FF000000"/>
      </left>
      <right style="thin">
        <color indexed="64"/>
      </right>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medium">
        <color indexed="64"/>
      </top>
      <bottom style="thin">
        <color indexed="64"/>
      </bottom>
      <diagonal/>
    </border>
    <border>
      <left/>
      <right style="medium">
        <color rgb="FF000000"/>
      </right>
      <top style="thin">
        <color indexed="64"/>
      </top>
      <bottom style="thin">
        <color indexed="64"/>
      </bottom>
      <diagonal/>
    </border>
    <border>
      <left/>
      <right style="medium">
        <color rgb="FF000000"/>
      </right>
      <top style="thin">
        <color indexed="64"/>
      </top>
      <bottom/>
      <diagonal/>
    </border>
    <border>
      <left/>
      <right style="medium">
        <color rgb="FF000000"/>
      </right>
      <top/>
      <bottom/>
      <diagonal/>
    </border>
    <border>
      <left/>
      <right style="medium">
        <color rgb="FF000000"/>
      </right>
      <top/>
      <bottom style="thin">
        <color indexed="64"/>
      </bottom>
      <diagonal/>
    </border>
    <border>
      <left/>
      <right style="thin">
        <color rgb="FF000000"/>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rgb="FF000000"/>
      </left>
      <right style="thin">
        <color rgb="FF000000"/>
      </right>
      <top/>
      <bottom style="thin">
        <color rgb="FF000000"/>
      </bottom>
      <diagonal/>
    </border>
  </borders>
  <cellStyleXfs count="1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4" fillId="0" borderId="0"/>
    <xf numFmtId="0" fontId="4" fillId="0" borderId="0"/>
    <xf numFmtId="43"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8" fontId="1" fillId="0" borderId="0" applyFont="0" applyFill="0" applyBorder="0" applyAlignment="0" applyProtection="0"/>
    <xf numFmtId="0" fontId="12" fillId="0" borderId="0" applyNumberFormat="0" applyFill="0" applyBorder="0" applyAlignment="0" applyProtection="0"/>
    <xf numFmtId="43" fontId="25" fillId="0" borderId="0" applyFont="0" applyFill="0" applyBorder="0" applyAlignment="0" applyProtection="0"/>
  </cellStyleXfs>
  <cellXfs count="345">
    <xf numFmtId="0" fontId="0" fillId="0" borderId="0" xfId="0"/>
    <xf numFmtId="166" fontId="7" fillId="0" borderId="0" xfId="0" applyNumberFormat="1" applyFont="1" applyAlignment="1">
      <alignment horizontal="center" vertical="center" indent="1"/>
    </xf>
    <xf numFmtId="0" fontId="5" fillId="0" borderId="1" xfId="0" applyFont="1" applyBorder="1" applyAlignment="1">
      <alignment horizontal="center" vertical="center" wrapText="1"/>
    </xf>
    <xf numFmtId="9" fontId="10" fillId="0" borderId="0" xfId="3" applyFont="1" applyFill="1" applyBorder="1" applyAlignment="1">
      <alignment horizontal="center" vertical="center" wrapText="1"/>
    </xf>
    <xf numFmtId="167" fontId="0" fillId="0" borderId="0" xfId="2" applyNumberFormat="1" applyFont="1"/>
    <xf numFmtId="0" fontId="2" fillId="0" borderId="0" xfId="0" applyFont="1"/>
    <xf numFmtId="0" fontId="5" fillId="0" borderId="0" xfId="0" applyFont="1" applyAlignment="1">
      <alignment horizontal="center" vertical="center" wrapText="1"/>
    </xf>
    <xf numFmtId="0" fontId="13" fillId="0" borderId="0" xfId="0" applyFont="1" applyAlignment="1">
      <alignment horizontal="left" vertical="center" wrapText="1"/>
    </xf>
    <xf numFmtId="166" fontId="6" fillId="0" borderId="0" xfId="1" applyNumberFormat="1" applyFont="1" applyFill="1" applyBorder="1" applyAlignment="1">
      <alignment horizontal="right" vertical="center" wrapText="1"/>
    </xf>
    <xf numFmtId="166" fontId="0" fillId="0" borderId="0" xfId="1" applyNumberFormat="1" applyFont="1" applyFill="1" applyBorder="1"/>
    <xf numFmtId="0" fontId="16" fillId="0" borderId="0" xfId="0" applyFont="1"/>
    <xf numFmtId="44" fontId="16" fillId="0" borderId="0" xfId="2" applyFont="1" applyBorder="1"/>
    <xf numFmtId="0" fontId="17" fillId="0" borderId="0" xfId="0" applyFont="1"/>
    <xf numFmtId="2" fontId="17" fillId="0" borderId="0" xfId="0" applyNumberFormat="1" applyFont="1"/>
    <xf numFmtId="166" fontId="2" fillId="0" borderId="0" xfId="1" applyNumberFormat="1" applyFont="1" applyFill="1" applyBorder="1"/>
    <xf numFmtId="166" fontId="3" fillId="0" borderId="0" xfId="1" applyNumberFormat="1" applyFont="1" applyFill="1" applyBorder="1" applyAlignment="1">
      <alignment horizontal="center" vertical="center" wrapText="1"/>
    </xf>
    <xf numFmtId="166" fontId="0" fillId="0" borderId="0" xfId="0" applyNumberFormat="1"/>
    <xf numFmtId="0" fontId="5" fillId="0" borderId="14" xfId="0" applyFont="1" applyBorder="1" applyAlignment="1">
      <alignment horizontal="center" vertical="center" wrapText="1"/>
    </xf>
    <xf numFmtId="0" fontId="20" fillId="0" borderId="1" xfId="0" applyFont="1" applyBorder="1" applyAlignment="1">
      <alignment horizontal="center"/>
    </xf>
    <xf numFmtId="0" fontId="21" fillId="0" borderId="1" xfId="0" applyFont="1" applyBorder="1"/>
    <xf numFmtId="0" fontId="21" fillId="0" borderId="1" xfId="0" applyFont="1" applyBorder="1" applyAlignment="1">
      <alignment wrapText="1"/>
    </xf>
    <xf numFmtId="0" fontId="19" fillId="2" borderId="14" xfId="0" applyFont="1" applyFill="1" applyBorder="1" applyAlignment="1">
      <alignment horizontal="center" vertical="center" wrapText="1"/>
    </xf>
    <xf numFmtId="0" fontId="21" fillId="0" borderId="0" xfId="0" applyFont="1"/>
    <xf numFmtId="0" fontId="22" fillId="0" borderId="0" xfId="12" applyFont="1"/>
    <xf numFmtId="0" fontId="19" fillId="2" borderId="1" xfId="0" applyFont="1" applyFill="1" applyBorder="1" applyAlignment="1">
      <alignment horizontal="center" vertical="center" wrapText="1"/>
    </xf>
    <xf numFmtId="9" fontId="10" fillId="0" borderId="0" xfId="3" applyFont="1" applyBorder="1" applyAlignment="1">
      <alignment horizontal="center" vertical="center" wrapText="1"/>
    </xf>
    <xf numFmtId="0" fontId="21" fillId="0" borderId="1" xfId="0" applyFont="1" applyBorder="1" applyAlignment="1">
      <alignment horizontal="center"/>
    </xf>
    <xf numFmtId="44" fontId="21" fillId="0" borderId="0" xfId="0" applyNumberFormat="1" applyFont="1"/>
    <xf numFmtId="8" fontId="21" fillId="0" borderId="0" xfId="0" applyNumberFormat="1" applyFont="1"/>
    <xf numFmtId="166" fontId="21" fillId="0" borderId="1" xfId="1" applyNumberFormat="1" applyFont="1" applyFill="1" applyBorder="1"/>
    <xf numFmtId="166" fontId="21" fillId="0" borderId="0" xfId="1" applyNumberFormat="1" applyFont="1" applyFill="1" applyBorder="1"/>
    <xf numFmtId="166" fontId="6" fillId="0" borderId="0" xfId="1" applyNumberFormat="1" applyFont="1" applyFill="1"/>
    <xf numFmtId="43" fontId="21" fillId="0" borderId="0" xfId="0" applyNumberFormat="1" applyFont="1"/>
    <xf numFmtId="166" fontId="6" fillId="0" borderId="1" xfId="0" applyNumberFormat="1" applyFont="1" applyBorder="1"/>
    <xf numFmtId="166" fontId="21" fillId="0" borderId="0" xfId="0" applyNumberFormat="1" applyFont="1"/>
    <xf numFmtId="0" fontId="21" fillId="0" borderId="5" xfId="0" applyFont="1" applyBorder="1"/>
    <xf numFmtId="166" fontId="6" fillId="0" borderId="5" xfId="0" applyNumberFormat="1" applyFont="1" applyBorder="1"/>
    <xf numFmtId="166" fontId="6" fillId="0" borderId="0" xfId="0" applyNumberFormat="1" applyFont="1" applyAlignment="1">
      <alignment horizontal="center" vertical="center" indent="1"/>
    </xf>
    <xf numFmtId="0" fontId="21" fillId="0" borderId="13" xfId="0" applyFont="1" applyBorder="1"/>
    <xf numFmtId="0" fontId="5" fillId="0" borderId="16" xfId="0" applyFont="1" applyBorder="1" applyAlignment="1">
      <alignment horizontal="center" vertical="center" wrapText="1"/>
    </xf>
    <xf numFmtId="166" fontId="21" fillId="0" borderId="16" xfId="0" applyNumberFormat="1" applyFont="1" applyBorder="1"/>
    <xf numFmtId="0" fontId="20" fillId="0" borderId="1" xfId="0" applyFont="1" applyBorder="1"/>
    <xf numFmtId="10" fontId="20" fillId="0" borderId="13" xfId="3" applyNumberFormat="1" applyFont="1" applyBorder="1"/>
    <xf numFmtId="0" fontId="9" fillId="0" borderId="0" xfId="0" applyFont="1"/>
    <xf numFmtId="0" fontId="0" fillId="0" borderId="0" xfId="0" applyProtection="1">
      <protection locked="0"/>
    </xf>
    <xf numFmtId="166" fontId="7" fillId="0" borderId="0" xfId="0" applyNumberFormat="1" applyFont="1"/>
    <xf numFmtId="9" fontId="11" fillId="0" borderId="0" xfId="3" applyFont="1" applyBorder="1" applyAlignment="1">
      <alignment horizontal="center" vertical="center" wrapText="1"/>
    </xf>
    <xf numFmtId="0" fontId="0" fillId="0" borderId="0" xfId="0" applyAlignment="1">
      <alignment wrapText="1"/>
    </xf>
    <xf numFmtId="43" fontId="0" fillId="0" borderId="0" xfId="0" applyNumberFormat="1" applyAlignment="1">
      <alignment wrapText="1"/>
    </xf>
    <xf numFmtId="0" fontId="0" fillId="0" borderId="0" xfId="0" applyAlignment="1">
      <alignment horizontal="center"/>
    </xf>
    <xf numFmtId="0" fontId="2" fillId="0" borderId="0" xfId="0" applyFont="1" applyAlignment="1">
      <alignment horizontal="center"/>
    </xf>
    <xf numFmtId="166" fontId="0" fillId="0" borderId="0" xfId="0" applyNumberFormat="1" applyAlignment="1">
      <alignment horizontal="center"/>
    </xf>
    <xf numFmtId="0" fontId="26" fillId="0" borderId="1" xfId="0" applyFont="1" applyBorder="1" applyAlignment="1">
      <alignment horizontal="center" vertical="center"/>
    </xf>
    <xf numFmtId="0" fontId="19" fillId="0" borderId="13" xfId="0" applyFont="1" applyBorder="1" applyAlignment="1">
      <alignment horizontal="center" vertical="center" wrapText="1"/>
    </xf>
    <xf numFmtId="0" fontId="20" fillId="0" borderId="0" xfId="0" applyFont="1" applyAlignment="1">
      <alignment horizontal="center" vertical="center" wrapText="1"/>
    </xf>
    <xf numFmtId="0" fontId="21" fillId="0" borderId="0" xfId="0" applyFont="1" applyAlignment="1">
      <alignment vertical="center" wrapText="1"/>
    </xf>
    <xf numFmtId="9" fontId="21" fillId="0" borderId="0" xfId="0" applyNumberFormat="1" applyFont="1" applyAlignment="1">
      <alignment horizontal="center" vertical="center" wrapText="1"/>
    </xf>
    <xf numFmtId="0" fontId="20" fillId="0" borderId="0" xfId="0" applyFont="1" applyAlignment="1">
      <alignment vertical="center" wrapText="1"/>
    </xf>
    <xf numFmtId="9" fontId="20" fillId="0" borderId="0" xfId="0" applyNumberFormat="1" applyFont="1" applyAlignment="1">
      <alignment horizontal="center" vertical="center" wrapText="1"/>
    </xf>
    <xf numFmtId="9" fontId="0" fillId="0" borderId="0" xfId="3" applyFont="1" applyBorder="1" applyAlignment="1">
      <alignment horizontal="center" vertical="center"/>
    </xf>
    <xf numFmtId="3" fontId="0" fillId="0" borderId="0" xfId="0" applyNumberFormat="1" applyAlignment="1">
      <alignment horizontal="center" vertical="center"/>
    </xf>
    <xf numFmtId="0" fontId="30" fillId="0" borderId="0" xfId="0" applyFont="1"/>
    <xf numFmtId="43" fontId="21" fillId="0" borderId="1" xfId="0" applyNumberFormat="1" applyFont="1" applyBorder="1" applyAlignment="1">
      <alignment vertical="center"/>
    </xf>
    <xf numFmtId="170" fontId="0" fillId="0" borderId="0" xfId="0" applyNumberFormat="1"/>
    <xf numFmtId="166" fontId="21" fillId="0" borderId="14" xfId="1" applyNumberFormat="1" applyFont="1" applyFill="1" applyBorder="1"/>
    <xf numFmtId="0" fontId="21" fillId="0" borderId="31" xfId="0" applyFont="1" applyBorder="1"/>
    <xf numFmtId="0" fontId="21" fillId="0" borderId="12" xfId="0" applyFont="1" applyBorder="1"/>
    <xf numFmtId="166" fontId="6" fillId="0" borderId="12" xfId="0" applyNumberFormat="1" applyFont="1" applyBorder="1"/>
    <xf numFmtId="166" fontId="6" fillId="0" borderId="32" xfId="0" applyNumberFormat="1" applyFont="1" applyBorder="1"/>
    <xf numFmtId="0" fontId="3" fillId="6" borderId="11" xfId="0" applyFont="1" applyFill="1" applyBorder="1" applyAlignment="1">
      <alignment wrapText="1"/>
    </xf>
    <xf numFmtId="0" fontId="3" fillId="5" borderId="20" xfId="0" applyFont="1" applyFill="1" applyBorder="1" applyAlignment="1">
      <alignment wrapText="1"/>
    </xf>
    <xf numFmtId="166" fontId="6" fillId="0" borderId="1" xfId="0" applyNumberFormat="1" applyFont="1" applyBorder="1" applyAlignment="1">
      <alignment horizontal="right" vertical="center"/>
    </xf>
    <xf numFmtId="43" fontId="21" fillId="0" borderId="14" xfId="0" applyNumberFormat="1" applyFont="1" applyBorder="1" applyAlignment="1">
      <alignment horizontal="right"/>
    </xf>
    <xf numFmtId="166" fontId="6" fillId="0" borderId="1" xfId="0" applyNumberFormat="1" applyFont="1" applyBorder="1" applyAlignment="1">
      <alignment horizontal="right" vertical="center" indent="1"/>
    </xf>
    <xf numFmtId="166" fontId="6" fillId="0" borderId="12" xfId="0" applyNumberFormat="1" applyFont="1" applyBorder="1" applyAlignment="1">
      <alignment horizontal="right" vertical="center" indent="1"/>
    </xf>
    <xf numFmtId="43" fontId="21" fillId="0" borderId="15" xfId="0" applyNumberFormat="1" applyFont="1" applyBorder="1" applyAlignment="1">
      <alignment horizontal="right"/>
    </xf>
    <xf numFmtId="166" fontId="6" fillId="0" borderId="31" xfId="0" applyNumberFormat="1" applyFont="1" applyBorder="1" applyAlignment="1">
      <alignment horizontal="right" vertical="center" indent="1"/>
    </xf>
    <xf numFmtId="43" fontId="21" fillId="0" borderId="31" xfId="0" applyNumberFormat="1" applyFont="1" applyBorder="1" applyAlignment="1">
      <alignment horizontal="right"/>
    </xf>
    <xf numFmtId="167" fontId="21" fillId="0" borderId="31" xfId="0" applyNumberFormat="1" applyFont="1" applyBorder="1"/>
    <xf numFmtId="0" fontId="21" fillId="0" borderId="14" xfId="0" applyFont="1" applyBorder="1"/>
    <xf numFmtId="167" fontId="21" fillId="0" borderId="38" xfId="0" applyNumberFormat="1" applyFont="1" applyBorder="1"/>
    <xf numFmtId="0" fontId="19" fillId="0" borderId="12" xfId="0" applyFont="1" applyBorder="1" applyAlignment="1">
      <alignment horizontal="center" vertical="center" wrapText="1"/>
    </xf>
    <xf numFmtId="166" fontId="5" fillId="0" borderId="12" xfId="1" applyNumberFormat="1" applyFont="1" applyFill="1" applyBorder="1" applyAlignment="1">
      <alignment horizontal="center" vertical="center" wrapText="1"/>
    </xf>
    <xf numFmtId="43" fontId="5" fillId="0" borderId="31" xfId="1" applyFont="1" applyFill="1" applyBorder="1" applyAlignment="1">
      <alignment horizontal="center" vertical="center" wrapText="1"/>
    </xf>
    <xf numFmtId="3" fontId="18" fillId="0" borderId="12" xfId="0" applyNumberFormat="1" applyFont="1" applyBorder="1" applyAlignment="1">
      <alignment horizontal="right" vertical="center" wrapText="1"/>
    </xf>
    <xf numFmtId="0" fontId="19" fillId="2" borderId="2" xfId="0" applyFont="1" applyFill="1" applyBorder="1" applyAlignment="1">
      <alignment horizontal="right" vertical="center" wrapText="1"/>
    </xf>
    <xf numFmtId="0" fontId="19" fillId="0" borderId="2" xfId="0" applyFont="1" applyBorder="1" applyAlignment="1">
      <alignment horizontal="right" vertical="center" wrapText="1"/>
    </xf>
    <xf numFmtId="171" fontId="23" fillId="0" borderId="36" xfId="0" applyNumberFormat="1" applyFont="1" applyBorder="1" applyAlignment="1">
      <alignment horizontal="right"/>
    </xf>
    <xf numFmtId="171" fontId="23" fillId="0" borderId="0" xfId="0" applyNumberFormat="1" applyFont="1" applyAlignment="1">
      <alignment horizontal="right"/>
    </xf>
    <xf numFmtId="171" fontId="23" fillId="0" borderId="37" xfId="0" applyNumberFormat="1" applyFont="1" applyBorder="1" applyAlignment="1">
      <alignment horizontal="right"/>
    </xf>
    <xf numFmtId="171" fontId="23" fillId="0" borderId="1" xfId="0" applyNumberFormat="1" applyFont="1" applyBorder="1" applyAlignment="1">
      <alignment horizontal="right"/>
    </xf>
    <xf numFmtId="171" fontId="24" fillId="2" borderId="36" xfId="0" applyNumberFormat="1" applyFont="1" applyFill="1" applyBorder="1" applyAlignment="1">
      <alignment horizontal="right"/>
    </xf>
    <xf numFmtId="171" fontId="24" fillId="0" borderId="0" xfId="0" applyNumberFormat="1" applyFont="1" applyAlignment="1">
      <alignment horizontal="right"/>
    </xf>
    <xf numFmtId="171" fontId="24" fillId="2" borderId="37" xfId="0" applyNumberFormat="1" applyFont="1" applyFill="1" applyBorder="1" applyAlignment="1">
      <alignment horizontal="right"/>
    </xf>
    <xf numFmtId="171" fontId="24" fillId="2" borderId="1" xfId="0" applyNumberFormat="1" applyFont="1" applyFill="1" applyBorder="1" applyAlignment="1">
      <alignment horizontal="right"/>
    </xf>
    <xf numFmtId="3" fontId="6" fillId="0" borderId="14" xfId="1" applyNumberFormat="1" applyFont="1" applyFill="1" applyBorder="1" applyAlignment="1">
      <alignment horizontal="right" vertical="center"/>
    </xf>
    <xf numFmtId="165" fontId="5" fillId="0" borderId="1" xfId="4" applyNumberFormat="1" applyFont="1" applyFill="1" applyBorder="1" applyAlignment="1">
      <alignment horizontal="left" vertical="center" wrapText="1"/>
    </xf>
    <xf numFmtId="165" fontId="5" fillId="0" borderId="14" xfId="4" applyNumberFormat="1" applyFont="1" applyFill="1" applyBorder="1" applyAlignment="1">
      <alignment horizontal="left" vertical="center" wrapText="1"/>
    </xf>
    <xf numFmtId="0" fontId="21" fillId="0" borderId="31" xfId="0" applyFont="1" applyBorder="1" applyAlignment="1">
      <alignment horizontal="center"/>
    </xf>
    <xf numFmtId="3" fontId="6" fillId="0" borderId="31" xfId="1" applyNumberFormat="1" applyFont="1" applyFill="1" applyBorder="1" applyAlignment="1">
      <alignment horizontal="right" vertical="center"/>
    </xf>
    <xf numFmtId="0" fontId="21" fillId="0" borderId="12" xfId="0" applyFont="1" applyBorder="1" applyAlignment="1">
      <alignment horizontal="center"/>
    </xf>
    <xf numFmtId="3" fontId="6" fillId="0" borderId="15" xfId="1" applyNumberFormat="1" applyFont="1" applyFill="1" applyBorder="1" applyAlignment="1">
      <alignment horizontal="right" vertical="center"/>
    </xf>
    <xf numFmtId="3" fontId="21" fillId="0" borderId="31" xfId="0" applyNumberFormat="1" applyFont="1" applyBorder="1" applyAlignment="1">
      <alignment horizontal="center"/>
    </xf>
    <xf numFmtId="0" fontId="21" fillId="0" borderId="39" xfId="0" applyFont="1" applyBorder="1"/>
    <xf numFmtId="166" fontId="6" fillId="0" borderId="40" xfId="0" applyNumberFormat="1" applyFont="1" applyBorder="1"/>
    <xf numFmtId="166" fontId="6" fillId="0" borderId="39" xfId="0" applyNumberFormat="1" applyFont="1" applyBorder="1" applyAlignment="1">
      <alignment horizontal="right" vertical="center" indent="1"/>
    </xf>
    <xf numFmtId="43" fontId="21" fillId="0" borderId="39" xfId="0" applyNumberFormat="1" applyFont="1" applyBorder="1" applyAlignment="1">
      <alignment horizontal="right"/>
    </xf>
    <xf numFmtId="0" fontId="5" fillId="0" borderId="31" xfId="0" applyFont="1" applyBorder="1" applyAlignment="1">
      <alignment horizontal="center" vertical="center" wrapText="1"/>
    </xf>
    <xf numFmtId="3" fontId="6" fillId="0" borderId="32" xfId="1" applyNumberFormat="1" applyFont="1" applyFill="1" applyBorder="1" applyAlignment="1">
      <alignment horizontal="right" vertical="center"/>
    </xf>
    <xf numFmtId="0" fontId="19" fillId="0" borderId="31" xfId="0" applyFont="1" applyBorder="1" applyAlignment="1">
      <alignment horizontal="center" vertical="center" wrapText="1"/>
    </xf>
    <xf numFmtId="3" fontId="18" fillId="0" borderId="31" xfId="0" applyNumberFormat="1" applyFont="1" applyBorder="1" applyAlignment="1">
      <alignment horizontal="right" vertical="center" wrapText="1"/>
    </xf>
    <xf numFmtId="3" fontId="18" fillId="0" borderId="31" xfId="4" applyNumberFormat="1" applyFont="1" applyBorder="1" applyAlignment="1">
      <alignment horizontal="right" vertical="center" wrapText="1"/>
    </xf>
    <xf numFmtId="3" fontId="18" fillId="0" borderId="12" xfId="4" applyNumberFormat="1" applyFont="1" applyBorder="1" applyAlignment="1">
      <alignment horizontal="right" vertical="center" wrapText="1"/>
    </xf>
    <xf numFmtId="0" fontId="19" fillId="2" borderId="5" xfId="0" applyFont="1" applyFill="1" applyBorder="1" applyAlignment="1">
      <alignment horizontal="right" vertical="center" wrapText="1"/>
    </xf>
    <xf numFmtId="171" fontId="23" fillId="2" borderId="41" xfId="0" applyNumberFormat="1" applyFont="1" applyFill="1" applyBorder="1" applyAlignment="1">
      <alignment horizontal="right"/>
    </xf>
    <xf numFmtId="171" fontId="23" fillId="2" borderId="42" xfId="0" applyNumberFormat="1" applyFont="1" applyFill="1" applyBorder="1" applyAlignment="1">
      <alignment horizontal="right"/>
    </xf>
    <xf numFmtId="171" fontId="23" fillId="2" borderId="13" xfId="0" applyNumberFormat="1" applyFont="1" applyFill="1" applyBorder="1" applyAlignment="1">
      <alignment horizontal="right"/>
    </xf>
    <xf numFmtId="0" fontId="6" fillId="0" borderId="13" xfId="0" applyFont="1" applyBorder="1"/>
    <xf numFmtId="0" fontId="18" fillId="0" borderId="1" xfId="0" applyFont="1" applyBorder="1" applyAlignment="1">
      <alignment vertical="center"/>
    </xf>
    <xf numFmtId="0" fontId="4" fillId="0" borderId="1" xfId="0" applyFont="1" applyBorder="1" applyAlignment="1">
      <alignment vertical="center" wrapText="1"/>
    </xf>
    <xf numFmtId="0" fontId="18" fillId="0" borderId="13" xfId="0" applyFont="1" applyBorder="1" applyAlignment="1">
      <alignment vertical="center"/>
    </xf>
    <xf numFmtId="0" fontId="4" fillId="0" borderId="13" xfId="0" applyFont="1" applyBorder="1" applyAlignment="1">
      <alignment vertical="center" wrapText="1"/>
    </xf>
    <xf numFmtId="3" fontId="18" fillId="0" borderId="15" xfId="0" applyNumberFormat="1" applyFont="1" applyBorder="1" applyAlignment="1">
      <alignment horizontal="right" vertical="center" wrapText="1"/>
    </xf>
    <xf numFmtId="3" fontId="18" fillId="0" borderId="32" xfId="0" applyNumberFormat="1" applyFont="1" applyBorder="1" applyAlignment="1">
      <alignment horizontal="right" vertical="center" wrapText="1"/>
    </xf>
    <xf numFmtId="3" fontId="18" fillId="0" borderId="27" xfId="0" applyNumberFormat="1" applyFont="1" applyBorder="1" applyAlignment="1">
      <alignment horizontal="right" vertical="center" wrapText="1"/>
    </xf>
    <xf numFmtId="3" fontId="18" fillId="0" borderId="43" xfId="0" applyNumberFormat="1" applyFont="1" applyBorder="1" applyAlignment="1">
      <alignment horizontal="right" vertical="center" wrapText="1"/>
    </xf>
    <xf numFmtId="0" fontId="19" fillId="2" borderId="12" xfId="0" applyFont="1" applyFill="1" applyBorder="1" applyAlignment="1">
      <alignment horizontal="center" vertical="center" wrapText="1"/>
    </xf>
    <xf numFmtId="3" fontId="18" fillId="0" borderId="44" xfId="0" applyNumberFormat="1" applyFont="1" applyBorder="1" applyAlignment="1">
      <alignment horizontal="right" vertical="center" wrapText="1"/>
    </xf>
    <xf numFmtId="3" fontId="18" fillId="0" borderId="39" xfId="0" applyNumberFormat="1" applyFont="1" applyBorder="1" applyAlignment="1">
      <alignment horizontal="right" vertical="center" wrapText="1"/>
    </xf>
    <xf numFmtId="0" fontId="36" fillId="0" borderId="0" xfId="0" applyFont="1"/>
    <xf numFmtId="0" fontId="37" fillId="0" borderId="17" xfId="0" applyFont="1" applyBorder="1"/>
    <xf numFmtId="0" fontId="37" fillId="0" borderId="18" xfId="0" applyFont="1" applyBorder="1"/>
    <xf numFmtId="0" fontId="37" fillId="4" borderId="33" xfId="0" applyFont="1" applyFill="1" applyBorder="1"/>
    <xf numFmtId="0" fontId="37" fillId="4" borderId="0" xfId="0" applyFont="1" applyFill="1"/>
    <xf numFmtId="0" fontId="14" fillId="0" borderId="0" xfId="0" applyFont="1"/>
    <xf numFmtId="0" fontId="3" fillId="0" borderId="21" xfId="0" applyFont="1" applyBorder="1" applyAlignment="1">
      <alignment wrapText="1"/>
    </xf>
    <xf numFmtId="0" fontId="15" fillId="0" borderId="5" xfId="0" applyFont="1" applyBorder="1"/>
    <xf numFmtId="0" fontId="15" fillId="0" borderId="22" xfId="0" applyFont="1" applyBorder="1"/>
    <xf numFmtId="0" fontId="5" fillId="0" borderId="13" xfId="0" applyFont="1" applyBorder="1"/>
    <xf numFmtId="0" fontId="5" fillId="0" borderId="29" xfId="0" applyFont="1" applyBorder="1"/>
    <xf numFmtId="0" fontId="6" fillId="0" borderId="29" xfId="0" applyFont="1" applyBorder="1"/>
    <xf numFmtId="0" fontId="6" fillId="0" borderId="13" xfId="0" applyFont="1" applyBorder="1" applyAlignment="1">
      <alignment wrapText="1"/>
    </xf>
    <xf numFmtId="0" fontId="3" fillId="0" borderId="1" xfId="0" applyFont="1" applyBorder="1" applyAlignment="1">
      <alignment wrapText="1"/>
    </xf>
    <xf numFmtId="0" fontId="15" fillId="0" borderId="4" xfId="0" applyFont="1" applyBorder="1" applyAlignment="1">
      <alignment wrapText="1"/>
    </xf>
    <xf numFmtId="0" fontId="3" fillId="5" borderId="25" xfId="0" applyFont="1" applyFill="1" applyBorder="1" applyAlignment="1">
      <alignment wrapText="1"/>
    </xf>
    <xf numFmtId="0" fontId="15" fillId="0" borderId="51" xfId="0" applyFont="1" applyBorder="1" applyAlignment="1">
      <alignment wrapText="1"/>
    </xf>
    <xf numFmtId="0" fontId="3" fillId="0" borderId="0" xfId="0" applyFont="1" applyAlignment="1">
      <alignment wrapText="1"/>
    </xf>
    <xf numFmtId="0" fontId="15" fillId="0" borderId="29" xfId="0" applyFont="1" applyBorder="1" applyAlignment="1">
      <alignment wrapText="1"/>
    </xf>
    <xf numFmtId="0" fontId="15" fillId="0" borderId="52" xfId="0" applyFont="1" applyBorder="1" applyAlignment="1">
      <alignment wrapText="1"/>
    </xf>
    <xf numFmtId="0" fontId="3" fillId="0" borderId="11" xfId="0" applyFont="1" applyBorder="1" applyAlignment="1">
      <alignment wrapText="1"/>
    </xf>
    <xf numFmtId="0" fontId="5" fillId="0" borderId="22" xfId="0" applyFont="1" applyBorder="1" applyAlignment="1">
      <alignment wrapText="1"/>
    </xf>
    <xf numFmtId="0" fontId="15" fillId="0" borderId="51" xfId="0" applyFont="1" applyBorder="1" applyAlignment="1">
      <alignment horizontal="left" wrapText="1"/>
    </xf>
    <xf numFmtId="0" fontId="15" fillId="0" borderId="52" xfId="0" applyFont="1" applyBorder="1" applyAlignment="1">
      <alignment horizontal="left" wrapText="1"/>
    </xf>
    <xf numFmtId="0" fontId="3" fillId="0" borderId="11" xfId="0" applyFont="1" applyBorder="1" applyAlignment="1">
      <alignment horizontal="left" wrapText="1"/>
    </xf>
    <xf numFmtId="0" fontId="3" fillId="5" borderId="20" xfId="0" applyFont="1" applyFill="1" applyBorder="1" applyAlignment="1">
      <alignment horizontal="left" wrapText="1"/>
    </xf>
    <xf numFmtId="0" fontId="5" fillId="0" borderId="22" xfId="0" applyFont="1" applyBorder="1" applyAlignment="1">
      <alignment horizontal="left" wrapText="1"/>
    </xf>
    <xf numFmtId="0" fontId="15" fillId="0" borderId="4" xfId="0" applyFont="1" applyBorder="1" applyAlignment="1">
      <alignment horizontal="center" vertical="center" wrapText="1"/>
    </xf>
    <xf numFmtId="0" fontId="6" fillId="0" borderId="29" xfId="0" applyFont="1" applyBorder="1" applyAlignment="1">
      <alignment horizontal="center" vertical="center"/>
    </xf>
    <xf numFmtId="0" fontId="15" fillId="0" borderId="13" xfId="0" applyFont="1" applyBorder="1" applyAlignment="1">
      <alignment horizontal="center" vertical="center" wrapText="1"/>
    </xf>
    <xf numFmtId="0" fontId="15" fillId="0" borderId="29" xfId="0" applyFont="1" applyBorder="1" applyAlignment="1">
      <alignment horizontal="center" vertical="center" wrapText="1"/>
    </xf>
    <xf numFmtId="0" fontId="3" fillId="6" borderId="26" xfId="0" applyFont="1" applyFill="1" applyBorder="1" applyAlignment="1">
      <alignment horizontal="center" vertical="center" wrapText="1"/>
    </xf>
    <xf numFmtId="0" fontId="3" fillId="6" borderId="29"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3" fillId="5" borderId="25" xfId="0" applyFont="1" applyFill="1" applyBorder="1" applyAlignment="1">
      <alignment horizontal="center" vertical="center" wrapText="1"/>
    </xf>
    <xf numFmtId="0" fontId="5" fillId="0" borderId="28" xfId="0" applyFont="1" applyBorder="1"/>
    <xf numFmtId="0" fontId="0" fillId="0" borderId="5" xfId="0" applyBorder="1"/>
    <xf numFmtId="0" fontId="0" fillId="0" borderId="29" xfId="0" applyBorder="1"/>
    <xf numFmtId="0" fontId="6" fillId="0" borderId="28" xfId="0" applyFont="1" applyBorder="1"/>
    <xf numFmtId="0" fontId="6" fillId="0" borderId="28" xfId="0" applyFont="1" applyBorder="1" applyAlignment="1">
      <alignment wrapText="1"/>
    </xf>
    <xf numFmtId="0" fontId="15" fillId="0" borderId="2" xfId="0" applyFont="1" applyBorder="1" applyAlignment="1">
      <alignment wrapText="1"/>
    </xf>
    <xf numFmtId="0" fontId="0" fillId="0" borderId="2" xfId="0" applyBorder="1"/>
    <xf numFmtId="0" fontId="0" fillId="0" borderId="4" xfId="0" applyBorder="1"/>
    <xf numFmtId="0" fontId="15" fillId="0" borderId="28" xfId="0" applyFont="1" applyBorder="1" applyAlignment="1">
      <alignment wrapText="1"/>
    </xf>
    <xf numFmtId="0" fontId="3" fillId="6" borderId="10" xfId="0" applyFont="1" applyFill="1" applyBorder="1" applyAlignment="1">
      <alignment horizontal="center" vertical="center" wrapText="1"/>
    </xf>
    <xf numFmtId="0" fontId="0" fillId="6" borderId="0" xfId="0" applyFill="1" applyAlignment="1">
      <alignment horizontal="center" vertical="center"/>
    </xf>
    <xf numFmtId="0" fontId="0" fillId="6" borderId="3" xfId="0" applyFill="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29" xfId="0" applyBorder="1" applyAlignment="1">
      <alignment horizontal="center" vertical="center"/>
    </xf>
    <xf numFmtId="0" fontId="15" fillId="0" borderId="2" xfId="0" applyFont="1" applyBorder="1" applyAlignment="1">
      <alignment horizontal="center" vertical="center" wrapText="1"/>
    </xf>
    <xf numFmtId="0" fontId="15" fillId="0" borderId="28" xfId="0" applyFont="1" applyBorder="1" applyAlignment="1">
      <alignment horizontal="center" vertical="center" wrapText="1"/>
    </xf>
    <xf numFmtId="0" fontId="3" fillId="0" borderId="11" xfId="0" applyFont="1" applyBorder="1" applyAlignment="1">
      <alignment horizontal="right" wrapText="1"/>
    </xf>
    <xf numFmtId="0" fontId="3" fillId="5" borderId="20" xfId="0" applyFont="1" applyFill="1" applyBorder="1" applyAlignment="1">
      <alignment horizontal="right" wrapText="1"/>
    </xf>
    <xf numFmtId="0" fontId="5" fillId="0" borderId="22" xfId="0" applyFont="1" applyBorder="1" applyAlignment="1">
      <alignment horizontal="right" wrapText="1"/>
    </xf>
    <xf numFmtId="0" fontId="15" fillId="0" borderId="52" xfId="0" applyFont="1" applyBorder="1" applyAlignment="1">
      <alignment horizontal="right" vertical="center" wrapText="1"/>
    </xf>
    <xf numFmtId="0" fontId="15" fillId="0" borderId="51" xfId="0" applyFont="1" applyBorder="1" applyAlignment="1">
      <alignment horizontal="right" vertical="center" wrapText="1"/>
    </xf>
    <xf numFmtId="166" fontId="21" fillId="0" borderId="31" xfId="1" applyNumberFormat="1" applyFont="1" applyFill="1" applyBorder="1"/>
    <xf numFmtId="166" fontId="0" fillId="7" borderId="0" xfId="0" applyNumberFormat="1" applyFill="1"/>
    <xf numFmtId="167" fontId="21" fillId="0" borderId="13" xfId="0" applyNumberFormat="1" applyFont="1" applyBorder="1"/>
    <xf numFmtId="3" fontId="6" fillId="0" borderId="43" xfId="1" applyNumberFormat="1" applyFont="1" applyFill="1" applyBorder="1" applyAlignment="1">
      <alignment horizontal="right" vertical="center"/>
    </xf>
    <xf numFmtId="166" fontId="6" fillId="0" borderId="31" xfId="0" applyNumberFormat="1" applyFont="1" applyBorder="1"/>
    <xf numFmtId="166" fontId="6" fillId="0" borderId="31" xfId="0" applyNumberFormat="1" applyFont="1" applyBorder="1" applyAlignment="1">
      <alignment horizontal="right" vertical="center"/>
    </xf>
    <xf numFmtId="0" fontId="20" fillId="0" borderId="31" xfId="0" applyFont="1" applyBorder="1" applyAlignment="1">
      <alignment horizontal="center" vertical="center"/>
    </xf>
    <xf numFmtId="0" fontId="21" fillId="0" borderId="28" xfId="0" applyFont="1" applyBorder="1"/>
    <xf numFmtId="167" fontId="21" fillId="0" borderId="53" xfId="0" applyNumberFormat="1" applyFont="1" applyBorder="1"/>
    <xf numFmtId="0" fontId="8" fillId="0" borderId="1" xfId="0" applyFont="1" applyBorder="1" applyAlignment="1">
      <alignment horizontal="center" vertical="center" wrapText="1"/>
    </xf>
    <xf numFmtId="0" fontId="2" fillId="0" borderId="12" xfId="0" applyFont="1" applyBorder="1" applyAlignment="1" applyProtection="1">
      <alignment horizontal="center" vertical="center" wrapText="1"/>
      <protection locked="0"/>
    </xf>
    <xf numFmtId="0" fontId="8" fillId="0" borderId="12" xfId="0" applyFont="1" applyBorder="1" applyAlignment="1">
      <alignment horizontal="center" vertical="center" wrapText="1"/>
    </xf>
    <xf numFmtId="0" fontId="2" fillId="0" borderId="1" xfId="0" applyFont="1" applyBorder="1" applyAlignment="1" applyProtection="1">
      <alignment horizontal="center" vertical="center" wrapText="1"/>
      <protection locked="0"/>
    </xf>
    <xf numFmtId="9" fontId="35" fillId="0" borderId="1" xfId="3" applyFont="1" applyBorder="1" applyAlignment="1">
      <alignment horizontal="center" vertical="center" wrapText="1"/>
    </xf>
    <xf numFmtId="9" fontId="19" fillId="0" borderId="1" xfId="3" applyFont="1" applyBorder="1" applyAlignment="1">
      <alignment horizontal="center" vertical="center" wrapText="1"/>
    </xf>
    <xf numFmtId="9" fontId="24" fillId="0" borderId="12" xfId="3" applyFont="1" applyBorder="1" applyAlignment="1">
      <alignment horizontal="center" vertical="center" wrapText="1"/>
    </xf>
    <xf numFmtId="9" fontId="23" fillId="0" borderId="14" xfId="3" applyFont="1" applyBorder="1" applyAlignment="1">
      <alignment horizontal="center" vertical="center" wrapText="1"/>
    </xf>
    <xf numFmtId="9" fontId="35" fillId="0" borderId="14" xfId="3" applyFont="1" applyBorder="1" applyAlignment="1">
      <alignment horizontal="center" vertical="center" wrapText="1"/>
    </xf>
    <xf numFmtId="9" fontId="19" fillId="0" borderId="32" xfId="3" applyFont="1" applyBorder="1" applyAlignment="1">
      <alignment horizontal="center" vertical="center" wrapText="1"/>
    </xf>
    <xf numFmtId="0" fontId="0" fillId="0" borderId="30" xfId="0" applyBorder="1"/>
    <xf numFmtId="0" fontId="2" fillId="0" borderId="30" xfId="0" applyFont="1" applyBorder="1" applyAlignment="1" applyProtection="1">
      <alignment horizontal="center" vertical="center" wrapText="1"/>
      <protection locked="0"/>
    </xf>
    <xf numFmtId="9" fontId="34" fillId="0" borderId="30" xfId="3" applyFont="1" applyFill="1" applyBorder="1" applyAlignment="1">
      <alignment horizontal="center" vertical="center" wrapText="1"/>
    </xf>
    <xf numFmtId="166" fontId="0" fillId="0" borderId="0" xfId="1" applyNumberFormat="1" applyFont="1" applyFill="1" applyBorder="1" applyAlignment="1">
      <alignment vertical="center"/>
    </xf>
    <xf numFmtId="9" fontId="23" fillId="0" borderId="1" xfId="3" applyFont="1" applyBorder="1" applyAlignment="1">
      <alignment horizontal="center" vertical="center" wrapText="1"/>
    </xf>
    <xf numFmtId="9" fontId="18" fillId="0" borderId="1" xfId="3" applyFont="1" applyBorder="1" applyAlignment="1">
      <alignment horizontal="center" vertical="center" wrapText="1"/>
    </xf>
    <xf numFmtId="169" fontId="21" fillId="0" borderId="0" xfId="0" applyNumberFormat="1" applyFont="1" applyAlignment="1">
      <alignment horizontal="right" vertical="center" wrapText="1"/>
    </xf>
    <xf numFmtId="0" fontId="33" fillId="0" borderId="0" xfId="0" applyFont="1" applyAlignment="1">
      <alignment horizontal="center" vertical="center"/>
    </xf>
    <xf numFmtId="0" fontId="21" fillId="0" borderId="1" xfId="0" applyFont="1" applyBorder="1" applyAlignment="1">
      <alignment vertical="center" wrapText="1"/>
    </xf>
    <xf numFmtId="9" fontId="0" fillId="0" borderId="0" xfId="3" applyFont="1"/>
    <xf numFmtId="43" fontId="0" fillId="0" borderId="0" xfId="1" applyFont="1"/>
    <xf numFmtId="172" fontId="21" fillId="0" borderId="1" xfId="0" applyNumberFormat="1" applyFont="1" applyBorder="1" applyAlignment="1">
      <alignment horizontal="right" vertical="center" wrapText="1"/>
    </xf>
    <xf numFmtId="0" fontId="2" fillId="0" borderId="0" xfId="0" applyFont="1" applyAlignment="1">
      <alignment horizontal="center" vertical="center"/>
    </xf>
    <xf numFmtId="0" fontId="26" fillId="0" borderId="1" xfId="0" applyFont="1" applyBorder="1" applyAlignment="1">
      <alignment horizontal="center" vertical="center" wrapText="1"/>
    </xf>
    <xf numFmtId="0" fontId="0" fillId="0" borderId="1" xfId="0" applyBorder="1" applyAlignment="1">
      <alignment horizontal="center" vertical="center"/>
    </xf>
    <xf numFmtId="167" fontId="20" fillId="0" borderId="1" xfId="2" applyNumberFormat="1" applyFont="1" applyBorder="1" applyAlignment="1">
      <alignment horizontal="right" vertical="center" wrapText="1"/>
    </xf>
    <xf numFmtId="9" fontId="20" fillId="0" borderId="1" xfId="3" applyFont="1" applyBorder="1" applyAlignment="1">
      <alignment horizontal="center" vertical="center" wrapText="1"/>
    </xf>
    <xf numFmtId="10" fontId="21" fillId="0" borderId="1" xfId="3" applyNumberFormat="1" applyFont="1" applyBorder="1" applyAlignment="1">
      <alignment horizontal="center" vertical="center" wrapText="1"/>
    </xf>
    <xf numFmtId="0" fontId="7" fillId="0" borderId="1" xfId="12" applyFont="1" applyBorder="1" applyAlignment="1">
      <alignment horizontal="center" vertical="center" wrapText="1"/>
    </xf>
    <xf numFmtId="0" fontId="27" fillId="0" borderId="0" xfId="0" applyFont="1" applyAlignment="1">
      <alignment horizontal="left" vertical="center" wrapText="1"/>
    </xf>
    <xf numFmtId="0" fontId="28" fillId="0" borderId="0" xfId="0" applyFont="1"/>
    <xf numFmtId="166" fontId="27" fillId="0" borderId="1" xfId="0" applyNumberFormat="1" applyFont="1" applyBorder="1" applyAlignment="1">
      <alignment horizontal="right" vertical="center"/>
    </xf>
    <xf numFmtId="0" fontId="26" fillId="0" borderId="0" xfId="0" applyFont="1" applyAlignment="1">
      <alignment vertical="center"/>
    </xf>
    <xf numFmtId="10" fontId="26" fillId="0" borderId="0" xfId="0" applyNumberFormat="1" applyFont="1" applyAlignment="1">
      <alignment horizontal="right" vertical="center"/>
    </xf>
    <xf numFmtId="0" fontId="26" fillId="0" borderId="0" xfId="0" applyFont="1" applyAlignment="1">
      <alignment vertical="center" wrapText="1"/>
    </xf>
    <xf numFmtId="9" fontId="28" fillId="0" borderId="0" xfId="3" applyFont="1" applyFill="1"/>
    <xf numFmtId="166" fontId="26" fillId="0" borderId="1" xfId="0" applyNumberFormat="1" applyFont="1" applyBorder="1" applyAlignment="1">
      <alignment vertical="center"/>
    </xf>
    <xf numFmtId="0" fontId="26" fillId="0" borderId="0" xfId="0" applyFont="1" applyAlignment="1">
      <alignment horizontal="left" vertical="center" wrapText="1"/>
    </xf>
    <xf numFmtId="0" fontId="18" fillId="0" borderId="1" xfId="0" applyFont="1" applyBorder="1" applyAlignment="1">
      <alignment vertical="center" wrapText="1"/>
    </xf>
    <xf numFmtId="0" fontId="18" fillId="0" borderId="13" xfId="0" applyFont="1" applyBorder="1" applyAlignment="1">
      <alignment vertical="center" wrapText="1"/>
    </xf>
    <xf numFmtId="0" fontId="4" fillId="0" borderId="1" xfId="0" applyFont="1" applyBorder="1" applyAlignment="1">
      <alignment horizontal="center" vertical="center" wrapText="1"/>
    </xf>
    <xf numFmtId="0" fontId="4" fillId="0" borderId="13" xfId="0" applyFont="1" applyBorder="1" applyAlignment="1">
      <alignment horizontal="center" vertical="center" wrapText="1"/>
    </xf>
    <xf numFmtId="43" fontId="2" fillId="0" borderId="1" xfId="0" applyNumberFormat="1" applyFont="1" applyBorder="1"/>
    <xf numFmtId="6" fontId="27" fillId="0" borderId="1" xfId="0" applyNumberFormat="1" applyFont="1" applyBorder="1" applyAlignment="1">
      <alignment horizontal="right" vertical="center"/>
    </xf>
    <xf numFmtId="0" fontId="42" fillId="0" borderId="0" xfId="0" applyFont="1" applyAlignment="1">
      <alignment vertical="center"/>
    </xf>
    <xf numFmtId="166" fontId="42" fillId="0" borderId="0" xfId="0" applyNumberFormat="1" applyFont="1" applyAlignment="1">
      <alignment vertical="center"/>
    </xf>
    <xf numFmtId="166" fontId="21" fillId="0" borderId="31" xfId="0" applyNumberFormat="1" applyFont="1" applyBorder="1" applyAlignment="1">
      <alignment horizontal="right"/>
    </xf>
    <xf numFmtId="0" fontId="21" fillId="0" borderId="15" xfId="0" applyFont="1" applyBorder="1"/>
    <xf numFmtId="167" fontId="21" fillId="0" borderId="39" xfId="0" applyNumberFormat="1" applyFont="1" applyBorder="1"/>
    <xf numFmtId="167" fontId="21" fillId="0" borderId="1" xfId="0" applyNumberFormat="1" applyFont="1" applyBorder="1"/>
    <xf numFmtId="10" fontId="20" fillId="0" borderId="1" xfId="3" applyNumberFormat="1" applyFont="1" applyBorder="1"/>
    <xf numFmtId="43" fontId="21" fillId="0" borderId="0" xfId="1" applyFont="1"/>
    <xf numFmtId="0" fontId="19" fillId="2" borderId="14"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0" fillId="2" borderId="15" xfId="0" applyFill="1" applyBorder="1" applyAlignment="1">
      <alignment horizontal="center" vertical="center" wrapText="1"/>
    </xf>
    <xf numFmtId="0" fontId="0" fillId="2" borderId="27"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3" xfId="0" applyFill="1" applyBorder="1" applyAlignment="1">
      <alignment horizontal="center" vertical="center" wrapText="1"/>
    </xf>
    <xf numFmtId="0" fontId="0" fillId="2" borderId="28" xfId="0" applyFill="1" applyBorder="1" applyAlignment="1">
      <alignment horizontal="center" vertical="center" wrapText="1"/>
    </xf>
    <xf numFmtId="0" fontId="0" fillId="2" borderId="29" xfId="0" applyFill="1" applyBorder="1" applyAlignment="1">
      <alignment horizontal="center" vertical="center" wrapText="1"/>
    </xf>
    <xf numFmtId="0" fontId="19" fillId="0" borderId="12" xfId="0" applyFont="1" applyBorder="1" applyAlignment="1">
      <alignment horizontal="center" vertical="center" wrapText="1"/>
    </xf>
    <xf numFmtId="0" fontId="19" fillId="0" borderId="13" xfId="0" applyFont="1" applyBorder="1" applyAlignment="1">
      <alignment horizontal="center" vertical="center" wrapText="1"/>
    </xf>
    <xf numFmtId="0" fontId="19" fillId="2" borderId="2" xfId="0" applyFont="1" applyFill="1" applyBorder="1" applyAlignment="1">
      <alignment horizontal="center" vertical="center" wrapText="1"/>
    </xf>
    <xf numFmtId="0" fontId="19" fillId="2" borderId="28"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0" borderId="14"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15" xfId="0" applyFont="1" applyBorder="1" applyAlignment="1">
      <alignment horizontal="center" vertical="center" wrapText="1"/>
    </xf>
    <xf numFmtId="0" fontId="2" fillId="0" borderId="1" xfId="0" applyFont="1" applyBorder="1" applyAlignment="1">
      <alignment horizontal="center"/>
    </xf>
    <xf numFmtId="0" fontId="29" fillId="3"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0" fillId="0" borderId="0" xfId="0" applyAlignment="1">
      <alignment horizontal="left" wrapText="1"/>
    </xf>
    <xf numFmtId="0" fontId="21" fillId="2" borderId="31" xfId="0" applyFont="1" applyFill="1" applyBorder="1" applyAlignment="1">
      <alignment horizontal="center" vertical="center" wrapText="1"/>
    </xf>
    <xf numFmtId="0" fontId="33" fillId="0" borderId="12" xfId="0" applyFont="1" applyBorder="1" applyAlignment="1">
      <alignment horizontal="center" vertical="center"/>
    </xf>
    <xf numFmtId="0" fontId="33" fillId="0" borderId="38" xfId="0" applyFont="1" applyBorder="1" applyAlignment="1">
      <alignment horizontal="center" vertical="center"/>
    </xf>
    <xf numFmtId="0" fontId="33" fillId="0" borderId="13" xfId="0" applyFont="1" applyBorder="1" applyAlignment="1">
      <alignment horizontal="center" vertical="center"/>
    </xf>
    <xf numFmtId="0" fontId="27" fillId="0" borderId="0" xfId="0" applyFont="1" applyAlignment="1">
      <alignment horizontal="center" vertical="center" wrapText="1"/>
    </xf>
    <xf numFmtId="0" fontId="2" fillId="0" borderId="0" xfId="0" applyFont="1" applyAlignment="1">
      <alignment horizontal="center"/>
    </xf>
    <xf numFmtId="0" fontId="21" fillId="2" borderId="8" xfId="0" applyFont="1" applyFill="1" applyBorder="1" applyAlignment="1">
      <alignment horizontal="center" vertical="center" wrapText="1"/>
    </xf>
    <xf numFmtId="0" fontId="21" fillId="2" borderId="9" xfId="0" applyFont="1" applyFill="1" applyBorder="1" applyAlignment="1">
      <alignment horizontal="center" vertical="center" wrapText="1"/>
    </xf>
    <xf numFmtId="0" fontId="21" fillId="2" borderId="10" xfId="0" applyFont="1" applyFill="1" applyBorder="1" applyAlignment="1">
      <alignment horizontal="center" vertical="center" wrapText="1"/>
    </xf>
    <xf numFmtId="0" fontId="21" fillId="2" borderId="11"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21" fillId="2" borderId="7" xfId="0" applyFont="1" applyFill="1" applyBorder="1" applyAlignment="1">
      <alignment horizontal="center" vertical="center" wrapText="1"/>
    </xf>
    <xf numFmtId="10" fontId="21" fillId="0" borderId="1" xfId="0" applyNumberFormat="1" applyFont="1" applyBorder="1" applyAlignment="1">
      <alignment horizontal="center" vertical="center" wrapText="1"/>
    </xf>
    <xf numFmtId="0" fontId="21" fillId="0" borderId="1" xfId="0" applyFont="1" applyBorder="1" applyAlignment="1">
      <alignment horizontal="center" vertical="center" wrapText="1"/>
    </xf>
    <xf numFmtId="0" fontId="0" fillId="0" borderId="1" xfId="0" applyBorder="1" applyAlignment="1">
      <alignment horizontal="center" vertical="center"/>
    </xf>
    <xf numFmtId="0" fontId="5" fillId="0" borderId="19" xfId="0" applyFont="1" applyBorder="1" applyAlignment="1">
      <alignment wrapText="1"/>
    </xf>
    <xf numFmtId="0" fontId="5" fillId="0" borderId="2" xfId="0" applyFont="1" applyBorder="1" applyAlignment="1">
      <alignment wrapText="1"/>
    </xf>
    <xf numFmtId="0" fontId="5" fillId="0" borderId="46" xfId="0" applyFont="1" applyBorder="1" applyAlignment="1">
      <alignment wrapText="1"/>
    </xf>
    <xf numFmtId="0" fontId="5" fillId="0" borderId="14" xfId="0" applyFont="1" applyBorder="1" applyAlignment="1">
      <alignment wrapText="1"/>
    </xf>
    <xf numFmtId="0" fontId="5" fillId="0" borderId="4" xfId="0" applyFont="1" applyBorder="1" applyAlignment="1">
      <alignment wrapText="1"/>
    </xf>
    <xf numFmtId="0" fontId="3" fillId="0" borderId="19" xfId="0" applyFont="1" applyBorder="1" applyAlignment="1">
      <alignment wrapText="1"/>
    </xf>
    <xf numFmtId="0" fontId="3" fillId="0" borderId="2" xfId="0" applyFont="1" applyBorder="1" applyAlignment="1">
      <alignment wrapText="1"/>
    </xf>
    <xf numFmtId="0" fontId="3" fillId="0" borderId="50" xfId="0" applyFont="1" applyBorder="1" applyAlignment="1">
      <alignment wrapText="1"/>
    </xf>
    <xf numFmtId="0" fontId="3" fillId="5" borderId="19" xfId="0" applyFont="1" applyFill="1" applyBorder="1" applyAlignment="1">
      <alignment wrapText="1"/>
    </xf>
    <xf numFmtId="0" fontId="3" fillId="5" borderId="2" xfId="0" applyFont="1" applyFill="1" applyBorder="1" applyAlignment="1">
      <alignment wrapText="1"/>
    </xf>
    <xf numFmtId="0" fontId="3" fillId="5" borderId="4" xfId="0" applyFont="1" applyFill="1" applyBorder="1" applyAlignment="1">
      <alignment wrapText="1"/>
    </xf>
    <xf numFmtId="0" fontId="3" fillId="5" borderId="50" xfId="0" applyFont="1" applyFill="1" applyBorder="1" applyAlignment="1">
      <alignment wrapText="1"/>
    </xf>
    <xf numFmtId="0" fontId="5" fillId="5" borderId="19" xfId="0" applyFont="1" applyFill="1" applyBorder="1" applyAlignment="1">
      <alignment wrapText="1"/>
    </xf>
    <xf numFmtId="0" fontId="5" fillId="5" borderId="2" xfId="0" applyFont="1" applyFill="1" applyBorder="1" applyAlignment="1">
      <alignment wrapText="1"/>
    </xf>
    <xf numFmtId="0" fontId="5" fillId="5" borderId="46" xfId="0" applyFont="1" applyFill="1" applyBorder="1" applyAlignment="1">
      <alignment wrapText="1"/>
    </xf>
    <xf numFmtId="0" fontId="40" fillId="0" borderId="19" xfId="0" applyFont="1" applyBorder="1" applyAlignment="1">
      <alignment wrapText="1"/>
    </xf>
    <xf numFmtId="0" fontId="40" fillId="0" borderId="2" xfId="0" applyFont="1" applyBorder="1" applyAlignment="1">
      <alignment wrapText="1"/>
    </xf>
    <xf numFmtId="0" fontId="40" fillId="0" borderId="46" xfId="0" applyFont="1" applyBorder="1" applyAlignment="1">
      <alignment wrapText="1"/>
    </xf>
    <xf numFmtId="0" fontId="32" fillId="4" borderId="10" xfId="0" applyFont="1" applyFill="1" applyBorder="1" applyAlignment="1">
      <alignment wrapText="1"/>
    </xf>
    <xf numFmtId="0" fontId="32" fillId="4" borderId="0" xfId="0" applyFont="1" applyFill="1" applyAlignment="1">
      <alignment wrapText="1"/>
    </xf>
    <xf numFmtId="0" fontId="32" fillId="4" borderId="48" xfId="0" applyFont="1" applyFill="1" applyBorder="1" applyAlignment="1">
      <alignment wrapText="1"/>
    </xf>
    <xf numFmtId="0" fontId="3" fillId="5" borderId="14" xfId="0" applyFont="1" applyFill="1" applyBorder="1" applyAlignment="1">
      <alignment wrapText="1"/>
    </xf>
    <xf numFmtId="0" fontId="5" fillId="0" borderId="2" xfId="0" applyFont="1" applyBorder="1"/>
    <xf numFmtId="0" fontId="5" fillId="0" borderId="4" xfId="0" applyFont="1" applyBorder="1"/>
    <xf numFmtId="0" fontId="6" fillId="0" borderId="2" xfId="0" applyFont="1" applyBorder="1" applyAlignment="1">
      <alignment wrapText="1"/>
    </xf>
    <xf numFmtId="0" fontId="6" fillId="0" borderId="4" xfId="0" applyFont="1" applyBorder="1" applyAlignment="1">
      <alignment wrapText="1"/>
    </xf>
    <xf numFmtId="0" fontId="6" fillId="0" borderId="50" xfId="0" applyFont="1" applyBorder="1" applyAlignment="1">
      <alignment wrapText="1"/>
    </xf>
    <xf numFmtId="0" fontId="36" fillId="0" borderId="21" xfId="0" applyFont="1" applyBorder="1" applyAlignment="1">
      <alignment wrapText="1"/>
    </xf>
    <xf numFmtId="0" fontId="36" fillId="0" borderId="5" xfId="0" applyFont="1" applyBorder="1" applyAlignment="1">
      <alignment wrapText="1"/>
    </xf>
    <xf numFmtId="0" fontId="36" fillId="0" borderId="49" xfId="0" applyFont="1" applyBorder="1" applyAlignment="1">
      <alignment wrapText="1"/>
    </xf>
    <xf numFmtId="0" fontId="37" fillId="0" borderId="14" xfId="0" applyFont="1" applyBorder="1"/>
    <xf numFmtId="0" fontId="37" fillId="0" borderId="2" xfId="0" applyFont="1" applyBorder="1"/>
    <xf numFmtId="0" fontId="37" fillId="0" borderId="4" xfId="0" applyFont="1" applyBorder="1"/>
    <xf numFmtId="0" fontId="37" fillId="4" borderId="2" xfId="0" applyFont="1" applyFill="1" applyBorder="1"/>
    <xf numFmtId="0" fontId="37" fillId="4" borderId="4" xfId="0" applyFont="1" applyFill="1" applyBorder="1"/>
    <xf numFmtId="0" fontId="3" fillId="5" borderId="21" xfId="0" applyFont="1" applyFill="1" applyBorder="1" applyAlignment="1">
      <alignment wrapText="1"/>
    </xf>
    <xf numFmtId="0" fontId="3" fillId="5" borderId="5" xfId="0" applyFont="1" applyFill="1" applyBorder="1" applyAlignment="1">
      <alignment wrapText="1"/>
    </xf>
    <xf numFmtId="0" fontId="3" fillId="5" borderId="49" xfId="0" applyFont="1" applyFill="1" applyBorder="1" applyAlignment="1">
      <alignment wrapText="1"/>
    </xf>
    <xf numFmtId="0" fontId="36" fillId="0" borderId="23" xfId="0" applyFont="1" applyBorder="1" applyAlignment="1">
      <alignment wrapText="1"/>
    </xf>
    <xf numFmtId="0" fontId="36" fillId="0" borderId="24" xfId="0" applyFont="1" applyBorder="1" applyAlignment="1">
      <alignment wrapText="1"/>
    </xf>
    <xf numFmtId="0" fontId="36" fillId="0" borderId="47" xfId="0" applyFont="1" applyBorder="1" applyAlignment="1">
      <alignment wrapText="1"/>
    </xf>
    <xf numFmtId="0" fontId="32" fillId="4" borderId="14" xfId="0" applyFont="1" applyFill="1" applyBorder="1" applyAlignment="1">
      <alignment wrapText="1"/>
    </xf>
    <xf numFmtId="0" fontId="32" fillId="4" borderId="2" xfId="0" applyFont="1" applyFill="1" applyBorder="1" applyAlignment="1">
      <alignment wrapText="1"/>
    </xf>
    <xf numFmtId="0" fontId="32" fillId="4" borderId="4" xfId="0" applyFont="1" applyFill="1" applyBorder="1" applyAlignment="1">
      <alignment wrapText="1"/>
    </xf>
    <xf numFmtId="0" fontId="6" fillId="0" borderId="14" xfId="0" applyFont="1" applyBorder="1" applyAlignment="1">
      <alignment wrapText="1"/>
    </xf>
    <xf numFmtId="0" fontId="41" fillId="0" borderId="19" xfId="0" applyFont="1" applyBorder="1" applyAlignment="1">
      <alignment wrapText="1"/>
    </xf>
    <xf numFmtId="0" fontId="41" fillId="0" borderId="2" xfId="0" applyFont="1" applyBorder="1" applyAlignment="1">
      <alignment wrapText="1"/>
    </xf>
    <xf numFmtId="0" fontId="41" fillId="0" borderId="46" xfId="0" applyFont="1" applyBorder="1" applyAlignment="1">
      <alignment wrapText="1"/>
    </xf>
    <xf numFmtId="0" fontId="3" fillId="5" borderId="34" xfId="0" applyFont="1" applyFill="1" applyBorder="1" applyAlignment="1">
      <alignment wrapText="1"/>
    </xf>
    <xf numFmtId="0" fontId="3" fillId="5" borderId="35" xfId="0" applyFont="1" applyFill="1" applyBorder="1" applyAlignment="1">
      <alignment wrapText="1"/>
    </xf>
    <xf numFmtId="0" fontId="3" fillId="5" borderId="45" xfId="0" applyFont="1" applyFill="1" applyBorder="1" applyAlignment="1">
      <alignment wrapText="1"/>
    </xf>
    <xf numFmtId="0" fontId="3" fillId="0" borderId="46" xfId="0" applyFont="1" applyBorder="1" applyAlignment="1">
      <alignment wrapText="1"/>
    </xf>
    <xf numFmtId="0" fontId="3" fillId="5" borderId="19" xfId="0" applyFont="1" applyFill="1" applyBorder="1" applyAlignment="1">
      <alignment horizontal="center" wrapText="1"/>
    </xf>
    <xf numFmtId="0" fontId="3" fillId="5" borderId="2" xfId="0" applyFont="1" applyFill="1" applyBorder="1" applyAlignment="1">
      <alignment horizontal="center" wrapText="1"/>
    </xf>
    <xf numFmtId="0" fontId="3" fillId="5" borderId="4" xfId="0" applyFont="1" applyFill="1" applyBorder="1" applyAlignment="1">
      <alignment horizontal="center" wrapText="1"/>
    </xf>
    <xf numFmtId="0" fontId="3" fillId="0" borderId="19" xfId="0" applyFont="1" applyBorder="1" applyAlignment="1">
      <alignment horizontal="center" wrapText="1"/>
    </xf>
    <xf numFmtId="0" fontId="3" fillId="0" borderId="2" xfId="0" applyFont="1" applyBorder="1" applyAlignment="1">
      <alignment horizontal="center" wrapText="1"/>
    </xf>
    <xf numFmtId="0" fontId="3" fillId="0" borderId="50" xfId="0" applyFont="1" applyBorder="1" applyAlignment="1">
      <alignment horizontal="center" wrapText="1"/>
    </xf>
    <xf numFmtId="0" fontId="3" fillId="5" borderId="19"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50" xfId="0" applyFont="1" applyFill="1" applyBorder="1" applyAlignment="1">
      <alignment horizontal="center" vertical="center" wrapText="1"/>
    </xf>
  </cellXfs>
  <cellStyles count="14">
    <cellStyle name="Comma" xfId="13" xr:uid="{3612A863-CCB8-44E6-846F-3B02E468BE80}"/>
    <cellStyle name="Hipervínculo" xfId="12" builtinId="8"/>
    <cellStyle name="Millares" xfId="1" builtinId="3"/>
    <cellStyle name="Millares 2" xfId="7" xr:uid="{0EA22820-0A94-4240-ADA4-CC2182CC2BF1}"/>
    <cellStyle name="Moneda" xfId="2" builtinId="4"/>
    <cellStyle name="Moneda [0] 2" xfId="8" xr:uid="{285A0725-7824-40F8-B821-E90F468493D6}"/>
    <cellStyle name="Moneda [0] 3" xfId="11" xr:uid="{DDBE72A7-CAFB-4960-AD1A-4188113A816F}"/>
    <cellStyle name="Moneda 2" xfId="4" xr:uid="{195B897B-CA38-4C0B-A828-EC3036A58DFF}"/>
    <cellStyle name="Moneda 3" xfId="9" xr:uid="{04042537-BBB4-4191-A315-E96B7760A19B}"/>
    <cellStyle name="Moneda 4" xfId="10" xr:uid="{9BB56B9C-01B6-4470-9F0A-29742CF26117}"/>
    <cellStyle name="Normal" xfId="0" builtinId="0"/>
    <cellStyle name="Normal 2" xfId="5" xr:uid="{55FF1608-27AF-4F94-98CE-7AF617778CA0}"/>
    <cellStyle name="Normal 6" xfId="6" xr:uid="{B5ECA708-3B7F-4D4C-A263-EC772F248461}"/>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771525</xdr:colOff>
      <xdr:row>0</xdr:row>
      <xdr:rowOff>57150</xdr:rowOff>
    </xdr:from>
    <xdr:to>
      <xdr:col>2</xdr:col>
      <xdr:colOff>0</xdr:colOff>
      <xdr:row>0</xdr:row>
      <xdr:rowOff>590550</xdr:rowOff>
    </xdr:to>
    <xdr:pic>
      <xdr:nvPicPr>
        <xdr:cNvPr id="2" name="Imagen 1">
          <a:extLst>
            <a:ext uri="{FF2B5EF4-FFF2-40B4-BE49-F238E27FC236}">
              <a16:creationId xmlns:a16="http://schemas.microsoft.com/office/drawing/2014/main" id="{B6FC0B3B-E1A8-46A7-ABF0-765307AD4517}"/>
            </a:ext>
          </a:extLst>
        </xdr:cNvPr>
        <xdr:cNvPicPr>
          <a:picLocks noChangeAspect="1"/>
        </xdr:cNvPicPr>
      </xdr:nvPicPr>
      <xdr:blipFill>
        <a:blip xmlns:r="http://schemas.openxmlformats.org/officeDocument/2006/relationships" r:embed="rId1"/>
        <a:stretch>
          <a:fillRect/>
        </a:stretch>
      </xdr:blipFill>
      <xdr:spPr>
        <a:xfrm>
          <a:off x="1162050" y="57150"/>
          <a:ext cx="1123950" cy="533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752475</xdr:colOff>
      <xdr:row>0</xdr:row>
      <xdr:rowOff>28575</xdr:rowOff>
    </xdr:from>
    <xdr:to>
      <xdr:col>1</xdr:col>
      <xdr:colOff>1876425</xdr:colOff>
      <xdr:row>0</xdr:row>
      <xdr:rowOff>561975</xdr:rowOff>
    </xdr:to>
    <xdr:pic>
      <xdr:nvPicPr>
        <xdr:cNvPr id="2" name="Imagen 1">
          <a:extLst>
            <a:ext uri="{FF2B5EF4-FFF2-40B4-BE49-F238E27FC236}">
              <a16:creationId xmlns:a16="http://schemas.microsoft.com/office/drawing/2014/main" id="{7EDD92A2-7B1E-EE31-8B7A-0E115C044AB0}"/>
            </a:ext>
          </a:extLst>
        </xdr:cNvPr>
        <xdr:cNvPicPr>
          <a:picLocks noChangeAspect="1"/>
        </xdr:cNvPicPr>
      </xdr:nvPicPr>
      <xdr:blipFill>
        <a:blip xmlns:r="http://schemas.openxmlformats.org/officeDocument/2006/relationships" r:embed="rId1"/>
        <a:stretch>
          <a:fillRect/>
        </a:stretch>
      </xdr:blipFill>
      <xdr:spPr>
        <a:xfrm>
          <a:off x="1362075" y="28575"/>
          <a:ext cx="1123950" cy="533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542925</xdr:colOff>
      <xdr:row>0</xdr:row>
      <xdr:rowOff>114300</xdr:rowOff>
    </xdr:from>
    <xdr:to>
      <xdr:col>1</xdr:col>
      <xdr:colOff>1666875</xdr:colOff>
      <xdr:row>0</xdr:row>
      <xdr:rowOff>647700</xdr:rowOff>
    </xdr:to>
    <xdr:pic>
      <xdr:nvPicPr>
        <xdr:cNvPr id="2" name="Imagen 1">
          <a:extLst>
            <a:ext uri="{FF2B5EF4-FFF2-40B4-BE49-F238E27FC236}">
              <a16:creationId xmlns:a16="http://schemas.microsoft.com/office/drawing/2014/main" id="{02D9CCE8-EDA3-4C8B-A168-9FCD96394DCB}"/>
            </a:ext>
          </a:extLst>
        </xdr:cNvPr>
        <xdr:cNvPicPr>
          <a:picLocks noChangeAspect="1"/>
        </xdr:cNvPicPr>
      </xdr:nvPicPr>
      <xdr:blipFill>
        <a:blip xmlns:r="http://schemas.openxmlformats.org/officeDocument/2006/relationships" r:embed="rId1"/>
        <a:stretch>
          <a:fillRect/>
        </a:stretch>
      </xdr:blipFill>
      <xdr:spPr>
        <a:xfrm>
          <a:off x="781050" y="114300"/>
          <a:ext cx="1123950" cy="5334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D8F28-C412-4DC6-AD26-07B548DB507C}">
  <dimension ref="A1:I29"/>
  <sheetViews>
    <sheetView topLeftCell="A16" workbookViewId="0">
      <selection activeCell="B16" sqref="B16:H16"/>
    </sheetView>
  </sheetViews>
  <sheetFormatPr baseColWidth="10" defaultColWidth="8.7109375" defaultRowHeight="15" x14ac:dyDescent="0.25"/>
  <cols>
    <col min="1" max="1" width="5.85546875" customWidth="1"/>
    <col min="2" max="2" width="28.42578125" customWidth="1"/>
    <col min="3" max="3" width="20" customWidth="1"/>
    <col min="4" max="4" width="25.85546875" customWidth="1"/>
    <col min="5" max="5" width="28.42578125" customWidth="1"/>
    <col min="6" max="6" width="26.28515625" customWidth="1"/>
    <col min="7" max="7" width="36.5703125" customWidth="1"/>
    <col min="8" max="8" width="62.140625" customWidth="1"/>
  </cols>
  <sheetData>
    <row r="1" spans="1:9" ht="48" customHeight="1" x14ac:dyDescent="0.35">
      <c r="A1" s="129"/>
      <c r="B1" s="314" t="s">
        <v>0</v>
      </c>
      <c r="C1" s="315"/>
      <c r="D1" s="316"/>
      <c r="G1" s="317" t="s">
        <v>1</v>
      </c>
      <c r="H1" s="318"/>
      <c r="I1" s="134"/>
    </row>
    <row r="2" spans="1:9" ht="46.5" customHeight="1" x14ac:dyDescent="0.25">
      <c r="A2" s="129"/>
      <c r="B2" s="319" t="s">
        <v>2</v>
      </c>
      <c r="C2" s="320"/>
      <c r="D2" s="320"/>
      <c r="E2" s="320"/>
      <c r="F2" s="320"/>
      <c r="G2" s="320"/>
      <c r="H2" s="321"/>
      <c r="I2" s="134"/>
    </row>
    <row r="3" spans="1:9" ht="278.25" customHeight="1" x14ac:dyDescent="0.25">
      <c r="A3" s="129"/>
      <c r="B3" s="322" t="s">
        <v>3</v>
      </c>
      <c r="C3" s="323"/>
      <c r="D3" s="323"/>
      <c r="E3" s="323"/>
      <c r="F3" s="323"/>
      <c r="G3" s="323"/>
      <c r="H3" s="324"/>
      <c r="I3" s="134"/>
    </row>
    <row r="4" spans="1:9" ht="15.75" x14ac:dyDescent="0.25">
      <c r="A4" s="129"/>
      <c r="B4" s="325" t="s">
        <v>4</v>
      </c>
      <c r="C4" s="326"/>
      <c r="D4" s="326"/>
      <c r="E4" s="326"/>
      <c r="F4" s="326"/>
      <c r="G4" s="326"/>
      <c r="H4" s="327"/>
      <c r="I4" s="134"/>
    </row>
    <row r="5" spans="1:9" ht="22.5" customHeight="1" x14ac:dyDescent="0.25">
      <c r="A5" s="129"/>
      <c r="B5" s="311" t="s">
        <v>5</v>
      </c>
      <c r="C5" s="312"/>
      <c r="D5" s="312"/>
      <c r="E5" s="312"/>
      <c r="F5" s="312"/>
      <c r="G5" s="312"/>
      <c r="H5" s="313"/>
      <c r="I5" s="134"/>
    </row>
    <row r="6" spans="1:9" ht="30" customHeight="1" x14ac:dyDescent="0.3">
      <c r="A6" s="129"/>
      <c r="B6" s="296" t="s">
        <v>6</v>
      </c>
      <c r="C6" s="297"/>
      <c r="D6" s="297"/>
      <c r="E6" s="297"/>
      <c r="F6" s="297"/>
      <c r="G6" s="297"/>
      <c r="H6" s="298"/>
      <c r="I6" s="134"/>
    </row>
    <row r="7" spans="1:9" ht="231" customHeight="1" x14ac:dyDescent="0.25">
      <c r="A7" s="129"/>
      <c r="B7" s="299" t="s">
        <v>7</v>
      </c>
      <c r="C7" s="300"/>
      <c r="D7" s="300"/>
      <c r="E7" s="300"/>
      <c r="F7" s="300"/>
      <c r="G7" s="300"/>
      <c r="H7" s="301"/>
      <c r="I7" s="134"/>
    </row>
    <row r="8" spans="1:9" ht="15.75" x14ac:dyDescent="0.25">
      <c r="A8" s="129"/>
      <c r="B8" s="302" t="s">
        <v>8</v>
      </c>
      <c r="C8" s="303"/>
      <c r="D8" s="303"/>
      <c r="E8" s="303"/>
      <c r="F8" s="303"/>
      <c r="G8" s="303"/>
      <c r="H8" s="304"/>
      <c r="I8" s="134"/>
    </row>
    <row r="9" spans="1:9" x14ac:dyDescent="0.25">
      <c r="A9" s="129"/>
      <c r="B9" s="299" t="s">
        <v>9</v>
      </c>
      <c r="C9" s="300"/>
      <c r="D9" s="300"/>
      <c r="E9" s="300"/>
      <c r="F9" s="300"/>
      <c r="G9" s="300"/>
      <c r="H9" s="301"/>
      <c r="I9" s="134"/>
    </row>
    <row r="10" spans="1:9" x14ac:dyDescent="0.25">
      <c r="A10" s="129"/>
      <c r="B10" s="305" t="s">
        <v>10</v>
      </c>
      <c r="C10" s="293"/>
      <c r="D10" s="293"/>
      <c r="E10" s="293"/>
      <c r="F10" s="293"/>
      <c r="G10" s="293"/>
      <c r="H10" s="294"/>
      <c r="I10" s="134"/>
    </row>
    <row r="11" spans="1:9" ht="15" customHeight="1" x14ac:dyDescent="0.3">
      <c r="A11" s="129"/>
      <c r="B11" s="165" t="s">
        <v>11</v>
      </c>
      <c r="C11" s="166"/>
      <c r="D11" s="167"/>
      <c r="E11" s="139" t="s">
        <v>12</v>
      </c>
      <c r="F11" s="306" t="s">
        <v>13</v>
      </c>
      <c r="G11" s="306"/>
      <c r="H11" s="307"/>
      <c r="I11" s="134"/>
    </row>
    <row r="12" spans="1:9" ht="15" customHeight="1" x14ac:dyDescent="0.3">
      <c r="A12" s="129"/>
      <c r="B12" s="168" t="s">
        <v>14</v>
      </c>
      <c r="C12" s="166"/>
      <c r="D12" s="167"/>
      <c r="E12" s="140" t="s">
        <v>15</v>
      </c>
      <c r="F12" s="308" t="s">
        <v>16</v>
      </c>
      <c r="G12" s="308"/>
      <c r="H12" s="309"/>
      <c r="I12" s="134"/>
    </row>
    <row r="13" spans="1:9" ht="15" customHeight="1" x14ac:dyDescent="0.3">
      <c r="A13" s="129"/>
      <c r="B13" s="168" t="s">
        <v>17</v>
      </c>
      <c r="C13" s="166"/>
      <c r="D13" s="167"/>
      <c r="E13" s="140" t="s">
        <v>15</v>
      </c>
      <c r="F13" s="308" t="s">
        <v>18</v>
      </c>
      <c r="G13" s="308"/>
      <c r="H13" s="309"/>
      <c r="I13" s="134"/>
    </row>
    <row r="14" spans="1:9" ht="15" customHeight="1" x14ac:dyDescent="0.3">
      <c r="A14" s="129"/>
      <c r="B14" s="168" t="s">
        <v>19</v>
      </c>
      <c r="C14" s="166"/>
      <c r="D14" s="167"/>
      <c r="E14" s="140" t="s">
        <v>20</v>
      </c>
      <c r="F14" s="308" t="s">
        <v>21</v>
      </c>
      <c r="G14" s="308"/>
      <c r="H14" s="310"/>
      <c r="I14" s="134"/>
    </row>
    <row r="15" spans="1:9" ht="15" customHeight="1" x14ac:dyDescent="0.3">
      <c r="A15" s="129"/>
      <c r="B15" s="169" t="s">
        <v>0</v>
      </c>
      <c r="C15" s="166"/>
      <c r="D15" s="167"/>
      <c r="E15" s="140" t="s">
        <v>0</v>
      </c>
      <c r="F15" s="308" t="s">
        <v>0</v>
      </c>
      <c r="G15" s="308"/>
      <c r="H15" s="309"/>
      <c r="I15" s="134"/>
    </row>
    <row r="16" spans="1:9" ht="15.75" x14ac:dyDescent="0.25">
      <c r="A16" s="129"/>
      <c r="B16" s="302" t="s">
        <v>22</v>
      </c>
      <c r="C16" s="303"/>
      <c r="D16" s="303"/>
      <c r="E16" s="303"/>
      <c r="F16" s="303"/>
      <c r="G16" s="303"/>
      <c r="H16" s="303"/>
      <c r="I16" s="134"/>
    </row>
    <row r="17" spans="1:9" x14ac:dyDescent="0.25">
      <c r="A17" s="129"/>
      <c r="B17" s="174" t="s">
        <v>23</v>
      </c>
      <c r="C17" s="175"/>
      <c r="D17" s="176"/>
      <c r="E17" s="161" t="s">
        <v>24</v>
      </c>
      <c r="F17" s="162" t="s">
        <v>25</v>
      </c>
      <c r="G17" s="162" t="s">
        <v>26</v>
      </c>
      <c r="H17" s="163" t="s">
        <v>27</v>
      </c>
      <c r="I17" s="134"/>
    </row>
    <row r="18" spans="1:9" ht="16.5" x14ac:dyDescent="0.3">
      <c r="A18" s="142" t="s">
        <v>0</v>
      </c>
      <c r="B18" s="170">
        <v>1</v>
      </c>
      <c r="C18" s="171"/>
      <c r="D18" s="172"/>
      <c r="E18" s="140" t="s">
        <v>28</v>
      </c>
      <c r="F18" s="143">
        <v>2</v>
      </c>
      <c r="G18" s="144">
        <v>225365334</v>
      </c>
      <c r="H18" s="145" t="s">
        <v>29</v>
      </c>
      <c r="I18" s="134"/>
    </row>
    <row r="19" spans="1:9" ht="16.5" x14ac:dyDescent="0.3">
      <c r="A19" s="146"/>
      <c r="B19" s="173">
        <v>2</v>
      </c>
      <c r="C19" s="166"/>
      <c r="D19" s="167"/>
      <c r="E19" s="140" t="s">
        <v>30</v>
      </c>
      <c r="F19" s="147">
        <v>2</v>
      </c>
      <c r="G19" s="144">
        <v>217360001</v>
      </c>
      <c r="H19" s="148" t="s">
        <v>31</v>
      </c>
      <c r="I19" s="134"/>
    </row>
    <row r="20" spans="1:9" ht="16.5" x14ac:dyDescent="0.3">
      <c r="A20" s="129"/>
      <c r="B20" s="173">
        <v>3</v>
      </c>
      <c r="C20" s="166"/>
      <c r="D20" s="167"/>
      <c r="E20" s="140" t="s">
        <v>32</v>
      </c>
      <c r="F20" s="147">
        <v>1</v>
      </c>
      <c r="G20" s="144">
        <v>128497001</v>
      </c>
      <c r="H20" s="148" t="s">
        <v>33</v>
      </c>
      <c r="I20" s="129"/>
    </row>
    <row r="21" spans="1:9" x14ac:dyDescent="0.25">
      <c r="A21" s="129"/>
      <c r="B21" s="292" t="s">
        <v>34</v>
      </c>
      <c r="C21" s="293"/>
      <c r="D21" s="293"/>
      <c r="E21" s="293"/>
      <c r="F21" s="293"/>
      <c r="G21" s="295"/>
      <c r="H21" s="149" t="s">
        <v>35</v>
      </c>
      <c r="I21" s="129"/>
    </row>
    <row r="22" spans="1:9" x14ac:dyDescent="0.25">
      <c r="A22" s="129"/>
      <c r="B22" s="289" t="s">
        <v>36</v>
      </c>
      <c r="C22" s="290"/>
      <c r="D22" s="290"/>
      <c r="E22" s="290"/>
      <c r="F22" s="290"/>
      <c r="G22" s="291"/>
      <c r="H22" s="70" t="s">
        <v>37</v>
      </c>
      <c r="I22" s="129"/>
    </row>
    <row r="23" spans="1:9" ht="16.5" x14ac:dyDescent="0.3">
      <c r="A23" s="129"/>
      <c r="B23" s="292" t="s">
        <v>38</v>
      </c>
      <c r="C23" s="293"/>
      <c r="D23" s="293"/>
      <c r="E23" s="293"/>
      <c r="F23" s="293"/>
      <c r="G23" s="294"/>
      <c r="H23" s="150" t="s">
        <v>39</v>
      </c>
      <c r="I23" s="129"/>
    </row>
    <row r="24" spans="1:9" ht="57.75" customHeight="1" x14ac:dyDescent="0.3">
      <c r="A24" s="129"/>
      <c r="B24" s="284" t="s">
        <v>40</v>
      </c>
      <c r="C24" s="285"/>
      <c r="D24" s="285"/>
      <c r="E24" s="285"/>
      <c r="F24" s="285"/>
      <c r="G24" s="285"/>
      <c r="H24" s="286"/>
      <c r="I24" s="129"/>
    </row>
    <row r="25" spans="1:9" ht="107.25" customHeight="1" x14ac:dyDescent="0.3">
      <c r="A25" s="129"/>
      <c r="B25" s="284" t="s">
        <v>41</v>
      </c>
      <c r="C25" s="285"/>
      <c r="D25" s="285"/>
      <c r="E25" s="285"/>
      <c r="F25" s="285"/>
      <c r="G25" s="285"/>
      <c r="H25" s="286"/>
      <c r="I25" s="129"/>
    </row>
    <row r="26" spans="1:9" ht="24" customHeight="1" x14ac:dyDescent="0.3">
      <c r="A26" s="129"/>
      <c r="B26" s="284" t="s">
        <v>42</v>
      </c>
      <c r="C26" s="285"/>
      <c r="D26" s="285"/>
      <c r="E26" s="285"/>
      <c r="F26" s="285"/>
      <c r="G26" s="285"/>
      <c r="H26" s="286"/>
      <c r="I26" s="129"/>
    </row>
    <row r="27" spans="1:9" ht="21.75" customHeight="1" x14ac:dyDescent="0.3">
      <c r="A27" s="129"/>
      <c r="B27" s="284" t="s">
        <v>43</v>
      </c>
      <c r="C27" s="285"/>
      <c r="D27" s="285"/>
      <c r="E27" s="285"/>
      <c r="F27" s="285"/>
      <c r="G27" s="285"/>
      <c r="H27" s="286"/>
      <c r="I27" s="129"/>
    </row>
    <row r="28" spans="1:9" ht="16.5" x14ac:dyDescent="0.3">
      <c r="A28" s="129"/>
      <c r="B28" s="284" t="s">
        <v>44</v>
      </c>
      <c r="C28" s="285"/>
      <c r="D28" s="285"/>
      <c r="E28" s="285"/>
      <c r="F28" s="285"/>
      <c r="G28" s="285"/>
      <c r="H28" s="286"/>
      <c r="I28" s="129"/>
    </row>
    <row r="29" spans="1:9" ht="16.5" x14ac:dyDescent="0.3">
      <c r="A29" s="129"/>
      <c r="B29" s="287" t="s">
        <v>45</v>
      </c>
      <c r="C29" s="285"/>
      <c r="D29" s="285"/>
      <c r="E29" s="285"/>
      <c r="F29" s="285"/>
      <c r="G29" s="285"/>
      <c r="H29" s="288"/>
      <c r="I29" s="129"/>
    </row>
  </sheetData>
  <mergeCells count="26">
    <mergeCell ref="B5:H5"/>
    <mergeCell ref="B1:D1"/>
    <mergeCell ref="G1:H1"/>
    <mergeCell ref="B2:H2"/>
    <mergeCell ref="B3:H3"/>
    <mergeCell ref="B4:H4"/>
    <mergeCell ref="B21:G21"/>
    <mergeCell ref="B6:H6"/>
    <mergeCell ref="B7:H7"/>
    <mergeCell ref="B8:H8"/>
    <mergeCell ref="B9:H9"/>
    <mergeCell ref="B10:H10"/>
    <mergeCell ref="F11:H11"/>
    <mergeCell ref="F12:H12"/>
    <mergeCell ref="F13:H13"/>
    <mergeCell ref="F14:H14"/>
    <mergeCell ref="F15:H15"/>
    <mergeCell ref="B16:H16"/>
    <mergeCell ref="B28:H28"/>
    <mergeCell ref="B29:H29"/>
    <mergeCell ref="B22:G22"/>
    <mergeCell ref="B23:G23"/>
    <mergeCell ref="B24:H24"/>
    <mergeCell ref="B25:H25"/>
    <mergeCell ref="B26:H26"/>
    <mergeCell ref="B27:H2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2F0C1-AB4F-41EC-A582-D49E69C6F156}">
  <dimension ref="A1:G35"/>
  <sheetViews>
    <sheetView topLeftCell="B23" workbookViewId="0">
      <selection activeCell="I30" sqref="I30"/>
    </sheetView>
  </sheetViews>
  <sheetFormatPr baseColWidth="10" defaultColWidth="8.7109375" defaultRowHeight="15" x14ac:dyDescent="0.25"/>
  <cols>
    <col min="2" max="3" width="39.140625" customWidth="1"/>
    <col min="4" max="4" width="36.140625" customWidth="1"/>
    <col min="5" max="5" width="32" customWidth="1"/>
    <col min="6" max="6" width="33.85546875" customWidth="1"/>
  </cols>
  <sheetData>
    <row r="1" spans="1:7" ht="49.5" customHeight="1" x14ac:dyDescent="0.35">
      <c r="A1" s="129"/>
      <c r="B1" s="130" t="s">
        <v>0</v>
      </c>
      <c r="C1" s="131" t="s">
        <v>0</v>
      </c>
      <c r="D1" s="131" t="s">
        <v>0</v>
      </c>
      <c r="E1" s="132" t="s">
        <v>1</v>
      </c>
      <c r="F1" s="133"/>
      <c r="G1" s="134"/>
    </row>
    <row r="2" spans="1:7" ht="44.25" customHeight="1" x14ac:dyDescent="0.25">
      <c r="A2" s="129"/>
      <c r="B2" s="332" t="s">
        <v>2</v>
      </c>
      <c r="C2" s="333"/>
      <c r="D2" s="333"/>
      <c r="E2" s="333"/>
      <c r="F2" s="334"/>
      <c r="G2" s="134"/>
    </row>
    <row r="3" spans="1:7" hidden="1" x14ac:dyDescent="0.25">
      <c r="A3" s="129"/>
      <c r="B3" s="289" t="s">
        <v>0</v>
      </c>
      <c r="C3" s="290"/>
      <c r="D3" s="290"/>
      <c r="E3" s="290"/>
      <c r="F3" s="335"/>
      <c r="G3" s="134"/>
    </row>
    <row r="4" spans="1:7" hidden="1" x14ac:dyDescent="0.25">
      <c r="A4" s="129"/>
      <c r="B4" s="135" t="s">
        <v>0</v>
      </c>
      <c r="C4" s="136" t="s">
        <v>0</v>
      </c>
      <c r="D4" s="136" t="s">
        <v>0</v>
      </c>
      <c r="E4" s="136" t="s">
        <v>0</v>
      </c>
      <c r="F4" s="137" t="s">
        <v>0</v>
      </c>
      <c r="G4" s="134"/>
    </row>
    <row r="5" spans="1:7" hidden="1" x14ac:dyDescent="0.25">
      <c r="A5" s="129"/>
      <c r="B5" s="135" t="s">
        <v>0</v>
      </c>
      <c r="C5" s="136" t="s">
        <v>0</v>
      </c>
      <c r="D5" s="136" t="s">
        <v>0</v>
      </c>
      <c r="E5" s="136" t="s">
        <v>0</v>
      </c>
      <c r="F5" s="137" t="s">
        <v>0</v>
      </c>
      <c r="G5" s="134"/>
    </row>
    <row r="6" spans="1:7" hidden="1" x14ac:dyDescent="0.25">
      <c r="A6" s="129"/>
      <c r="B6" s="135" t="s">
        <v>0</v>
      </c>
      <c r="C6" s="136" t="s">
        <v>0</v>
      </c>
      <c r="D6" s="136" t="s">
        <v>0</v>
      </c>
      <c r="E6" s="136" t="s">
        <v>0</v>
      </c>
      <c r="F6" s="137" t="s">
        <v>0</v>
      </c>
      <c r="G6" s="134"/>
    </row>
    <row r="7" spans="1:7" hidden="1" x14ac:dyDescent="0.25">
      <c r="A7" s="129"/>
      <c r="B7" s="135" t="s">
        <v>0</v>
      </c>
      <c r="C7" s="136" t="s">
        <v>0</v>
      </c>
      <c r="D7" s="136" t="s">
        <v>0</v>
      </c>
      <c r="E7" s="136" t="s">
        <v>0</v>
      </c>
      <c r="F7" s="137" t="s">
        <v>0</v>
      </c>
      <c r="G7" s="134"/>
    </row>
    <row r="8" spans="1:7" ht="225" customHeight="1" x14ac:dyDescent="0.25">
      <c r="A8" s="129"/>
      <c r="B8" s="322" t="s">
        <v>3</v>
      </c>
      <c r="C8" s="323"/>
      <c r="D8" s="323"/>
      <c r="E8" s="323"/>
      <c r="F8" s="324"/>
      <c r="G8" s="134"/>
    </row>
    <row r="9" spans="1:7" ht="15.75" x14ac:dyDescent="0.25">
      <c r="A9" s="129"/>
      <c r="B9" s="302" t="s">
        <v>4</v>
      </c>
      <c r="C9" s="303"/>
      <c r="D9" s="303"/>
      <c r="E9" s="303"/>
      <c r="F9" s="304"/>
      <c r="G9" s="134"/>
    </row>
    <row r="10" spans="1:7" ht="35.25" customHeight="1" x14ac:dyDescent="0.25">
      <c r="A10" s="129"/>
      <c r="B10" s="311" t="s">
        <v>5</v>
      </c>
      <c r="C10" s="312"/>
      <c r="D10" s="312"/>
      <c r="E10" s="312"/>
      <c r="F10" s="313"/>
      <c r="G10" s="134"/>
    </row>
    <row r="11" spans="1:7" ht="48" customHeight="1" x14ac:dyDescent="0.3">
      <c r="A11" s="129"/>
      <c r="B11" s="296" t="s">
        <v>6</v>
      </c>
      <c r="C11" s="297"/>
      <c r="D11" s="297"/>
      <c r="E11" s="297"/>
      <c r="F11" s="298"/>
      <c r="G11" s="134"/>
    </row>
    <row r="12" spans="1:7" ht="257.25" customHeight="1" x14ac:dyDescent="0.25">
      <c r="A12" s="129"/>
      <c r="B12" s="299" t="s">
        <v>7</v>
      </c>
      <c r="C12" s="300"/>
      <c r="D12" s="300"/>
      <c r="E12" s="300"/>
      <c r="F12" s="301"/>
      <c r="G12" s="134"/>
    </row>
    <row r="13" spans="1:7" ht="15.75" x14ac:dyDescent="0.25">
      <c r="A13" s="129"/>
      <c r="B13" s="302" t="s">
        <v>8</v>
      </c>
      <c r="C13" s="303"/>
      <c r="D13" s="303"/>
      <c r="E13" s="303"/>
      <c r="F13" s="304"/>
      <c r="G13" s="134"/>
    </row>
    <row r="14" spans="1:7" ht="49.5" customHeight="1" x14ac:dyDescent="0.25">
      <c r="A14" s="129"/>
      <c r="B14" s="329" t="s">
        <v>46</v>
      </c>
      <c r="C14" s="330"/>
      <c r="D14" s="330"/>
      <c r="E14" s="330"/>
      <c r="F14" s="331"/>
      <c r="G14" s="134"/>
    </row>
    <row r="15" spans="1:7" ht="26.25" customHeight="1" x14ac:dyDescent="0.25">
      <c r="A15" s="129"/>
      <c r="B15" s="305" t="s">
        <v>10</v>
      </c>
      <c r="C15" s="293"/>
      <c r="D15" s="293"/>
      <c r="E15" s="293"/>
      <c r="F15" s="294"/>
      <c r="G15" s="134"/>
    </row>
    <row r="16" spans="1:7" ht="15" customHeight="1" x14ac:dyDescent="0.3">
      <c r="A16" s="129"/>
      <c r="B16" s="138" t="s">
        <v>11</v>
      </c>
      <c r="C16" s="139" t="s">
        <v>12</v>
      </c>
      <c r="D16" s="306" t="s">
        <v>13</v>
      </c>
      <c r="E16" s="306"/>
      <c r="F16" s="307"/>
      <c r="G16" s="134"/>
    </row>
    <row r="17" spans="1:7" ht="15" customHeight="1" x14ac:dyDescent="0.3">
      <c r="A17" s="129"/>
      <c r="B17" s="117" t="s">
        <v>14</v>
      </c>
      <c r="C17" s="140" t="s">
        <v>15</v>
      </c>
      <c r="D17" s="308" t="s">
        <v>16</v>
      </c>
      <c r="E17" s="308"/>
      <c r="F17" s="309"/>
      <c r="G17" s="134"/>
    </row>
    <row r="18" spans="1:7" ht="15" customHeight="1" x14ac:dyDescent="0.3">
      <c r="A18" s="129"/>
      <c r="B18" s="117" t="s">
        <v>17</v>
      </c>
      <c r="C18" s="140" t="s">
        <v>15</v>
      </c>
      <c r="D18" s="308" t="s">
        <v>18</v>
      </c>
      <c r="E18" s="308"/>
      <c r="F18" s="309"/>
      <c r="G18" s="134"/>
    </row>
    <row r="19" spans="1:7" ht="15" customHeight="1" x14ac:dyDescent="0.3">
      <c r="A19" s="129"/>
      <c r="B19" s="117" t="s">
        <v>19</v>
      </c>
      <c r="C19" s="140" t="s">
        <v>20</v>
      </c>
      <c r="D19" s="308" t="s">
        <v>21</v>
      </c>
      <c r="E19" s="308"/>
      <c r="F19" s="310"/>
      <c r="G19" s="134"/>
    </row>
    <row r="20" spans="1:7" ht="15" customHeight="1" x14ac:dyDescent="0.3">
      <c r="A20" s="129"/>
      <c r="B20" s="141" t="s">
        <v>0</v>
      </c>
      <c r="C20" s="140" t="s">
        <v>0</v>
      </c>
      <c r="D20" s="308" t="s">
        <v>0</v>
      </c>
      <c r="E20" s="308"/>
      <c r="F20" s="309"/>
      <c r="G20" s="134"/>
    </row>
    <row r="21" spans="1:7" ht="15.75" x14ac:dyDescent="0.25">
      <c r="A21" s="129"/>
      <c r="B21" s="302" t="s">
        <v>22</v>
      </c>
      <c r="C21" s="303"/>
      <c r="D21" s="303"/>
      <c r="E21" s="303"/>
      <c r="F21" s="303"/>
      <c r="G21" s="134"/>
    </row>
    <row r="22" spans="1:7" x14ac:dyDescent="0.25">
      <c r="A22" s="129"/>
      <c r="B22" s="160" t="s">
        <v>23</v>
      </c>
      <c r="C22" s="161" t="s">
        <v>24</v>
      </c>
      <c r="D22" s="162" t="s">
        <v>25</v>
      </c>
      <c r="E22" s="162" t="s">
        <v>26</v>
      </c>
      <c r="F22" s="163" t="s">
        <v>27</v>
      </c>
      <c r="G22" s="134"/>
    </row>
    <row r="23" spans="1:7" ht="16.5" x14ac:dyDescent="0.25">
      <c r="A23" s="142" t="s">
        <v>0</v>
      </c>
      <c r="B23" s="156">
        <v>1</v>
      </c>
      <c r="C23" s="157" t="s">
        <v>28</v>
      </c>
      <c r="D23" s="156">
        <v>2</v>
      </c>
      <c r="E23" s="144">
        <v>774118378</v>
      </c>
      <c r="F23" s="151" t="s">
        <v>47</v>
      </c>
      <c r="G23" s="134"/>
    </row>
    <row r="24" spans="1:7" ht="16.5" x14ac:dyDescent="0.25">
      <c r="A24" s="146"/>
      <c r="B24" s="158">
        <v>2</v>
      </c>
      <c r="C24" s="157" t="s">
        <v>30</v>
      </c>
      <c r="D24" s="159">
        <v>2</v>
      </c>
      <c r="E24" s="144">
        <v>431226324</v>
      </c>
      <c r="F24" s="152" t="s">
        <v>48</v>
      </c>
      <c r="G24" s="134"/>
    </row>
    <row r="25" spans="1:7" ht="16.5" x14ac:dyDescent="0.25">
      <c r="A25" s="129"/>
      <c r="B25" s="158">
        <v>3</v>
      </c>
      <c r="C25" s="157" t="s">
        <v>32</v>
      </c>
      <c r="D25" s="159">
        <v>1</v>
      </c>
      <c r="E25" s="144">
        <v>92357871</v>
      </c>
      <c r="F25" s="152" t="s">
        <v>49</v>
      </c>
      <c r="G25" s="129"/>
    </row>
    <row r="26" spans="1:7" ht="27.75" customHeight="1" x14ac:dyDescent="0.25">
      <c r="A26" s="129"/>
      <c r="B26" s="292" t="s">
        <v>34</v>
      </c>
      <c r="C26" s="293"/>
      <c r="D26" s="293"/>
      <c r="E26" s="295"/>
      <c r="F26" s="153" t="s">
        <v>50</v>
      </c>
      <c r="G26" s="129"/>
    </row>
    <row r="27" spans="1:7" ht="24.75" customHeight="1" x14ac:dyDescent="0.25">
      <c r="A27" s="129"/>
      <c r="B27" s="289" t="s">
        <v>36</v>
      </c>
      <c r="C27" s="290"/>
      <c r="D27" s="290"/>
      <c r="E27" s="291"/>
      <c r="F27" s="154" t="s">
        <v>51</v>
      </c>
      <c r="G27" s="129"/>
    </row>
    <row r="28" spans="1:7" ht="32.25" customHeight="1" x14ac:dyDescent="0.3">
      <c r="A28" s="129"/>
      <c r="B28" s="292" t="s">
        <v>38</v>
      </c>
      <c r="C28" s="293"/>
      <c r="D28" s="293"/>
      <c r="E28" s="294"/>
      <c r="F28" s="155" t="s">
        <v>52</v>
      </c>
      <c r="G28" s="129"/>
    </row>
    <row r="29" spans="1:7" ht="59.25" customHeight="1" x14ac:dyDescent="0.3">
      <c r="A29" s="129"/>
      <c r="B29" s="287" t="s">
        <v>40</v>
      </c>
      <c r="C29" s="285"/>
      <c r="D29" s="285"/>
      <c r="E29" s="285"/>
      <c r="F29" s="288"/>
      <c r="G29" s="129"/>
    </row>
    <row r="30" spans="1:7" ht="116.25" customHeight="1" x14ac:dyDescent="0.3">
      <c r="A30" s="129"/>
      <c r="B30" s="287" t="s">
        <v>41</v>
      </c>
      <c r="C30" s="285"/>
      <c r="D30" s="285"/>
      <c r="E30" s="285"/>
      <c r="F30" s="288"/>
      <c r="G30" s="129"/>
    </row>
    <row r="31" spans="1:7" ht="45" customHeight="1" x14ac:dyDescent="0.3">
      <c r="A31" s="129"/>
      <c r="B31" s="287" t="s">
        <v>42</v>
      </c>
      <c r="C31" s="285"/>
      <c r="D31" s="285"/>
      <c r="E31" s="285"/>
      <c r="F31" s="288"/>
      <c r="G31" s="129"/>
    </row>
    <row r="32" spans="1:7" ht="45" customHeight="1" x14ac:dyDescent="0.3">
      <c r="A32" s="129"/>
      <c r="B32" s="287" t="s">
        <v>43</v>
      </c>
      <c r="C32" s="285"/>
      <c r="D32" s="285"/>
      <c r="E32" s="285"/>
      <c r="F32" s="288"/>
      <c r="G32" s="129"/>
    </row>
    <row r="33" spans="1:7" ht="45" customHeight="1" x14ac:dyDescent="0.3">
      <c r="A33" s="129"/>
      <c r="B33" s="287" t="s">
        <v>44</v>
      </c>
      <c r="C33" s="285"/>
      <c r="D33" s="285"/>
      <c r="E33" s="285"/>
      <c r="F33" s="288"/>
      <c r="G33" s="129"/>
    </row>
    <row r="34" spans="1:7" ht="18" customHeight="1" x14ac:dyDescent="0.3">
      <c r="A34" s="129"/>
      <c r="B34" s="287" t="s">
        <v>45</v>
      </c>
      <c r="C34" s="285"/>
      <c r="D34" s="285"/>
      <c r="E34" s="285"/>
      <c r="F34" s="288"/>
      <c r="G34" s="129"/>
    </row>
    <row r="35" spans="1:7" ht="22.5" customHeight="1" x14ac:dyDescent="0.3">
      <c r="A35" s="129"/>
      <c r="B35" s="328" t="s">
        <v>53</v>
      </c>
      <c r="C35" s="308"/>
      <c r="D35" s="308"/>
      <c r="E35" s="308"/>
      <c r="F35" s="309"/>
      <c r="G35" s="129"/>
    </row>
  </sheetData>
  <mergeCells count="26">
    <mergeCell ref="B11:F11"/>
    <mergeCell ref="B2:F2"/>
    <mergeCell ref="B3:F3"/>
    <mergeCell ref="B8:F8"/>
    <mergeCell ref="B9:F9"/>
    <mergeCell ref="B10:F10"/>
    <mergeCell ref="B27:E27"/>
    <mergeCell ref="B12:F12"/>
    <mergeCell ref="B13:F13"/>
    <mergeCell ref="B14:F14"/>
    <mergeCell ref="B15:F15"/>
    <mergeCell ref="D16:F16"/>
    <mergeCell ref="D17:F17"/>
    <mergeCell ref="D18:F18"/>
    <mergeCell ref="D19:F19"/>
    <mergeCell ref="D20:F20"/>
    <mergeCell ref="B21:F21"/>
    <mergeCell ref="B26:E26"/>
    <mergeCell ref="B34:F34"/>
    <mergeCell ref="B35:F35"/>
    <mergeCell ref="B28:E28"/>
    <mergeCell ref="B29:F29"/>
    <mergeCell ref="B30:F30"/>
    <mergeCell ref="B31:F31"/>
    <mergeCell ref="B32:F32"/>
    <mergeCell ref="B33:F3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3FA7C-6278-4A9D-804B-737B952671B8}">
  <dimension ref="A1:G35"/>
  <sheetViews>
    <sheetView topLeftCell="D22" workbookViewId="0">
      <selection activeCell="G32" sqref="G32"/>
    </sheetView>
  </sheetViews>
  <sheetFormatPr baseColWidth="10" defaultColWidth="8.7109375" defaultRowHeight="15" x14ac:dyDescent="0.25"/>
  <cols>
    <col min="1" max="1" width="3.5703125" customWidth="1"/>
    <col min="2" max="2" width="32.5703125" customWidth="1"/>
    <col min="3" max="3" width="24.85546875" customWidth="1"/>
    <col min="4" max="4" width="36" customWidth="1"/>
    <col min="5" max="5" width="87.28515625" customWidth="1"/>
    <col min="6" max="6" width="55.5703125" customWidth="1"/>
  </cols>
  <sheetData>
    <row r="1" spans="1:7" ht="61.5" customHeight="1" x14ac:dyDescent="0.35">
      <c r="A1" s="129"/>
      <c r="B1" s="130" t="s">
        <v>0</v>
      </c>
      <c r="C1" s="131" t="s">
        <v>0</v>
      </c>
      <c r="D1" s="131" t="s">
        <v>0</v>
      </c>
      <c r="E1" s="132"/>
      <c r="F1" s="132" t="s">
        <v>1</v>
      </c>
      <c r="G1" s="134"/>
    </row>
    <row r="2" spans="1:7" ht="49.5" customHeight="1" x14ac:dyDescent="0.25">
      <c r="A2" s="129"/>
      <c r="B2" s="332" t="s">
        <v>2</v>
      </c>
      <c r="C2" s="333"/>
      <c r="D2" s="333"/>
      <c r="E2" s="333"/>
      <c r="F2" s="334"/>
      <c r="G2" s="134"/>
    </row>
    <row r="3" spans="1:7" hidden="1" x14ac:dyDescent="0.25">
      <c r="A3" s="129"/>
      <c r="B3" s="289" t="s">
        <v>0</v>
      </c>
      <c r="C3" s="290"/>
      <c r="D3" s="290"/>
      <c r="E3" s="290"/>
      <c r="F3" s="335"/>
      <c r="G3" s="134"/>
    </row>
    <row r="4" spans="1:7" hidden="1" x14ac:dyDescent="0.25">
      <c r="A4" s="129"/>
      <c r="B4" s="135" t="s">
        <v>0</v>
      </c>
      <c r="C4" s="136" t="s">
        <v>0</v>
      </c>
      <c r="D4" s="136" t="s">
        <v>0</v>
      </c>
      <c r="E4" s="136" t="s">
        <v>0</v>
      </c>
      <c r="F4" s="137" t="s">
        <v>0</v>
      </c>
      <c r="G4" s="134"/>
    </row>
    <row r="5" spans="1:7" hidden="1" x14ac:dyDescent="0.25">
      <c r="A5" s="129"/>
      <c r="B5" s="135" t="s">
        <v>0</v>
      </c>
      <c r="C5" s="136" t="s">
        <v>0</v>
      </c>
      <c r="D5" s="136" t="s">
        <v>0</v>
      </c>
      <c r="E5" s="136" t="s">
        <v>0</v>
      </c>
      <c r="F5" s="137" t="s">
        <v>0</v>
      </c>
      <c r="G5" s="134"/>
    </row>
    <row r="6" spans="1:7" hidden="1" x14ac:dyDescent="0.25">
      <c r="A6" s="129"/>
      <c r="B6" s="135" t="s">
        <v>0</v>
      </c>
      <c r="C6" s="136" t="s">
        <v>0</v>
      </c>
      <c r="D6" s="136" t="s">
        <v>0</v>
      </c>
      <c r="E6" s="136" t="s">
        <v>0</v>
      </c>
      <c r="F6" s="137" t="s">
        <v>0</v>
      </c>
      <c r="G6" s="134"/>
    </row>
    <row r="7" spans="1:7" ht="2.25" customHeight="1" x14ac:dyDescent="0.25">
      <c r="A7" s="129"/>
      <c r="B7" s="135" t="s">
        <v>0</v>
      </c>
      <c r="C7" s="136" t="s">
        <v>0</v>
      </c>
      <c r="D7" s="136" t="s">
        <v>0</v>
      </c>
      <c r="E7" s="136" t="s">
        <v>0</v>
      </c>
      <c r="F7" s="137" t="s">
        <v>0</v>
      </c>
      <c r="G7" s="134"/>
    </row>
    <row r="8" spans="1:7" ht="203.25" customHeight="1" x14ac:dyDescent="0.25">
      <c r="A8" s="129"/>
      <c r="B8" s="322" t="s">
        <v>3</v>
      </c>
      <c r="C8" s="323"/>
      <c r="D8" s="323"/>
      <c r="E8" s="323"/>
      <c r="F8" s="324"/>
      <c r="G8" s="134"/>
    </row>
    <row r="9" spans="1:7" ht="15.75" x14ac:dyDescent="0.25">
      <c r="A9" s="129"/>
      <c r="B9" s="302" t="s">
        <v>4</v>
      </c>
      <c r="C9" s="303"/>
      <c r="D9" s="303"/>
      <c r="E9" s="303"/>
      <c r="F9" s="304"/>
      <c r="G9" s="134"/>
    </row>
    <row r="10" spans="1:7" ht="19.5" customHeight="1" x14ac:dyDescent="0.25">
      <c r="A10" s="129"/>
      <c r="B10" s="311" t="s">
        <v>5</v>
      </c>
      <c r="C10" s="312"/>
      <c r="D10" s="312"/>
      <c r="E10" s="312"/>
      <c r="F10" s="313"/>
      <c r="G10" s="134"/>
    </row>
    <row r="11" spans="1:7" ht="16.5" x14ac:dyDescent="0.3">
      <c r="A11" s="129"/>
      <c r="B11" s="296" t="s">
        <v>6</v>
      </c>
      <c r="C11" s="297"/>
      <c r="D11" s="297"/>
      <c r="E11" s="297"/>
      <c r="F11" s="298"/>
      <c r="G11" s="134"/>
    </row>
    <row r="12" spans="1:7" ht="141.75" customHeight="1" x14ac:dyDescent="0.25">
      <c r="A12" s="129"/>
      <c r="B12" s="299" t="s">
        <v>7</v>
      </c>
      <c r="C12" s="300"/>
      <c r="D12" s="300"/>
      <c r="E12" s="300"/>
      <c r="F12" s="301"/>
      <c r="G12" s="134"/>
    </row>
    <row r="13" spans="1:7" ht="15.75" x14ac:dyDescent="0.25">
      <c r="A13" s="129"/>
      <c r="B13" s="302" t="s">
        <v>8</v>
      </c>
      <c r="C13" s="303"/>
      <c r="D13" s="303"/>
      <c r="E13" s="303"/>
      <c r="F13" s="304"/>
      <c r="G13" s="134"/>
    </row>
    <row r="14" spans="1:7" ht="28.5" customHeight="1" x14ac:dyDescent="0.25">
      <c r="A14" s="129"/>
      <c r="B14" s="329" t="s">
        <v>46</v>
      </c>
      <c r="C14" s="330"/>
      <c r="D14" s="330"/>
      <c r="E14" s="330"/>
      <c r="F14" s="331"/>
      <c r="G14" s="134"/>
    </row>
    <row r="15" spans="1:7" x14ac:dyDescent="0.25">
      <c r="A15" s="129"/>
      <c r="B15" s="305" t="s">
        <v>10</v>
      </c>
      <c r="C15" s="293"/>
      <c r="D15" s="293"/>
      <c r="E15" s="293"/>
      <c r="F15" s="294"/>
      <c r="G15" s="134"/>
    </row>
    <row r="16" spans="1:7" ht="15" customHeight="1" x14ac:dyDescent="0.3">
      <c r="A16" s="129"/>
      <c r="B16" s="138" t="s">
        <v>11</v>
      </c>
      <c r="C16" s="139" t="s">
        <v>12</v>
      </c>
      <c r="D16" s="306" t="s">
        <v>13</v>
      </c>
      <c r="E16" s="306"/>
      <c r="F16" s="307"/>
      <c r="G16" s="134"/>
    </row>
    <row r="17" spans="1:7" ht="15" customHeight="1" x14ac:dyDescent="0.3">
      <c r="A17" s="129"/>
      <c r="B17" s="117" t="s">
        <v>14</v>
      </c>
      <c r="C17" s="140" t="s">
        <v>15</v>
      </c>
      <c r="D17" s="308" t="s">
        <v>16</v>
      </c>
      <c r="E17" s="308"/>
      <c r="F17" s="309"/>
      <c r="G17" s="134"/>
    </row>
    <row r="18" spans="1:7" ht="15" customHeight="1" x14ac:dyDescent="0.3">
      <c r="A18" s="129"/>
      <c r="B18" s="117" t="s">
        <v>17</v>
      </c>
      <c r="C18" s="140" t="s">
        <v>15</v>
      </c>
      <c r="D18" s="308" t="s">
        <v>18</v>
      </c>
      <c r="E18" s="308"/>
      <c r="F18" s="309"/>
      <c r="G18" s="134"/>
    </row>
    <row r="19" spans="1:7" ht="15" customHeight="1" x14ac:dyDescent="0.3">
      <c r="A19" s="129"/>
      <c r="B19" s="117" t="s">
        <v>19</v>
      </c>
      <c r="C19" s="140" t="s">
        <v>20</v>
      </c>
      <c r="D19" s="308" t="s">
        <v>21</v>
      </c>
      <c r="E19" s="308"/>
      <c r="F19" s="310"/>
      <c r="G19" s="134"/>
    </row>
    <row r="20" spans="1:7" ht="15" customHeight="1" x14ac:dyDescent="0.3">
      <c r="A20" s="129"/>
      <c r="B20" s="141" t="s">
        <v>0</v>
      </c>
      <c r="C20" s="140" t="s">
        <v>0</v>
      </c>
      <c r="D20" s="308" t="s">
        <v>0</v>
      </c>
      <c r="E20" s="308"/>
      <c r="F20" s="309"/>
      <c r="G20" s="134"/>
    </row>
    <row r="21" spans="1:7" ht="15.75" x14ac:dyDescent="0.25">
      <c r="A21" s="129"/>
      <c r="B21" s="302" t="s">
        <v>22</v>
      </c>
      <c r="C21" s="303"/>
      <c r="D21" s="303"/>
      <c r="E21" s="303"/>
      <c r="F21" s="303"/>
      <c r="G21" s="134"/>
    </row>
    <row r="22" spans="1:7" x14ac:dyDescent="0.25">
      <c r="A22" s="129"/>
      <c r="B22" s="160" t="s">
        <v>23</v>
      </c>
      <c r="C22" s="161" t="s">
        <v>24</v>
      </c>
      <c r="D22" s="162" t="s">
        <v>25</v>
      </c>
      <c r="E22" s="162" t="s">
        <v>26</v>
      </c>
      <c r="F22" s="69" t="s">
        <v>27</v>
      </c>
      <c r="G22" s="134"/>
    </row>
    <row r="23" spans="1:7" ht="16.5" x14ac:dyDescent="0.25">
      <c r="A23" s="142" t="s">
        <v>0</v>
      </c>
      <c r="B23" s="156">
        <v>1</v>
      </c>
      <c r="C23" s="157" t="s">
        <v>28</v>
      </c>
      <c r="D23" s="156">
        <v>2</v>
      </c>
      <c r="E23" s="164">
        <v>786053757</v>
      </c>
      <c r="F23" s="145" t="s">
        <v>54</v>
      </c>
      <c r="G23" s="134"/>
    </row>
    <row r="24" spans="1:7" ht="16.5" x14ac:dyDescent="0.25">
      <c r="A24" s="146"/>
      <c r="B24" s="158">
        <v>2</v>
      </c>
      <c r="C24" s="157" t="s">
        <v>30</v>
      </c>
      <c r="D24" s="159">
        <v>2</v>
      </c>
      <c r="E24" s="164">
        <v>421566652</v>
      </c>
      <c r="F24" s="148" t="s">
        <v>55</v>
      </c>
      <c r="G24" s="134"/>
    </row>
    <row r="25" spans="1:7" ht="16.5" x14ac:dyDescent="0.25">
      <c r="A25" s="129"/>
      <c r="B25" s="158">
        <v>3</v>
      </c>
      <c r="C25" s="157" t="s">
        <v>32</v>
      </c>
      <c r="D25" s="159">
        <v>1</v>
      </c>
      <c r="E25" s="164">
        <v>92851104</v>
      </c>
      <c r="F25" s="148" t="s">
        <v>56</v>
      </c>
      <c r="G25" s="129"/>
    </row>
    <row r="26" spans="1:7" x14ac:dyDescent="0.25">
      <c r="A26" s="129"/>
      <c r="B26" s="342" t="s">
        <v>34</v>
      </c>
      <c r="C26" s="343"/>
      <c r="D26" s="343"/>
      <c r="E26" s="344"/>
      <c r="F26" s="149" t="s">
        <v>57</v>
      </c>
      <c r="G26" s="129"/>
    </row>
    <row r="27" spans="1:7" ht="18" customHeight="1" x14ac:dyDescent="0.25">
      <c r="A27" s="129"/>
      <c r="B27" s="339" t="s">
        <v>36</v>
      </c>
      <c r="C27" s="340"/>
      <c r="D27" s="340"/>
      <c r="E27" s="341"/>
      <c r="F27" s="70" t="s">
        <v>58</v>
      </c>
      <c r="G27" s="129"/>
    </row>
    <row r="28" spans="1:7" ht="16.5" x14ac:dyDescent="0.3">
      <c r="A28" s="129"/>
      <c r="B28" s="336" t="s">
        <v>38</v>
      </c>
      <c r="C28" s="337"/>
      <c r="D28" s="337"/>
      <c r="E28" s="338"/>
      <c r="F28" s="150" t="s">
        <v>59</v>
      </c>
      <c r="G28" s="129"/>
    </row>
    <row r="29" spans="1:7" ht="43.5" customHeight="1" x14ac:dyDescent="0.3">
      <c r="A29" s="129"/>
      <c r="B29" s="287" t="s">
        <v>40</v>
      </c>
      <c r="C29" s="285"/>
      <c r="D29" s="285"/>
      <c r="E29" s="285"/>
      <c r="F29" s="288"/>
      <c r="G29" s="129"/>
    </row>
    <row r="30" spans="1:7" ht="115.5" customHeight="1" x14ac:dyDescent="0.3">
      <c r="A30" s="129"/>
      <c r="B30" s="287" t="s">
        <v>41</v>
      </c>
      <c r="C30" s="285"/>
      <c r="D30" s="285"/>
      <c r="E30" s="285"/>
      <c r="F30" s="288"/>
      <c r="G30" s="129"/>
    </row>
    <row r="31" spans="1:7" ht="22.5" customHeight="1" x14ac:dyDescent="0.3">
      <c r="A31" s="129"/>
      <c r="B31" s="287" t="s">
        <v>42</v>
      </c>
      <c r="C31" s="285"/>
      <c r="D31" s="285"/>
      <c r="E31" s="285"/>
      <c r="F31" s="288"/>
      <c r="G31" s="129"/>
    </row>
    <row r="32" spans="1:7" ht="25.5" customHeight="1" x14ac:dyDescent="0.3">
      <c r="A32" s="129"/>
      <c r="B32" s="287" t="s">
        <v>43</v>
      </c>
      <c r="C32" s="285"/>
      <c r="D32" s="285"/>
      <c r="E32" s="285"/>
      <c r="F32" s="288"/>
      <c r="G32" s="129"/>
    </row>
    <row r="33" spans="1:7" ht="32.25" customHeight="1" x14ac:dyDescent="0.3">
      <c r="A33" s="129"/>
      <c r="B33" s="287" t="s">
        <v>44</v>
      </c>
      <c r="C33" s="285"/>
      <c r="D33" s="285"/>
      <c r="E33" s="285"/>
      <c r="F33" s="288"/>
      <c r="G33" s="129"/>
    </row>
    <row r="34" spans="1:7" ht="16.5" x14ac:dyDescent="0.3">
      <c r="A34" s="129"/>
      <c r="B34" s="287" t="s">
        <v>45</v>
      </c>
      <c r="C34" s="285"/>
      <c r="D34" s="285"/>
      <c r="E34" s="285"/>
      <c r="F34" s="288"/>
      <c r="G34" s="129"/>
    </row>
    <row r="35" spans="1:7" ht="16.5" x14ac:dyDescent="0.3">
      <c r="A35" s="129"/>
      <c r="B35" s="328" t="s">
        <v>53</v>
      </c>
      <c r="C35" s="308"/>
      <c r="D35" s="308"/>
      <c r="E35" s="308"/>
      <c r="F35" s="309"/>
      <c r="G35" s="129"/>
    </row>
  </sheetData>
  <mergeCells count="26">
    <mergeCell ref="B11:F11"/>
    <mergeCell ref="B2:F2"/>
    <mergeCell ref="B3:F3"/>
    <mergeCell ref="B8:F8"/>
    <mergeCell ref="B9:F9"/>
    <mergeCell ref="B10:F10"/>
    <mergeCell ref="B27:E27"/>
    <mergeCell ref="B12:F12"/>
    <mergeCell ref="B13:F13"/>
    <mergeCell ref="B14:F14"/>
    <mergeCell ref="B15:F15"/>
    <mergeCell ref="D16:F16"/>
    <mergeCell ref="D17:F17"/>
    <mergeCell ref="D18:F18"/>
    <mergeCell ref="D19:F19"/>
    <mergeCell ref="D20:F20"/>
    <mergeCell ref="B21:F21"/>
    <mergeCell ref="B26:E26"/>
    <mergeCell ref="B34:F34"/>
    <mergeCell ref="B35:F35"/>
    <mergeCell ref="B28:E28"/>
    <mergeCell ref="B29:F29"/>
    <mergeCell ref="B30:F30"/>
    <mergeCell ref="B31:F31"/>
    <mergeCell ref="B32:F32"/>
    <mergeCell ref="B33:F3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1CDDE-FC45-4D0D-A342-F4AE39719DBF}">
  <dimension ref="A1:G35"/>
  <sheetViews>
    <sheetView topLeftCell="C11" workbookViewId="0">
      <selection activeCell="F28" sqref="F23:F28"/>
    </sheetView>
  </sheetViews>
  <sheetFormatPr baseColWidth="10" defaultColWidth="8.7109375" defaultRowHeight="15" x14ac:dyDescent="0.25"/>
  <cols>
    <col min="1" max="1" width="3.28515625" customWidth="1"/>
    <col min="2" max="2" width="40.85546875" customWidth="1"/>
    <col min="3" max="3" width="47.5703125" customWidth="1"/>
    <col min="4" max="4" width="39.5703125" customWidth="1"/>
    <col min="5" max="5" width="52.85546875" customWidth="1"/>
    <col min="6" max="6" width="65.28515625" customWidth="1"/>
  </cols>
  <sheetData>
    <row r="1" spans="1:7" ht="27" x14ac:dyDescent="0.35">
      <c r="A1" s="129"/>
      <c r="B1" s="130" t="s">
        <v>0</v>
      </c>
      <c r="C1" s="131" t="s">
        <v>0</v>
      </c>
      <c r="D1" s="131" t="s">
        <v>0</v>
      </c>
      <c r="E1" s="132" t="s">
        <v>1</v>
      </c>
      <c r="F1" s="133"/>
      <c r="G1" s="134"/>
    </row>
    <row r="2" spans="1:7" ht="32.25" customHeight="1" x14ac:dyDescent="0.25">
      <c r="A2" s="129"/>
      <c r="B2" s="332" t="s">
        <v>2</v>
      </c>
      <c r="C2" s="333"/>
      <c r="D2" s="333"/>
      <c r="E2" s="333"/>
      <c r="F2" s="334"/>
      <c r="G2" s="134"/>
    </row>
    <row r="3" spans="1:7" hidden="1" x14ac:dyDescent="0.25">
      <c r="A3" s="129"/>
      <c r="B3" s="289" t="s">
        <v>0</v>
      </c>
      <c r="C3" s="290"/>
      <c r="D3" s="290"/>
      <c r="E3" s="290"/>
      <c r="F3" s="335"/>
      <c r="G3" s="134"/>
    </row>
    <row r="4" spans="1:7" hidden="1" x14ac:dyDescent="0.25">
      <c r="A4" s="129"/>
      <c r="B4" s="135" t="s">
        <v>0</v>
      </c>
      <c r="C4" s="136" t="s">
        <v>0</v>
      </c>
      <c r="D4" s="136" t="s">
        <v>0</v>
      </c>
      <c r="E4" s="136" t="s">
        <v>0</v>
      </c>
      <c r="F4" s="137" t="s">
        <v>0</v>
      </c>
      <c r="G4" s="134"/>
    </row>
    <row r="5" spans="1:7" hidden="1" x14ac:dyDescent="0.25">
      <c r="A5" s="129"/>
      <c r="B5" s="135" t="s">
        <v>0</v>
      </c>
      <c r="C5" s="136" t="s">
        <v>0</v>
      </c>
      <c r="D5" s="136" t="s">
        <v>0</v>
      </c>
      <c r="E5" s="136" t="s">
        <v>0</v>
      </c>
      <c r="F5" s="137" t="s">
        <v>0</v>
      </c>
      <c r="G5" s="134"/>
    </row>
    <row r="6" spans="1:7" hidden="1" x14ac:dyDescent="0.25">
      <c r="A6" s="129"/>
      <c r="B6" s="135" t="s">
        <v>0</v>
      </c>
      <c r="C6" s="136" t="s">
        <v>0</v>
      </c>
      <c r="D6" s="136" t="s">
        <v>0</v>
      </c>
      <c r="E6" s="136" t="s">
        <v>0</v>
      </c>
      <c r="F6" s="137" t="s">
        <v>0</v>
      </c>
      <c r="G6" s="134"/>
    </row>
    <row r="7" spans="1:7" hidden="1" x14ac:dyDescent="0.25">
      <c r="A7" s="129"/>
      <c r="B7" s="135" t="s">
        <v>0</v>
      </c>
      <c r="C7" s="136" t="s">
        <v>0</v>
      </c>
      <c r="D7" s="136" t="s">
        <v>0</v>
      </c>
      <c r="E7" s="136" t="s">
        <v>0</v>
      </c>
      <c r="F7" s="137" t="s">
        <v>0</v>
      </c>
      <c r="G7" s="134"/>
    </row>
    <row r="8" spans="1:7" ht="408" customHeight="1" x14ac:dyDescent="0.25">
      <c r="A8" s="129"/>
      <c r="B8" s="322" t="s">
        <v>3</v>
      </c>
      <c r="C8" s="323"/>
      <c r="D8" s="323"/>
      <c r="E8" s="323"/>
      <c r="F8" s="324"/>
      <c r="G8" s="134"/>
    </row>
    <row r="9" spans="1:7" ht="15.75" x14ac:dyDescent="0.25">
      <c r="A9" s="129"/>
      <c r="B9" s="302" t="s">
        <v>4</v>
      </c>
      <c r="C9" s="303"/>
      <c r="D9" s="303"/>
      <c r="E9" s="303"/>
      <c r="F9" s="304"/>
      <c r="G9" s="134"/>
    </row>
    <row r="10" spans="1:7" x14ac:dyDescent="0.25">
      <c r="A10" s="129"/>
      <c r="B10" s="311" t="s">
        <v>5</v>
      </c>
      <c r="C10" s="312"/>
      <c r="D10" s="312"/>
      <c r="E10" s="312"/>
      <c r="F10" s="313"/>
      <c r="G10" s="134"/>
    </row>
    <row r="11" spans="1:7" ht="16.5" x14ac:dyDescent="0.3">
      <c r="A11" s="129"/>
      <c r="B11" s="296" t="s">
        <v>6</v>
      </c>
      <c r="C11" s="297"/>
      <c r="D11" s="297"/>
      <c r="E11" s="297"/>
      <c r="F11" s="298"/>
      <c r="G11" s="134"/>
    </row>
    <row r="12" spans="1:7" x14ac:dyDescent="0.25">
      <c r="A12" s="129"/>
      <c r="B12" s="299" t="s">
        <v>7</v>
      </c>
      <c r="C12" s="300"/>
      <c r="D12" s="300"/>
      <c r="E12" s="300"/>
      <c r="F12" s="301"/>
      <c r="G12" s="134"/>
    </row>
    <row r="13" spans="1:7" ht="15.75" x14ac:dyDescent="0.25">
      <c r="A13" s="129"/>
      <c r="B13" s="302" t="s">
        <v>8</v>
      </c>
      <c r="C13" s="303"/>
      <c r="D13" s="303"/>
      <c r="E13" s="303"/>
      <c r="F13" s="304"/>
      <c r="G13" s="134"/>
    </row>
    <row r="14" spans="1:7" x14ac:dyDescent="0.25">
      <c r="A14" s="129"/>
      <c r="B14" s="329" t="s">
        <v>46</v>
      </c>
      <c r="C14" s="330"/>
      <c r="D14" s="330"/>
      <c r="E14" s="330"/>
      <c r="F14" s="331"/>
      <c r="G14" s="134"/>
    </row>
    <row r="15" spans="1:7" x14ac:dyDescent="0.25">
      <c r="A15" s="129"/>
      <c r="B15" s="305" t="s">
        <v>10</v>
      </c>
      <c r="C15" s="293"/>
      <c r="D15" s="293"/>
      <c r="E15" s="293"/>
      <c r="F15" s="294"/>
      <c r="G15" s="134"/>
    </row>
    <row r="16" spans="1:7" ht="15" customHeight="1" x14ac:dyDescent="0.3">
      <c r="A16" s="129"/>
      <c r="B16" s="138" t="s">
        <v>11</v>
      </c>
      <c r="C16" s="139" t="s">
        <v>12</v>
      </c>
      <c r="D16" s="306" t="s">
        <v>13</v>
      </c>
      <c r="E16" s="306"/>
      <c r="F16" s="307"/>
      <c r="G16" s="134"/>
    </row>
    <row r="17" spans="1:7" ht="15" customHeight="1" x14ac:dyDescent="0.3">
      <c r="A17" s="129"/>
      <c r="B17" s="117" t="s">
        <v>14</v>
      </c>
      <c r="C17" s="140" t="s">
        <v>15</v>
      </c>
      <c r="D17" s="308" t="s">
        <v>16</v>
      </c>
      <c r="E17" s="308"/>
      <c r="F17" s="309"/>
      <c r="G17" s="134"/>
    </row>
    <row r="18" spans="1:7" ht="15" customHeight="1" x14ac:dyDescent="0.3">
      <c r="A18" s="129"/>
      <c r="B18" s="117" t="s">
        <v>17</v>
      </c>
      <c r="C18" s="140" t="s">
        <v>15</v>
      </c>
      <c r="D18" s="308" t="s">
        <v>18</v>
      </c>
      <c r="E18" s="308"/>
      <c r="F18" s="309"/>
      <c r="G18" s="134"/>
    </row>
    <row r="19" spans="1:7" ht="15" customHeight="1" x14ac:dyDescent="0.3">
      <c r="A19" s="129"/>
      <c r="B19" s="117" t="s">
        <v>19</v>
      </c>
      <c r="C19" s="140" t="s">
        <v>20</v>
      </c>
      <c r="D19" s="308" t="s">
        <v>21</v>
      </c>
      <c r="E19" s="308"/>
      <c r="F19" s="310"/>
      <c r="G19" s="134"/>
    </row>
    <row r="20" spans="1:7" ht="15" customHeight="1" x14ac:dyDescent="0.3">
      <c r="A20" s="129"/>
      <c r="B20" s="141" t="s">
        <v>0</v>
      </c>
      <c r="C20" s="140" t="s">
        <v>0</v>
      </c>
      <c r="D20" s="308" t="s">
        <v>0</v>
      </c>
      <c r="E20" s="308"/>
      <c r="F20" s="309"/>
      <c r="G20" s="134"/>
    </row>
    <row r="21" spans="1:7" ht="15.75" x14ac:dyDescent="0.25">
      <c r="A21" s="129"/>
      <c r="B21" s="302" t="s">
        <v>22</v>
      </c>
      <c r="C21" s="303"/>
      <c r="D21" s="303"/>
      <c r="E21" s="303"/>
      <c r="F21" s="303"/>
      <c r="G21" s="134"/>
    </row>
    <row r="22" spans="1:7" x14ac:dyDescent="0.25">
      <c r="A22" s="129"/>
      <c r="B22" s="160" t="s">
        <v>23</v>
      </c>
      <c r="C22" s="161" t="s">
        <v>24</v>
      </c>
      <c r="D22" s="162" t="s">
        <v>25</v>
      </c>
      <c r="E22" s="162" t="s">
        <v>26</v>
      </c>
      <c r="F22" s="163" t="s">
        <v>27</v>
      </c>
      <c r="G22" s="134"/>
    </row>
    <row r="23" spans="1:7" ht="16.5" x14ac:dyDescent="0.25">
      <c r="A23" s="142" t="s">
        <v>0</v>
      </c>
      <c r="B23" s="156">
        <v>1</v>
      </c>
      <c r="C23" s="157" t="s">
        <v>28</v>
      </c>
      <c r="D23" s="156">
        <v>2</v>
      </c>
      <c r="E23" s="164">
        <v>781486067</v>
      </c>
      <c r="F23" s="187" t="s">
        <v>60</v>
      </c>
      <c r="G23" s="134"/>
    </row>
    <row r="24" spans="1:7" ht="16.5" x14ac:dyDescent="0.25">
      <c r="A24" s="146"/>
      <c r="B24" s="158">
        <v>2</v>
      </c>
      <c r="C24" s="157" t="s">
        <v>30</v>
      </c>
      <c r="D24" s="159">
        <v>2</v>
      </c>
      <c r="E24" s="164">
        <v>432896488</v>
      </c>
      <c r="F24" s="186" t="s">
        <v>61</v>
      </c>
      <c r="G24" s="134"/>
    </row>
    <row r="25" spans="1:7" ht="16.5" x14ac:dyDescent="0.25">
      <c r="A25" s="129"/>
      <c r="B25" s="158">
        <v>3</v>
      </c>
      <c r="C25" s="157" t="s">
        <v>32</v>
      </c>
      <c r="D25" s="159">
        <v>1</v>
      </c>
      <c r="E25" s="164">
        <v>92804487</v>
      </c>
      <c r="F25" s="186" t="s">
        <v>62</v>
      </c>
      <c r="G25" s="129"/>
    </row>
    <row r="26" spans="1:7" x14ac:dyDescent="0.25">
      <c r="A26" s="129"/>
      <c r="B26" s="292" t="s">
        <v>34</v>
      </c>
      <c r="C26" s="293"/>
      <c r="D26" s="293"/>
      <c r="E26" s="295"/>
      <c r="F26" s="183" t="s">
        <v>63</v>
      </c>
      <c r="G26" s="129"/>
    </row>
    <row r="27" spans="1:7" x14ac:dyDescent="0.25">
      <c r="A27" s="129"/>
      <c r="B27" s="289" t="s">
        <v>36</v>
      </c>
      <c r="C27" s="290"/>
      <c r="D27" s="290"/>
      <c r="E27" s="291"/>
      <c r="F27" s="184" t="s">
        <v>64</v>
      </c>
      <c r="G27" s="129"/>
    </row>
    <row r="28" spans="1:7" ht="16.5" x14ac:dyDescent="0.3">
      <c r="A28" s="129"/>
      <c r="B28" s="292" t="s">
        <v>38</v>
      </c>
      <c r="C28" s="293"/>
      <c r="D28" s="293"/>
      <c r="E28" s="294"/>
      <c r="F28" s="185" t="s">
        <v>65</v>
      </c>
      <c r="G28" s="129"/>
    </row>
    <row r="29" spans="1:7" ht="42" customHeight="1" x14ac:dyDescent="0.3">
      <c r="A29" s="129"/>
      <c r="B29" s="287" t="s">
        <v>40</v>
      </c>
      <c r="C29" s="285"/>
      <c r="D29" s="285"/>
      <c r="E29" s="285"/>
      <c r="F29" s="288"/>
      <c r="G29" s="129"/>
    </row>
    <row r="30" spans="1:7" ht="90" customHeight="1" x14ac:dyDescent="0.3">
      <c r="A30" s="129"/>
      <c r="B30" s="287" t="s">
        <v>41</v>
      </c>
      <c r="C30" s="285"/>
      <c r="D30" s="285"/>
      <c r="E30" s="285"/>
      <c r="F30" s="288"/>
      <c r="G30" s="129"/>
    </row>
    <row r="31" spans="1:7" ht="16.5" x14ac:dyDescent="0.3">
      <c r="A31" s="129"/>
      <c r="B31" s="287" t="s">
        <v>42</v>
      </c>
      <c r="C31" s="285"/>
      <c r="D31" s="285"/>
      <c r="E31" s="285"/>
      <c r="F31" s="288"/>
      <c r="G31" s="129"/>
    </row>
    <row r="32" spans="1:7" ht="16.5" x14ac:dyDescent="0.3">
      <c r="A32" s="129"/>
      <c r="B32" s="287" t="s">
        <v>43</v>
      </c>
      <c r="C32" s="285"/>
      <c r="D32" s="285"/>
      <c r="E32" s="285"/>
      <c r="F32" s="288"/>
      <c r="G32" s="129"/>
    </row>
    <row r="33" spans="1:7" ht="16.5" x14ac:dyDescent="0.3">
      <c r="A33" s="129"/>
      <c r="B33" s="287" t="s">
        <v>44</v>
      </c>
      <c r="C33" s="285"/>
      <c r="D33" s="285"/>
      <c r="E33" s="285"/>
      <c r="F33" s="288"/>
      <c r="G33" s="129"/>
    </row>
    <row r="34" spans="1:7" ht="16.5" x14ac:dyDescent="0.3">
      <c r="A34" s="129"/>
      <c r="B34" s="287" t="s">
        <v>45</v>
      </c>
      <c r="C34" s="285"/>
      <c r="D34" s="285"/>
      <c r="E34" s="285"/>
      <c r="F34" s="288"/>
      <c r="G34" s="129"/>
    </row>
    <row r="35" spans="1:7" ht="16.5" x14ac:dyDescent="0.3">
      <c r="A35" s="129"/>
      <c r="B35" s="328" t="s">
        <v>53</v>
      </c>
      <c r="C35" s="308"/>
      <c r="D35" s="308"/>
      <c r="E35" s="308"/>
      <c r="F35" s="309"/>
      <c r="G35" s="129"/>
    </row>
  </sheetData>
  <mergeCells count="26">
    <mergeCell ref="B11:F11"/>
    <mergeCell ref="B2:F2"/>
    <mergeCell ref="B3:F3"/>
    <mergeCell ref="B8:F8"/>
    <mergeCell ref="B9:F9"/>
    <mergeCell ref="B10:F10"/>
    <mergeCell ref="B27:E27"/>
    <mergeCell ref="B12:F12"/>
    <mergeCell ref="B13:F13"/>
    <mergeCell ref="B14:F14"/>
    <mergeCell ref="B15:F15"/>
    <mergeCell ref="D16:F16"/>
    <mergeCell ref="D17:F17"/>
    <mergeCell ref="D18:F18"/>
    <mergeCell ref="D19:F19"/>
    <mergeCell ref="D20:F20"/>
    <mergeCell ref="B21:F21"/>
    <mergeCell ref="B26:E26"/>
    <mergeCell ref="B34:F34"/>
    <mergeCell ref="B35:F35"/>
    <mergeCell ref="B28:E28"/>
    <mergeCell ref="B29:F29"/>
    <mergeCell ref="B30:F30"/>
    <mergeCell ref="B31:F31"/>
    <mergeCell ref="B32:F32"/>
    <mergeCell ref="B33:F3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69559-E7B6-43F6-9A13-0A3D32C67DF4}">
  <dimension ref="A1:I29"/>
  <sheetViews>
    <sheetView topLeftCell="C16" workbookViewId="0">
      <selection activeCell="I27" sqref="I27"/>
    </sheetView>
  </sheetViews>
  <sheetFormatPr baseColWidth="10" defaultColWidth="8.7109375" defaultRowHeight="15" x14ac:dyDescent="0.25"/>
  <cols>
    <col min="1" max="1" width="4.7109375" customWidth="1"/>
    <col min="2" max="2" width="21.85546875" customWidth="1"/>
    <col min="3" max="3" width="22" customWidth="1"/>
    <col min="4" max="4" width="20.7109375" customWidth="1"/>
    <col min="5" max="5" width="28.5703125" customWidth="1"/>
    <col min="6" max="6" width="23.42578125" customWidth="1"/>
    <col min="7" max="7" width="32.85546875" customWidth="1"/>
    <col min="8" max="8" width="59.42578125" customWidth="1"/>
  </cols>
  <sheetData>
    <row r="1" spans="1:9" ht="36" customHeight="1" x14ac:dyDescent="0.35">
      <c r="A1" s="129"/>
      <c r="B1" s="314" t="s">
        <v>0</v>
      </c>
      <c r="C1" s="315"/>
      <c r="D1" s="316"/>
      <c r="G1" s="317" t="s">
        <v>1</v>
      </c>
      <c r="H1" s="318"/>
      <c r="I1" s="134"/>
    </row>
    <row r="2" spans="1:9" ht="42" customHeight="1" x14ac:dyDescent="0.25">
      <c r="A2" s="129"/>
      <c r="B2" s="319" t="s">
        <v>2</v>
      </c>
      <c r="C2" s="320"/>
      <c r="D2" s="320"/>
      <c r="E2" s="320"/>
      <c r="F2" s="320"/>
      <c r="G2" s="320"/>
      <c r="H2" s="321"/>
      <c r="I2" s="134"/>
    </row>
    <row r="3" spans="1:9" ht="404.25" customHeight="1" x14ac:dyDescent="0.25">
      <c r="A3" s="129"/>
      <c r="B3" s="322" t="s">
        <v>3</v>
      </c>
      <c r="C3" s="323"/>
      <c r="D3" s="323"/>
      <c r="E3" s="323"/>
      <c r="F3" s="323"/>
      <c r="G3" s="323"/>
      <c r="H3" s="324"/>
      <c r="I3" s="134"/>
    </row>
    <row r="4" spans="1:9" ht="15.75" x14ac:dyDescent="0.25">
      <c r="A4" s="129"/>
      <c r="B4" s="325" t="s">
        <v>4</v>
      </c>
      <c r="C4" s="326"/>
      <c r="D4" s="326"/>
      <c r="E4" s="326"/>
      <c r="F4" s="326"/>
      <c r="G4" s="326"/>
      <c r="H4" s="327"/>
      <c r="I4" s="134"/>
    </row>
    <row r="5" spans="1:9" ht="29.25" customHeight="1" x14ac:dyDescent="0.25">
      <c r="A5" s="129"/>
      <c r="B5" s="311" t="s">
        <v>5</v>
      </c>
      <c r="C5" s="312"/>
      <c r="D5" s="312"/>
      <c r="E5" s="312"/>
      <c r="F5" s="312"/>
      <c r="G5" s="312"/>
      <c r="H5" s="313"/>
      <c r="I5" s="134"/>
    </row>
    <row r="6" spans="1:9" ht="33" customHeight="1" x14ac:dyDescent="0.3">
      <c r="A6" s="129"/>
      <c r="B6" s="296" t="s">
        <v>6</v>
      </c>
      <c r="C6" s="297"/>
      <c r="D6" s="297"/>
      <c r="E6" s="297"/>
      <c r="F6" s="297"/>
      <c r="G6" s="297"/>
      <c r="H6" s="298"/>
      <c r="I6" s="134"/>
    </row>
    <row r="7" spans="1:9" ht="201" customHeight="1" x14ac:dyDescent="0.25">
      <c r="A7" s="129"/>
      <c r="B7" s="299" t="s">
        <v>7</v>
      </c>
      <c r="C7" s="300"/>
      <c r="D7" s="300"/>
      <c r="E7" s="300"/>
      <c r="F7" s="300"/>
      <c r="G7" s="300"/>
      <c r="H7" s="301"/>
      <c r="I7" s="134"/>
    </row>
    <row r="8" spans="1:9" ht="15.75" x14ac:dyDescent="0.25">
      <c r="A8" s="129"/>
      <c r="B8" s="302" t="s">
        <v>8</v>
      </c>
      <c r="C8" s="303"/>
      <c r="D8" s="303"/>
      <c r="E8" s="303"/>
      <c r="F8" s="303"/>
      <c r="G8" s="303"/>
      <c r="H8" s="304"/>
      <c r="I8" s="134"/>
    </row>
    <row r="9" spans="1:9" x14ac:dyDescent="0.25">
      <c r="A9" s="129"/>
      <c r="B9" s="299" t="s">
        <v>9</v>
      </c>
      <c r="C9" s="300"/>
      <c r="D9" s="300"/>
      <c r="E9" s="300"/>
      <c r="F9" s="300"/>
      <c r="G9" s="300"/>
      <c r="H9" s="301"/>
      <c r="I9" s="134"/>
    </row>
    <row r="10" spans="1:9" x14ac:dyDescent="0.25">
      <c r="A10" s="129"/>
      <c r="B10" s="305" t="s">
        <v>10</v>
      </c>
      <c r="C10" s="293"/>
      <c r="D10" s="293"/>
      <c r="E10" s="293"/>
      <c r="F10" s="293"/>
      <c r="G10" s="293"/>
      <c r="H10" s="294"/>
      <c r="I10" s="134"/>
    </row>
    <row r="11" spans="1:9" ht="15" customHeight="1" x14ac:dyDescent="0.3">
      <c r="A11" s="129"/>
      <c r="B11" s="165" t="s">
        <v>11</v>
      </c>
      <c r="C11" s="166"/>
      <c r="D11" s="167"/>
      <c r="E11" s="139" t="s">
        <v>12</v>
      </c>
      <c r="F11" s="306" t="s">
        <v>13</v>
      </c>
      <c r="G11" s="306"/>
      <c r="H11" s="307"/>
      <c r="I11" s="134"/>
    </row>
    <row r="12" spans="1:9" ht="15" customHeight="1" x14ac:dyDescent="0.3">
      <c r="A12" s="129"/>
      <c r="B12" s="169" t="s">
        <v>14</v>
      </c>
      <c r="C12" s="166"/>
      <c r="D12" s="167"/>
      <c r="E12" s="140" t="s">
        <v>15</v>
      </c>
      <c r="F12" s="308" t="s">
        <v>16</v>
      </c>
      <c r="G12" s="308"/>
      <c r="H12" s="309"/>
      <c r="I12" s="134"/>
    </row>
    <row r="13" spans="1:9" ht="15" customHeight="1" x14ac:dyDescent="0.3">
      <c r="A13" s="129"/>
      <c r="B13" s="169" t="s">
        <v>17</v>
      </c>
      <c r="C13" s="166"/>
      <c r="D13" s="167"/>
      <c r="E13" s="140" t="s">
        <v>15</v>
      </c>
      <c r="F13" s="308" t="s">
        <v>18</v>
      </c>
      <c r="G13" s="308"/>
      <c r="H13" s="309"/>
      <c r="I13" s="134"/>
    </row>
    <row r="14" spans="1:9" ht="15" customHeight="1" x14ac:dyDescent="0.3">
      <c r="A14" s="129"/>
      <c r="B14" s="169" t="s">
        <v>19</v>
      </c>
      <c r="C14" s="166"/>
      <c r="D14" s="167"/>
      <c r="E14" s="140" t="s">
        <v>20</v>
      </c>
      <c r="F14" s="308" t="s">
        <v>21</v>
      </c>
      <c r="G14" s="308"/>
      <c r="H14" s="310"/>
      <c r="I14" s="134"/>
    </row>
    <row r="15" spans="1:9" ht="15" customHeight="1" x14ac:dyDescent="0.3">
      <c r="A15" s="129"/>
      <c r="B15" s="169" t="s">
        <v>0</v>
      </c>
      <c r="C15" s="166"/>
      <c r="D15" s="167"/>
      <c r="E15" s="140" t="s">
        <v>0</v>
      </c>
      <c r="F15" s="308" t="s">
        <v>0</v>
      </c>
      <c r="G15" s="308"/>
      <c r="H15" s="309"/>
      <c r="I15" s="134"/>
    </row>
    <row r="16" spans="1:9" ht="15.75" x14ac:dyDescent="0.25">
      <c r="A16" s="129"/>
      <c r="B16" s="302" t="s">
        <v>22</v>
      </c>
      <c r="C16" s="303"/>
      <c r="D16" s="303"/>
      <c r="E16" s="303"/>
      <c r="F16" s="303"/>
      <c r="G16" s="303"/>
      <c r="H16" s="303"/>
      <c r="I16" s="134"/>
    </row>
    <row r="17" spans="1:9" x14ac:dyDescent="0.25">
      <c r="A17" s="129"/>
      <c r="B17" s="174" t="s">
        <v>23</v>
      </c>
      <c r="C17" s="175"/>
      <c r="D17" s="176"/>
      <c r="E17" s="161" t="s">
        <v>24</v>
      </c>
      <c r="F17" s="162" t="s">
        <v>25</v>
      </c>
      <c r="G17" s="162" t="s">
        <v>26</v>
      </c>
      <c r="H17" s="163" t="s">
        <v>27</v>
      </c>
      <c r="I17" s="134"/>
    </row>
    <row r="18" spans="1:9" ht="16.5" x14ac:dyDescent="0.25">
      <c r="A18" s="142" t="s">
        <v>0</v>
      </c>
      <c r="B18" s="181">
        <v>1</v>
      </c>
      <c r="C18" s="177"/>
      <c r="D18" s="178"/>
      <c r="E18" s="157" t="s">
        <v>28</v>
      </c>
      <c r="F18" s="156">
        <v>2</v>
      </c>
      <c r="G18" s="164">
        <v>792447589</v>
      </c>
      <c r="H18" s="187" t="s">
        <v>66</v>
      </c>
      <c r="I18" s="134"/>
    </row>
    <row r="19" spans="1:9" ht="16.5" x14ac:dyDescent="0.25">
      <c r="A19" s="146"/>
      <c r="B19" s="182">
        <v>2</v>
      </c>
      <c r="C19" s="179"/>
      <c r="D19" s="180"/>
      <c r="E19" s="157" t="s">
        <v>30</v>
      </c>
      <c r="F19" s="159">
        <v>2</v>
      </c>
      <c r="G19" s="164">
        <v>437184161</v>
      </c>
      <c r="H19" s="186" t="s">
        <v>67</v>
      </c>
      <c r="I19" s="134"/>
    </row>
    <row r="20" spans="1:9" ht="16.5" x14ac:dyDescent="0.25">
      <c r="A20" s="129"/>
      <c r="B20" s="182">
        <v>3</v>
      </c>
      <c r="C20" s="179"/>
      <c r="D20" s="180"/>
      <c r="E20" s="157" t="s">
        <v>32</v>
      </c>
      <c r="F20" s="159">
        <v>1</v>
      </c>
      <c r="G20" s="164">
        <v>92016254</v>
      </c>
      <c r="H20" s="186" t="s">
        <v>68</v>
      </c>
      <c r="I20" s="129"/>
    </row>
    <row r="21" spans="1:9" x14ac:dyDescent="0.25">
      <c r="A21" s="129"/>
      <c r="B21" s="292" t="s">
        <v>34</v>
      </c>
      <c r="C21" s="293"/>
      <c r="D21" s="293"/>
      <c r="E21" s="293"/>
      <c r="F21" s="293"/>
      <c r="G21" s="295"/>
      <c r="H21" s="183" t="s">
        <v>69</v>
      </c>
      <c r="I21" s="129"/>
    </row>
    <row r="22" spans="1:9" x14ac:dyDescent="0.25">
      <c r="A22" s="129"/>
      <c r="B22" s="289" t="s">
        <v>36</v>
      </c>
      <c r="C22" s="290"/>
      <c r="D22" s="290"/>
      <c r="E22" s="290"/>
      <c r="F22" s="290"/>
      <c r="G22" s="291"/>
      <c r="H22" s="184" t="s">
        <v>70</v>
      </c>
      <c r="I22" s="129"/>
    </row>
    <row r="23" spans="1:9" ht="16.5" x14ac:dyDescent="0.3">
      <c r="A23" s="129"/>
      <c r="B23" s="292" t="s">
        <v>38</v>
      </c>
      <c r="C23" s="293"/>
      <c r="D23" s="293"/>
      <c r="E23" s="293"/>
      <c r="F23" s="293"/>
      <c r="G23" s="294"/>
      <c r="H23" s="185" t="s">
        <v>71</v>
      </c>
      <c r="I23" s="129"/>
    </row>
    <row r="24" spans="1:9" ht="46.5" customHeight="1" x14ac:dyDescent="0.3">
      <c r="A24" s="129"/>
      <c r="B24" s="284" t="s">
        <v>40</v>
      </c>
      <c r="C24" s="285"/>
      <c r="D24" s="285"/>
      <c r="E24" s="285"/>
      <c r="F24" s="285"/>
      <c r="G24" s="285"/>
      <c r="H24" s="286"/>
      <c r="I24" s="129"/>
    </row>
    <row r="25" spans="1:9" ht="105" customHeight="1" x14ac:dyDescent="0.3">
      <c r="A25" s="129"/>
      <c r="B25" s="284" t="s">
        <v>41</v>
      </c>
      <c r="C25" s="285"/>
      <c r="D25" s="285"/>
      <c r="E25" s="285"/>
      <c r="F25" s="285"/>
      <c r="G25" s="285"/>
      <c r="H25" s="286"/>
      <c r="I25" s="129"/>
    </row>
    <row r="26" spans="1:9" ht="16.5" x14ac:dyDescent="0.3">
      <c r="A26" s="129"/>
      <c r="B26" s="284" t="s">
        <v>42</v>
      </c>
      <c r="C26" s="285"/>
      <c r="D26" s="285"/>
      <c r="E26" s="285"/>
      <c r="F26" s="285"/>
      <c r="G26" s="285"/>
      <c r="H26" s="286"/>
      <c r="I26" s="129"/>
    </row>
    <row r="27" spans="1:9" ht="16.5" x14ac:dyDescent="0.3">
      <c r="A27" s="129"/>
      <c r="B27" s="284" t="s">
        <v>43</v>
      </c>
      <c r="C27" s="285"/>
      <c r="D27" s="285"/>
      <c r="E27" s="285"/>
      <c r="F27" s="285"/>
      <c r="G27" s="285"/>
      <c r="H27" s="286"/>
      <c r="I27" s="129"/>
    </row>
    <row r="28" spans="1:9" ht="16.5" x14ac:dyDescent="0.3">
      <c r="A28" s="129"/>
      <c r="B28" s="284" t="s">
        <v>44</v>
      </c>
      <c r="C28" s="285"/>
      <c r="D28" s="285"/>
      <c r="E28" s="285"/>
      <c r="F28" s="285"/>
      <c r="G28" s="285"/>
      <c r="H28" s="286"/>
      <c r="I28" s="129"/>
    </row>
    <row r="29" spans="1:9" ht="16.5" x14ac:dyDescent="0.3">
      <c r="A29" s="129"/>
      <c r="B29" s="287" t="s">
        <v>45</v>
      </c>
      <c r="C29" s="285"/>
      <c r="D29" s="285"/>
      <c r="E29" s="285"/>
      <c r="F29" s="285"/>
      <c r="G29" s="285"/>
      <c r="H29" s="288"/>
      <c r="I29" s="129"/>
    </row>
  </sheetData>
  <mergeCells count="26">
    <mergeCell ref="B5:H5"/>
    <mergeCell ref="B1:D1"/>
    <mergeCell ref="G1:H1"/>
    <mergeCell ref="B2:H2"/>
    <mergeCell ref="B3:H3"/>
    <mergeCell ref="B4:H4"/>
    <mergeCell ref="B21:G21"/>
    <mergeCell ref="B6:H6"/>
    <mergeCell ref="B7:H7"/>
    <mergeCell ref="B8:H8"/>
    <mergeCell ref="B9:H9"/>
    <mergeCell ref="B10:H10"/>
    <mergeCell ref="F11:H11"/>
    <mergeCell ref="F12:H12"/>
    <mergeCell ref="F13:H13"/>
    <mergeCell ref="F14:H14"/>
    <mergeCell ref="F15:H15"/>
    <mergeCell ref="B16:H16"/>
    <mergeCell ref="B28:H28"/>
    <mergeCell ref="B29:H29"/>
    <mergeCell ref="B22:G22"/>
    <mergeCell ref="B23:G23"/>
    <mergeCell ref="B24:H24"/>
    <mergeCell ref="B25:H25"/>
    <mergeCell ref="B26:H26"/>
    <mergeCell ref="B27:H2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BDC4F-3C1D-48F7-AE9F-5A00A08AA1AC}">
  <sheetPr>
    <tabColor theme="7" tint="0.79998168889431442"/>
  </sheetPr>
  <dimension ref="B1:S144"/>
  <sheetViews>
    <sheetView showGridLines="0" tabSelected="1" topLeftCell="A110" zoomScale="85" zoomScaleNormal="85" workbookViewId="0">
      <selection activeCell="F121" sqref="F121"/>
    </sheetView>
  </sheetViews>
  <sheetFormatPr baseColWidth="10" defaultColWidth="11.42578125" defaultRowHeight="15" x14ac:dyDescent="0.25"/>
  <cols>
    <col min="1" max="1" width="4.5703125" customWidth="1"/>
    <col min="2" max="2" width="18.85546875" customWidth="1"/>
    <col min="3" max="3" width="32.5703125" customWidth="1"/>
    <col min="4" max="4" width="30.140625" customWidth="1"/>
    <col min="5" max="5" width="21.85546875" bestFit="1" customWidth="1"/>
    <col min="6" max="6" width="20" customWidth="1"/>
    <col min="7" max="7" width="18.42578125" customWidth="1"/>
    <col min="8" max="8" width="18.5703125" customWidth="1"/>
    <col min="9" max="9" width="18" bestFit="1" customWidth="1"/>
    <col min="10" max="10" width="16.7109375" customWidth="1"/>
    <col min="11" max="11" width="18" bestFit="1" customWidth="1"/>
    <col min="12" max="12" width="11.5703125" customWidth="1"/>
    <col min="13" max="13" width="18" bestFit="1" customWidth="1"/>
    <col min="14" max="14" width="20.140625" bestFit="1" customWidth="1"/>
    <col min="15" max="15" width="18" bestFit="1" customWidth="1"/>
    <col min="16" max="16" width="15.140625" bestFit="1" customWidth="1"/>
    <col min="17" max="17" width="18.85546875" bestFit="1" customWidth="1"/>
    <col min="18" max="19" width="15.140625" bestFit="1" customWidth="1"/>
    <col min="20" max="20" width="18.42578125" customWidth="1"/>
  </cols>
  <sheetData>
    <row r="1" spans="2:19" x14ac:dyDescent="0.25">
      <c r="B1" s="5" t="s">
        <v>72</v>
      </c>
    </row>
    <row r="2" spans="2:19" ht="15" customHeight="1" x14ac:dyDescent="0.3">
      <c r="B2" s="5" t="s">
        <v>73</v>
      </c>
      <c r="C2" s="22"/>
      <c r="D2" s="22"/>
      <c r="E2" s="23"/>
      <c r="F2" s="267" t="s">
        <v>74</v>
      </c>
      <c r="G2" s="267"/>
      <c r="H2" s="249" t="s">
        <v>75</v>
      </c>
      <c r="I2" s="250"/>
      <c r="J2" s="249" t="s">
        <v>76</v>
      </c>
      <c r="K2" s="250"/>
      <c r="L2" s="249" t="s">
        <v>77</v>
      </c>
      <c r="M2" s="250"/>
      <c r="N2" s="249" t="s">
        <v>78</v>
      </c>
      <c r="O2" s="250"/>
    </row>
    <row r="3" spans="2:19" ht="15" customHeight="1" x14ac:dyDescent="0.25">
      <c r="B3" s="5" t="s">
        <v>79</v>
      </c>
      <c r="C3" s="257" t="s">
        <v>80</v>
      </c>
      <c r="D3" s="257" t="s">
        <v>81</v>
      </c>
      <c r="E3" s="264" t="s">
        <v>82</v>
      </c>
      <c r="F3" s="267" t="s">
        <v>83</v>
      </c>
      <c r="G3" s="267"/>
      <c r="H3" s="249" t="s">
        <v>84</v>
      </c>
      <c r="I3" s="250"/>
      <c r="J3" s="249" t="s">
        <v>85</v>
      </c>
      <c r="K3" s="250"/>
      <c r="L3" s="249" t="s">
        <v>86</v>
      </c>
      <c r="M3" s="250"/>
      <c r="N3" s="249" t="s">
        <v>87</v>
      </c>
      <c r="O3" s="250"/>
      <c r="P3" s="274"/>
      <c r="Q3" s="274"/>
      <c r="R3" s="274"/>
      <c r="S3" s="274"/>
    </row>
    <row r="4" spans="2:19" x14ac:dyDescent="0.25">
      <c r="C4" s="258"/>
      <c r="D4" s="258"/>
      <c r="E4" s="258"/>
      <c r="F4" s="24" t="s">
        <v>88</v>
      </c>
      <c r="G4" s="126" t="s">
        <v>27</v>
      </c>
      <c r="H4" s="24" t="s">
        <v>88</v>
      </c>
      <c r="I4" s="21" t="s">
        <v>27</v>
      </c>
      <c r="J4" s="24" t="s">
        <v>88</v>
      </c>
      <c r="K4" s="24" t="s">
        <v>27</v>
      </c>
      <c r="L4" s="24" t="s">
        <v>88</v>
      </c>
      <c r="M4" s="24" t="s">
        <v>27</v>
      </c>
      <c r="N4" s="24" t="s">
        <v>88</v>
      </c>
      <c r="O4" s="24" t="s">
        <v>27</v>
      </c>
      <c r="P4" s="50"/>
      <c r="Q4" s="50"/>
      <c r="R4" s="50"/>
      <c r="S4" s="50"/>
    </row>
    <row r="5" spans="2:19" ht="54" customHeight="1" x14ac:dyDescent="0.25">
      <c r="C5" s="81">
        <v>1</v>
      </c>
      <c r="D5" s="118" t="s">
        <v>28</v>
      </c>
      <c r="E5" s="119">
        <v>2</v>
      </c>
      <c r="F5" s="122">
        <f>WEXLER!G18</f>
        <v>225365334</v>
      </c>
      <c r="G5" s="111">
        <f>E5*F5</f>
        <v>450730668</v>
      </c>
      <c r="H5" s="124">
        <f>'SPECTRA INGENIERÍA SAS'!E23</f>
        <v>774118378</v>
      </c>
      <c r="I5" s="112">
        <f>E5*H5</f>
        <v>1548236756</v>
      </c>
      <c r="J5" s="84">
        <f>'VALTADRIA GROUP'!E23</f>
        <v>786053757</v>
      </c>
      <c r="K5" s="112">
        <f>E5*J5</f>
        <v>1572107514</v>
      </c>
      <c r="L5" s="84">
        <f>CONVIEST!E23</f>
        <v>781486067</v>
      </c>
      <c r="M5" s="112">
        <f>L5*E5</f>
        <v>1562972134</v>
      </c>
      <c r="N5" s="84">
        <f>LSN!G18</f>
        <v>792447589</v>
      </c>
      <c r="O5" s="112">
        <f>N5*E5</f>
        <v>1584895178</v>
      </c>
      <c r="P5" s="49"/>
      <c r="Q5" s="51"/>
      <c r="R5" s="51"/>
      <c r="S5" s="51"/>
    </row>
    <row r="6" spans="2:19" ht="54" customHeight="1" x14ac:dyDescent="0.25">
      <c r="C6" s="109">
        <v>2</v>
      </c>
      <c r="D6" s="120" t="s">
        <v>30</v>
      </c>
      <c r="E6" s="121">
        <v>2</v>
      </c>
      <c r="F6" s="123">
        <f>WEXLER!G19</f>
        <v>217360001</v>
      </c>
      <c r="G6" s="111">
        <f>E6*F6</f>
        <v>434720002</v>
      </c>
      <c r="H6" s="125">
        <f>'SPECTRA INGENIERÍA SAS'!E24</f>
        <v>431226324</v>
      </c>
      <c r="I6" s="112">
        <f>E6*H6</f>
        <v>862452648</v>
      </c>
      <c r="J6" s="128">
        <f>'VALTADRIA GROUP'!E24</f>
        <v>421566652</v>
      </c>
      <c r="K6" s="112">
        <f t="shared" ref="K6:K7" si="0">E6*J6</f>
        <v>843133304</v>
      </c>
      <c r="L6" s="110">
        <f>CONVIEST!E24</f>
        <v>432896488</v>
      </c>
      <c r="M6" s="112">
        <f t="shared" ref="M6:M7" si="1">L6*E6</f>
        <v>865792976</v>
      </c>
      <c r="N6" s="128">
        <f>LSN!G19</f>
        <v>437184161</v>
      </c>
      <c r="O6" s="112">
        <f>N6*E6</f>
        <v>874368322</v>
      </c>
      <c r="P6" s="49"/>
      <c r="Q6" s="51"/>
      <c r="R6" s="51"/>
      <c r="S6" s="51"/>
    </row>
    <row r="7" spans="2:19" ht="54" customHeight="1" x14ac:dyDescent="0.25">
      <c r="C7" s="109">
        <v>3</v>
      </c>
      <c r="D7" s="120" t="s">
        <v>32</v>
      </c>
      <c r="E7" s="121">
        <v>1</v>
      </c>
      <c r="F7" s="123">
        <f>WEXLER!G20</f>
        <v>128497001</v>
      </c>
      <c r="G7" s="111">
        <f>E7*F7</f>
        <v>128497001</v>
      </c>
      <c r="H7" s="127">
        <f>'SPECTRA INGENIERÍA SAS'!E25</f>
        <v>92357871</v>
      </c>
      <c r="I7" s="111">
        <f>E7*H7</f>
        <v>92357871</v>
      </c>
      <c r="J7" s="110">
        <f>'VALTADRIA GROUP'!E25</f>
        <v>92851104</v>
      </c>
      <c r="K7" s="111">
        <f t="shared" si="0"/>
        <v>92851104</v>
      </c>
      <c r="L7" s="127">
        <f>CONVIEST!E25</f>
        <v>92804487</v>
      </c>
      <c r="M7" s="111">
        <f t="shared" si="1"/>
        <v>92804487</v>
      </c>
      <c r="N7" s="110">
        <f>LSN!G20</f>
        <v>92016254</v>
      </c>
      <c r="O7" s="111">
        <f>N7*E7</f>
        <v>92016254</v>
      </c>
      <c r="P7" s="49"/>
      <c r="Q7" s="51"/>
      <c r="R7" s="51"/>
      <c r="S7" s="51"/>
    </row>
    <row r="8" spans="2:19" x14ac:dyDescent="0.25">
      <c r="C8" s="260" t="s">
        <v>34</v>
      </c>
      <c r="D8" s="261"/>
      <c r="E8" s="261"/>
      <c r="F8" s="113"/>
      <c r="G8" s="114">
        <f>SUM(G5:G7)</f>
        <v>1013947671</v>
      </c>
      <c r="H8" s="88"/>
      <c r="I8" s="115">
        <f>SUM(I5:I7)</f>
        <v>2503047275</v>
      </c>
      <c r="J8" s="88"/>
      <c r="K8" s="116">
        <f>SUM(K5:K7)</f>
        <v>2508091922</v>
      </c>
      <c r="L8" s="88"/>
      <c r="M8" s="116">
        <f>SUM(M5:M7)</f>
        <v>2521569597</v>
      </c>
      <c r="N8" s="88"/>
      <c r="O8" s="116">
        <f>SUM(O5:O7)</f>
        <v>2551279754</v>
      </c>
      <c r="P8" s="50"/>
      <c r="Q8" s="50"/>
      <c r="R8" s="50"/>
      <c r="S8" s="50"/>
    </row>
    <row r="9" spans="2:19" x14ac:dyDescent="0.25">
      <c r="C9" s="262" t="s">
        <v>36</v>
      </c>
      <c r="D9" s="263"/>
      <c r="E9" s="263"/>
      <c r="F9" s="86"/>
      <c r="G9" s="87">
        <f>ROUND(G8*0.19,0)</f>
        <v>192650057</v>
      </c>
      <c r="H9" s="88"/>
      <c r="I9" s="89">
        <f>I8*0.19</f>
        <v>475578982.25</v>
      </c>
      <c r="J9" s="88"/>
      <c r="K9" s="90">
        <f>K8*0.19</f>
        <v>476537465.18000001</v>
      </c>
      <c r="L9" s="88"/>
      <c r="M9" s="90">
        <f>M8*0.19</f>
        <v>479098223.43000001</v>
      </c>
      <c r="N9" s="88"/>
      <c r="O9" s="90">
        <f>O8*0.19</f>
        <v>484743153.25999999</v>
      </c>
      <c r="P9" s="49"/>
      <c r="Q9" s="51"/>
      <c r="R9" s="51"/>
      <c r="S9" s="51"/>
    </row>
    <row r="10" spans="2:19" x14ac:dyDescent="0.25">
      <c r="C10" s="249" t="s">
        <v>38</v>
      </c>
      <c r="D10" s="259"/>
      <c r="E10" s="259"/>
      <c r="F10" s="85"/>
      <c r="G10" s="91">
        <f>ROUND(G8+G9,0)</f>
        <v>1206597728</v>
      </c>
      <c r="H10" s="92"/>
      <c r="I10" s="93">
        <f>ROUND(I8+I9,0)</f>
        <v>2978626257</v>
      </c>
      <c r="J10" s="92"/>
      <c r="K10" s="94">
        <f>ROUND(K8+K9,0)</f>
        <v>2984629387</v>
      </c>
      <c r="L10" s="92"/>
      <c r="M10" s="94">
        <f>ROUND(M8+M9,0)</f>
        <v>3000667820</v>
      </c>
      <c r="N10" s="92"/>
      <c r="O10" s="94">
        <f>ROUND(O8+O9,0)</f>
        <v>3036022907</v>
      </c>
    </row>
    <row r="11" spans="2:19" x14ac:dyDescent="0.25">
      <c r="G11" s="4"/>
      <c r="H11" s="4"/>
    </row>
    <row r="12" spans="2:19" ht="16.5" x14ac:dyDescent="0.3">
      <c r="B12" s="18" t="s">
        <v>89</v>
      </c>
      <c r="C12" s="2" t="s">
        <v>90</v>
      </c>
      <c r="D12" s="17" t="s">
        <v>91</v>
      </c>
      <c r="E12" s="17" t="s">
        <v>92</v>
      </c>
      <c r="F12" s="107" t="s">
        <v>93</v>
      </c>
      <c r="G12" s="22"/>
      <c r="H12" s="22"/>
      <c r="I12" s="22"/>
    </row>
    <row r="13" spans="2:19" ht="14.45" customHeight="1" x14ac:dyDescent="0.3">
      <c r="B13" s="26" t="str">
        <f>F2</f>
        <v>WEXLER</v>
      </c>
      <c r="C13" s="26" t="str">
        <f>F3</f>
        <v>COTIZANTE 1</v>
      </c>
      <c r="D13" s="95">
        <f>F5</f>
        <v>225365334</v>
      </c>
      <c r="E13" s="95">
        <f>F6</f>
        <v>217360001</v>
      </c>
      <c r="F13" s="99">
        <f>F7</f>
        <v>128497001</v>
      </c>
      <c r="G13" s="27"/>
      <c r="H13" s="27"/>
      <c r="I13" s="22"/>
    </row>
    <row r="14" spans="2:19" ht="16.5" x14ac:dyDescent="0.3">
      <c r="B14" s="26" t="str">
        <f>H2</f>
        <v>SPECTRA INGENIERIA SAS</v>
      </c>
      <c r="C14" s="26" t="str">
        <f>H3</f>
        <v>COTIZANTE 2</v>
      </c>
      <c r="D14" s="95">
        <f>H5</f>
        <v>774118378</v>
      </c>
      <c r="E14" s="95">
        <f>H6</f>
        <v>431226324</v>
      </c>
      <c r="F14" s="99">
        <f>H7</f>
        <v>92357871</v>
      </c>
      <c r="H14" s="27"/>
      <c r="I14" s="22"/>
    </row>
    <row r="15" spans="2:19" ht="16.5" x14ac:dyDescent="0.3">
      <c r="B15" s="26" t="str">
        <f>J2</f>
        <v>VALTADRIA GROUP</v>
      </c>
      <c r="C15" s="26" t="str">
        <f>J3</f>
        <v>COTIZANTE 3</v>
      </c>
      <c r="D15" s="95">
        <f>J5</f>
        <v>786053757</v>
      </c>
      <c r="E15" s="95">
        <f>J6</f>
        <v>421566652</v>
      </c>
      <c r="F15" s="99">
        <f>J7</f>
        <v>92851104</v>
      </c>
      <c r="H15" s="28"/>
      <c r="I15" s="27"/>
    </row>
    <row r="16" spans="2:19" ht="16.5" x14ac:dyDescent="0.3">
      <c r="B16" s="100" t="str">
        <f>L2</f>
        <v>CONVIEST</v>
      </c>
      <c r="C16" s="100" t="str">
        <f>L3</f>
        <v>COTIZANTE 4</v>
      </c>
      <c r="D16" s="101">
        <f>L5</f>
        <v>781486067</v>
      </c>
      <c r="E16" s="101">
        <f>L6</f>
        <v>432896488</v>
      </c>
      <c r="F16" s="99">
        <f>L7</f>
        <v>92804487</v>
      </c>
      <c r="G16" s="28"/>
      <c r="H16" s="28"/>
      <c r="I16" s="27"/>
    </row>
    <row r="17" spans="2:14" ht="16.5" x14ac:dyDescent="0.3">
      <c r="B17" s="98" t="str">
        <f>N2</f>
        <v>LSN</v>
      </c>
      <c r="C17" s="102" t="str">
        <f>N3</f>
        <v>COTIZANTE 5</v>
      </c>
      <c r="D17" s="99">
        <f>N5</f>
        <v>792447589</v>
      </c>
      <c r="E17" s="108">
        <f>N6</f>
        <v>437184161</v>
      </c>
      <c r="F17" s="99">
        <f>N7</f>
        <v>92016254</v>
      </c>
      <c r="G17" s="28"/>
      <c r="H17" s="28"/>
      <c r="I17" s="27"/>
    </row>
    <row r="18" spans="2:14" ht="21.95" customHeight="1" x14ac:dyDescent="0.3">
      <c r="B18" s="22"/>
      <c r="C18" s="22"/>
      <c r="D18" s="22"/>
      <c r="E18" s="22"/>
      <c r="F18" s="22"/>
      <c r="G18" s="22"/>
      <c r="H18" s="22"/>
      <c r="I18" s="22"/>
    </row>
    <row r="19" spans="2:14" ht="16.5" x14ac:dyDescent="0.3">
      <c r="B19" s="22"/>
      <c r="C19" s="20" t="s">
        <v>94</v>
      </c>
      <c r="D19" s="64">
        <f>ROUND(AVERAGE(D13:D17),2)</f>
        <v>671894225</v>
      </c>
      <c r="E19" s="188">
        <f>ROUND(AVERAGE(E13:E17),2)</f>
        <v>388046725.19999999</v>
      </c>
      <c r="F19" s="188">
        <f>ROUND(AVERAGE(F13:F17),2)</f>
        <v>99705343.400000006</v>
      </c>
      <c r="G19" s="34"/>
      <c r="H19" s="32"/>
      <c r="I19" s="22"/>
    </row>
    <row r="20" spans="2:14" ht="16.5" x14ac:dyDescent="0.3">
      <c r="B20" s="22"/>
      <c r="C20" s="20" t="s">
        <v>95</v>
      </c>
      <c r="D20" s="29">
        <f>ROUND(D19*$E$5,0)</f>
        <v>1343788450</v>
      </c>
      <c r="E20" s="29">
        <f>ROUND(E19*$E$6,0)</f>
        <v>776093450</v>
      </c>
      <c r="F20" s="29">
        <f>ROUND(F19*$E$7,0)</f>
        <v>99705343</v>
      </c>
      <c r="G20" s="22"/>
      <c r="H20" s="22"/>
      <c r="I20" s="22"/>
    </row>
    <row r="21" spans="2:14" ht="16.5" x14ac:dyDescent="0.3">
      <c r="B21" s="22"/>
      <c r="C21" s="20" t="s">
        <v>96</v>
      </c>
      <c r="D21" s="29">
        <f>SUM(D20:F20)</f>
        <v>2219587243</v>
      </c>
      <c r="E21" s="30"/>
      <c r="F21" s="30"/>
      <c r="G21" s="22"/>
      <c r="H21" s="22"/>
      <c r="I21" s="22"/>
    </row>
    <row r="22" spans="2:14" ht="16.5" x14ac:dyDescent="0.3">
      <c r="B22" s="22"/>
      <c r="C22" s="20" t="s">
        <v>97</v>
      </c>
      <c r="D22" s="29">
        <f>ROUND(D21*0.19,0)</f>
        <v>421721576</v>
      </c>
      <c r="E22" s="31"/>
      <c r="F22" s="31"/>
      <c r="G22" s="22"/>
      <c r="H22" s="22"/>
      <c r="I22" s="22"/>
    </row>
    <row r="23" spans="2:14" ht="24" customHeight="1" x14ac:dyDescent="0.3">
      <c r="B23" s="22"/>
      <c r="C23" s="96" t="s">
        <v>98</v>
      </c>
      <c r="D23" s="82">
        <f>ROUND(D22+D21,0)</f>
        <v>2641308819</v>
      </c>
      <c r="E23" s="32"/>
      <c r="F23" s="22"/>
      <c r="G23" s="22"/>
      <c r="H23" s="22"/>
      <c r="I23" s="22"/>
      <c r="L23" s="15"/>
      <c r="M23" s="16"/>
      <c r="N23" s="16"/>
    </row>
    <row r="24" spans="2:14" ht="24" customHeight="1" x14ac:dyDescent="0.3">
      <c r="B24" s="22"/>
      <c r="C24" s="97" t="s">
        <v>99</v>
      </c>
      <c r="D24" s="83">
        <f>D23/1750905</f>
        <v>1508.5391948735082</v>
      </c>
      <c r="E24" s="32"/>
      <c r="F24" s="22"/>
      <c r="G24" s="22"/>
      <c r="H24" s="22"/>
      <c r="I24" s="22"/>
      <c r="L24" s="15"/>
      <c r="M24" s="16"/>
      <c r="N24" s="16"/>
    </row>
    <row r="25" spans="2:14" ht="16.5" x14ac:dyDescent="0.3">
      <c r="B25" s="22"/>
      <c r="C25" s="22"/>
      <c r="D25" s="22"/>
      <c r="E25" s="22"/>
      <c r="F25" s="22"/>
      <c r="G25" s="22"/>
      <c r="H25" s="22"/>
      <c r="I25" s="22"/>
      <c r="L25" s="15"/>
      <c r="M25" s="16"/>
    </row>
    <row r="26" spans="2:14" ht="33" customHeight="1" x14ac:dyDescent="0.3">
      <c r="B26" s="18" t="s">
        <v>89</v>
      </c>
      <c r="C26" s="2" t="str">
        <f>C12</f>
        <v>COTIZANTE</v>
      </c>
      <c r="D26" s="2" t="s">
        <v>100</v>
      </c>
      <c r="E26" s="2" t="s">
        <v>97</v>
      </c>
      <c r="F26" s="17" t="s">
        <v>101</v>
      </c>
      <c r="G26" s="39"/>
      <c r="H26" s="6"/>
      <c r="I26" s="22"/>
    </row>
    <row r="27" spans="2:14" ht="16.5" x14ac:dyDescent="0.3">
      <c r="B27" s="19" t="str">
        <f>B13</f>
        <v>WEXLER</v>
      </c>
      <c r="C27" s="19" t="str">
        <f>C13</f>
        <v>COTIZANTE 1</v>
      </c>
      <c r="D27" s="33">
        <f>G8</f>
        <v>1013947671</v>
      </c>
      <c r="E27" s="71">
        <f>D27*0.19</f>
        <v>192650057.49000001</v>
      </c>
      <c r="F27" s="72">
        <f>ROUND(D27+E27,0)</f>
        <v>1206597728</v>
      </c>
      <c r="G27" s="40"/>
      <c r="H27" s="34"/>
      <c r="I27" s="22"/>
    </row>
    <row r="28" spans="2:14" ht="16.5" x14ac:dyDescent="0.3">
      <c r="B28" s="19" t="str">
        <f>B14</f>
        <v>SPECTRA INGENIERIA SAS</v>
      </c>
      <c r="C28" s="19" t="str">
        <f>C14</f>
        <v>COTIZANTE 2</v>
      </c>
      <c r="D28" s="33">
        <f>I8</f>
        <v>2503047275</v>
      </c>
      <c r="E28" s="73">
        <f>D28*0.19</f>
        <v>475578982.25</v>
      </c>
      <c r="F28" s="72">
        <f>ROUND(D28+E28,0)</f>
        <v>2978626257</v>
      </c>
      <c r="G28" s="40"/>
      <c r="H28" s="34"/>
      <c r="I28" s="22"/>
      <c r="K28" s="1"/>
    </row>
    <row r="29" spans="2:14" ht="16.5" x14ac:dyDescent="0.3">
      <c r="B29" s="66" t="str">
        <f>B15</f>
        <v>VALTADRIA GROUP</v>
      </c>
      <c r="C29" s="66" t="str">
        <f>C15</f>
        <v>COTIZANTE 3</v>
      </c>
      <c r="D29" s="67">
        <f>K8</f>
        <v>2508091922</v>
      </c>
      <c r="E29" s="74">
        <f>D29*0.19</f>
        <v>476537465.18000001</v>
      </c>
      <c r="F29" s="75">
        <f>ROUND(D29+E29,0)</f>
        <v>2984629387</v>
      </c>
      <c r="G29" s="40"/>
      <c r="H29" s="34"/>
      <c r="I29" s="22"/>
    </row>
    <row r="30" spans="2:14" ht="16.5" x14ac:dyDescent="0.3">
      <c r="B30" s="103" t="str">
        <f>L2</f>
        <v>CONVIEST</v>
      </c>
      <c r="C30" s="103" t="str">
        <f>L3</f>
        <v>COTIZANTE 4</v>
      </c>
      <c r="D30" s="104">
        <f>M8</f>
        <v>2521569597</v>
      </c>
      <c r="E30" s="105">
        <f>D30*0.19</f>
        <v>479098223.43000001</v>
      </c>
      <c r="F30" s="106">
        <f>ROUND(D30+E30,0)</f>
        <v>3000667820</v>
      </c>
      <c r="G30" s="34"/>
      <c r="H30" s="34"/>
      <c r="I30" s="22"/>
    </row>
    <row r="31" spans="2:14" ht="16.5" x14ac:dyDescent="0.3">
      <c r="B31" s="65" t="str">
        <f>N2</f>
        <v>LSN</v>
      </c>
      <c r="C31" s="65" t="str">
        <f>N3</f>
        <v>COTIZANTE 5</v>
      </c>
      <c r="D31" s="68">
        <f>O8</f>
        <v>2551279754</v>
      </c>
      <c r="E31" s="76">
        <f>D31*0.19</f>
        <v>484743153.25999999</v>
      </c>
      <c r="F31" s="77">
        <f>ROUND(D31+E31,0)</f>
        <v>3036022907</v>
      </c>
      <c r="G31" s="34"/>
      <c r="H31" s="34"/>
      <c r="I31" s="22"/>
    </row>
    <row r="32" spans="2:14" ht="16.5" x14ac:dyDescent="0.3">
      <c r="B32" s="22"/>
      <c r="C32" s="35"/>
      <c r="D32" s="36"/>
      <c r="E32" s="37"/>
      <c r="F32" s="37"/>
      <c r="G32" s="22"/>
      <c r="H32" s="22"/>
      <c r="I32" s="22"/>
    </row>
    <row r="33" spans="2:9" ht="16.5" x14ac:dyDescent="0.3">
      <c r="B33" s="22"/>
      <c r="C33" s="38" t="s">
        <v>102</v>
      </c>
      <c r="D33" s="80">
        <f>AVERAGE(F27:F31)</f>
        <v>2641308819.8000002</v>
      </c>
      <c r="E33" s="22"/>
      <c r="F33" s="22"/>
      <c r="G33" s="22"/>
      <c r="H33" s="22"/>
      <c r="I33" s="22"/>
    </row>
    <row r="34" spans="2:9" ht="16.5" x14ac:dyDescent="0.3">
      <c r="B34" s="22"/>
      <c r="C34" s="79" t="s">
        <v>103</v>
      </c>
      <c r="D34" s="78">
        <f>MEDIAN(F27:F31)</f>
        <v>2984629387</v>
      </c>
      <c r="E34" s="22"/>
      <c r="F34" s="22"/>
      <c r="G34" s="22"/>
      <c r="H34" s="22"/>
      <c r="I34" s="22"/>
    </row>
    <row r="35" spans="2:9" ht="16.5" x14ac:dyDescent="0.3">
      <c r="B35" s="22"/>
      <c r="C35" s="244" t="s">
        <v>104</v>
      </c>
      <c r="D35" s="245">
        <f>STDEVA(F27:F31)</f>
        <v>802338158.74207962</v>
      </c>
      <c r="E35" s="22"/>
      <c r="F35" s="22"/>
      <c r="G35" s="22"/>
      <c r="H35" s="22"/>
      <c r="I35" s="22"/>
    </row>
    <row r="36" spans="2:9" ht="16.5" x14ac:dyDescent="0.3">
      <c r="B36" s="22"/>
      <c r="C36" s="19" t="s">
        <v>138</v>
      </c>
      <c r="D36" s="246">
        <f>_xlfn.QUARTILE.INC(F27:F31,1)</f>
        <v>2978626257</v>
      </c>
      <c r="E36" s="248">
        <f>_xlfn.QUARTILE.EXC(F27:F31,1)</f>
        <v>2092611992.5</v>
      </c>
      <c r="F36" s="22"/>
      <c r="G36" s="22"/>
      <c r="H36" s="22"/>
      <c r="I36" s="22"/>
    </row>
    <row r="37" spans="2:9" ht="16.5" x14ac:dyDescent="0.3">
      <c r="B37" s="22"/>
      <c r="C37" s="19" t="s">
        <v>139</v>
      </c>
      <c r="D37" s="246">
        <f>_xlfn.QUARTILE.INC(F27:F31,3)</f>
        <v>3000667820</v>
      </c>
      <c r="E37" s="22"/>
      <c r="F37" s="22"/>
      <c r="G37" s="22"/>
      <c r="H37" s="22"/>
      <c r="I37" s="22"/>
    </row>
    <row r="38" spans="2:9" ht="16.5" x14ac:dyDescent="0.3">
      <c r="B38" s="22"/>
      <c r="C38" s="19" t="s">
        <v>140</v>
      </c>
      <c r="D38" s="246">
        <f>D37-D36</f>
        <v>22041563</v>
      </c>
      <c r="E38" s="22"/>
      <c r="F38" s="22"/>
      <c r="G38" s="22"/>
      <c r="H38" s="22"/>
      <c r="I38" s="22"/>
    </row>
    <row r="39" spans="2:9" ht="16.5" x14ac:dyDescent="0.3">
      <c r="B39" s="22"/>
      <c r="C39" s="19" t="s">
        <v>141</v>
      </c>
      <c r="D39" s="246">
        <f>D36-D38*1.5</f>
        <v>2945563912.5</v>
      </c>
      <c r="E39" s="22"/>
      <c r="F39" s="22"/>
      <c r="G39" s="22"/>
      <c r="H39" s="22"/>
      <c r="I39" s="22"/>
    </row>
    <row r="40" spans="2:9" ht="16.5" x14ac:dyDescent="0.3">
      <c r="B40" s="22"/>
      <c r="C40" s="19" t="s">
        <v>142</v>
      </c>
      <c r="D40" s="246">
        <f>D37+D38*1.5</f>
        <v>3033730164.5</v>
      </c>
      <c r="E40" s="22"/>
      <c r="F40" s="22"/>
      <c r="G40" s="22"/>
      <c r="H40" s="22"/>
      <c r="I40" s="22"/>
    </row>
    <row r="41" spans="2:9" ht="16.5" x14ac:dyDescent="0.3">
      <c r="B41" s="22"/>
      <c r="C41" s="41" t="s">
        <v>105</v>
      </c>
      <c r="D41" s="247">
        <f>D35/D33</f>
        <v>0.30376537295734796</v>
      </c>
      <c r="E41" s="22"/>
      <c r="F41" s="22"/>
      <c r="G41" s="22"/>
      <c r="H41" s="22"/>
      <c r="I41" s="22"/>
    </row>
    <row r="42" spans="2:9" ht="16.5" x14ac:dyDescent="0.3">
      <c r="B42" s="22"/>
      <c r="C42" s="41" t="s">
        <v>106</v>
      </c>
      <c r="D42" s="190">
        <f>D34-D35</f>
        <v>2182291228.2579203</v>
      </c>
      <c r="E42" s="22"/>
      <c r="F42" s="22"/>
      <c r="G42" s="22"/>
      <c r="H42" s="22"/>
      <c r="I42" s="22"/>
    </row>
    <row r="43" spans="2:9" ht="16.5" x14ac:dyDescent="0.3">
      <c r="B43" s="22"/>
      <c r="C43" s="41" t="s">
        <v>107</v>
      </c>
      <c r="D43" s="190">
        <f>D34+D35</f>
        <v>3786967545.7420797</v>
      </c>
      <c r="E43" s="22"/>
      <c r="F43" s="22"/>
      <c r="G43" s="22"/>
      <c r="H43" s="22"/>
      <c r="I43" s="22"/>
    </row>
    <row r="44" spans="2:9" ht="17.25" thickBot="1" x14ac:dyDescent="0.35">
      <c r="B44" s="22"/>
      <c r="C44" s="22"/>
      <c r="D44" s="22"/>
      <c r="E44" s="22"/>
      <c r="F44" s="22"/>
      <c r="G44" s="22"/>
      <c r="H44" s="22"/>
      <c r="I44" s="22"/>
    </row>
    <row r="45" spans="2:9" ht="14.45" customHeight="1" x14ac:dyDescent="0.3">
      <c r="B45" s="22"/>
      <c r="C45" s="275" t="s">
        <v>108</v>
      </c>
      <c r="D45" s="276"/>
      <c r="E45" s="22"/>
      <c r="F45" s="22"/>
      <c r="G45" s="22"/>
      <c r="H45" s="22"/>
      <c r="I45" s="22"/>
    </row>
    <row r="46" spans="2:9" ht="16.5" x14ac:dyDescent="0.3">
      <c r="B46" s="22"/>
      <c r="C46" s="277"/>
      <c r="D46" s="278"/>
      <c r="E46" s="22"/>
      <c r="F46" s="22"/>
      <c r="G46" s="22"/>
      <c r="H46" s="22"/>
      <c r="I46" s="22"/>
    </row>
    <row r="47" spans="2:9" ht="16.5" x14ac:dyDescent="0.3">
      <c r="B47" s="22"/>
      <c r="C47" s="277"/>
      <c r="D47" s="278"/>
      <c r="E47" s="22"/>
      <c r="F47" s="22"/>
      <c r="G47" s="22"/>
      <c r="H47" s="22"/>
      <c r="I47" s="22"/>
    </row>
    <row r="48" spans="2:9" ht="84.75" customHeight="1" thickBot="1" x14ac:dyDescent="0.35">
      <c r="B48" s="22"/>
      <c r="C48" s="279"/>
      <c r="D48" s="280"/>
      <c r="E48" s="22"/>
      <c r="F48" s="22"/>
      <c r="G48" s="22"/>
      <c r="H48" s="22"/>
      <c r="I48" s="22"/>
    </row>
    <row r="51" spans="2:13" x14ac:dyDescent="0.25">
      <c r="B51" s="5" t="s">
        <v>109</v>
      </c>
    </row>
    <row r="52" spans="2:13" x14ac:dyDescent="0.25">
      <c r="B52" s="268" t="s">
        <v>110</v>
      </c>
      <c r="C52" s="268"/>
      <c r="D52" s="268"/>
      <c r="E52" s="268"/>
      <c r="F52" s="268"/>
    </row>
    <row r="53" spans="2:13" x14ac:dyDescent="0.25">
      <c r="B53" s="268"/>
      <c r="C53" s="268"/>
      <c r="D53" s="268"/>
      <c r="E53" s="268"/>
      <c r="F53" s="268"/>
    </row>
    <row r="54" spans="2:13" x14ac:dyDescent="0.25">
      <c r="B54" s="268"/>
      <c r="C54" s="268"/>
      <c r="D54" s="268"/>
      <c r="E54" s="268"/>
      <c r="F54" s="268"/>
    </row>
    <row r="56" spans="2:13" ht="16.5" x14ac:dyDescent="0.3">
      <c r="C56" s="22"/>
      <c r="D56" s="22"/>
      <c r="E56" s="23"/>
      <c r="F56" s="267" t="str">
        <f>H2</f>
        <v>SPECTRA INGENIERIA SAS</v>
      </c>
      <c r="G56" s="267"/>
      <c r="H56" s="249" t="str">
        <f>J2</f>
        <v>VALTADRIA GROUP</v>
      </c>
      <c r="I56" s="250"/>
      <c r="J56" s="249" t="str">
        <f>L2</f>
        <v>CONVIEST</v>
      </c>
      <c r="K56" s="250"/>
      <c r="L56" s="249" t="str">
        <f>N2</f>
        <v>LSN</v>
      </c>
      <c r="M56" s="250"/>
    </row>
    <row r="57" spans="2:13" x14ac:dyDescent="0.25">
      <c r="C57" s="257" t="s">
        <v>80</v>
      </c>
      <c r="D57" s="257" t="s">
        <v>81</v>
      </c>
      <c r="E57" s="264" t="s">
        <v>82</v>
      </c>
      <c r="F57" s="267" t="s">
        <v>83</v>
      </c>
      <c r="G57" s="267"/>
      <c r="H57" s="249" t="s">
        <v>84</v>
      </c>
      <c r="I57" s="250"/>
      <c r="J57" s="249" t="s">
        <v>85</v>
      </c>
      <c r="K57" s="250"/>
      <c r="L57" s="249" t="s">
        <v>86</v>
      </c>
      <c r="M57" s="250"/>
    </row>
    <row r="58" spans="2:13" ht="30.6" customHeight="1" x14ac:dyDescent="0.25">
      <c r="C58" s="258"/>
      <c r="D58" s="258"/>
      <c r="E58" s="258"/>
      <c r="F58" s="24" t="s">
        <v>88</v>
      </c>
      <c r="G58" s="126" t="s">
        <v>27</v>
      </c>
      <c r="H58" s="24" t="s">
        <v>88</v>
      </c>
      <c r="I58" s="21" t="s">
        <v>27</v>
      </c>
      <c r="J58" s="24" t="s">
        <v>88</v>
      </c>
      <c r="K58" s="24" t="s">
        <v>27</v>
      </c>
      <c r="L58" s="24" t="s">
        <v>88</v>
      </c>
      <c r="M58" s="24" t="s">
        <v>27</v>
      </c>
    </row>
    <row r="59" spans="2:13" x14ac:dyDescent="0.25">
      <c r="C59" s="81">
        <v>1</v>
      </c>
      <c r="D59" s="118" t="s">
        <v>28</v>
      </c>
      <c r="E59" s="119">
        <v>2</v>
      </c>
      <c r="F59" s="122">
        <f>'SPECTRA INGENIERÍA SAS'!E23</f>
        <v>774118378</v>
      </c>
      <c r="G59" s="111">
        <f>E59*F59</f>
        <v>1548236756</v>
      </c>
      <c r="H59" s="124">
        <f>'VALTADRIA GROUP'!E23</f>
        <v>786053757</v>
      </c>
      <c r="I59" s="112">
        <f>E59*H59</f>
        <v>1572107514</v>
      </c>
      <c r="J59" s="84">
        <f>CONVIEST!E23</f>
        <v>781486067</v>
      </c>
      <c r="K59" s="112">
        <f>E59*J59</f>
        <v>1562972134</v>
      </c>
      <c r="L59" s="84">
        <f>LSN!G18</f>
        <v>792447589</v>
      </c>
      <c r="M59" s="112">
        <f>L59*E59</f>
        <v>1584895178</v>
      </c>
    </row>
    <row r="60" spans="2:13" x14ac:dyDescent="0.25">
      <c r="C60" s="109">
        <v>2</v>
      </c>
      <c r="D60" s="120" t="s">
        <v>30</v>
      </c>
      <c r="E60" s="121">
        <v>2</v>
      </c>
      <c r="F60" s="123">
        <f>'SPECTRA INGENIERÍA SAS'!E24</f>
        <v>431226324</v>
      </c>
      <c r="G60" s="111">
        <f>E60*F60</f>
        <v>862452648</v>
      </c>
      <c r="H60" s="125">
        <f>'VALTADRIA GROUP'!E24</f>
        <v>421566652</v>
      </c>
      <c r="I60" s="112">
        <f>E60*H60</f>
        <v>843133304</v>
      </c>
      <c r="J60" s="128">
        <f>CONVIEST!E24</f>
        <v>432896488</v>
      </c>
      <c r="K60" s="112">
        <f t="shared" ref="K60:K61" si="2">E60*J60</f>
        <v>865792976</v>
      </c>
      <c r="L60" s="110">
        <f>LSN!G19</f>
        <v>437184161</v>
      </c>
      <c r="M60" s="112">
        <f t="shared" ref="M60:M61" si="3">L60*E60</f>
        <v>874368322</v>
      </c>
    </row>
    <row r="61" spans="2:13" x14ac:dyDescent="0.25">
      <c r="C61" s="109">
        <v>3</v>
      </c>
      <c r="D61" s="120" t="s">
        <v>32</v>
      </c>
      <c r="E61" s="121">
        <v>1</v>
      </c>
      <c r="F61" s="123">
        <f>'SPECTRA INGENIERÍA SAS'!E25</f>
        <v>92357871</v>
      </c>
      <c r="G61" s="111">
        <f>E61*F61</f>
        <v>92357871</v>
      </c>
      <c r="H61" s="127">
        <f>'VALTADRIA GROUP'!E25</f>
        <v>92851104</v>
      </c>
      <c r="I61" s="111">
        <f>E61*H61</f>
        <v>92851104</v>
      </c>
      <c r="J61" s="110">
        <f>CONVIEST!E25</f>
        <v>92804487</v>
      </c>
      <c r="K61" s="111">
        <f t="shared" si="2"/>
        <v>92804487</v>
      </c>
      <c r="L61" s="127">
        <f>LSN!G20</f>
        <v>92016254</v>
      </c>
      <c r="M61" s="111">
        <f t="shared" si="3"/>
        <v>92016254</v>
      </c>
    </row>
    <row r="62" spans="2:13" x14ac:dyDescent="0.25">
      <c r="C62" s="260" t="s">
        <v>34</v>
      </c>
      <c r="D62" s="261"/>
      <c r="E62" s="261"/>
      <c r="F62" s="113"/>
      <c r="G62" s="114">
        <f>SUM(G59:G61)</f>
        <v>2503047275</v>
      </c>
      <c r="H62" s="88"/>
      <c r="I62" s="115">
        <f>SUM(I59:I61)</f>
        <v>2508091922</v>
      </c>
      <c r="J62" s="88"/>
      <c r="K62" s="116">
        <f>SUM(K59:K61)</f>
        <v>2521569597</v>
      </c>
      <c r="L62" s="88"/>
      <c r="M62" s="116">
        <f>SUM(M59:M61)</f>
        <v>2551279754</v>
      </c>
    </row>
    <row r="63" spans="2:13" x14ac:dyDescent="0.25">
      <c r="C63" s="262" t="s">
        <v>36</v>
      </c>
      <c r="D63" s="263"/>
      <c r="E63" s="263"/>
      <c r="F63" s="86"/>
      <c r="G63" s="87">
        <f>ROUND(G62*0.19,0)</f>
        <v>475578982</v>
      </c>
      <c r="H63" s="88"/>
      <c r="I63" s="89">
        <f>I62*0.19</f>
        <v>476537465.18000001</v>
      </c>
      <c r="J63" s="88"/>
      <c r="K63" s="90">
        <f>K62*0.19</f>
        <v>479098223.43000001</v>
      </c>
      <c r="L63" s="88"/>
      <c r="M63" s="90">
        <f>M62*0.19</f>
        <v>484743153.25999999</v>
      </c>
    </row>
    <row r="64" spans="2:13" x14ac:dyDescent="0.25">
      <c r="C64" s="249" t="s">
        <v>38</v>
      </c>
      <c r="D64" s="259"/>
      <c r="E64" s="259"/>
      <c r="F64" s="85"/>
      <c r="G64" s="91">
        <f>ROUND(G62+G63,0)</f>
        <v>2978626257</v>
      </c>
      <c r="H64" s="92"/>
      <c r="I64" s="93">
        <f>ROUND(I62+I63,0)</f>
        <v>2984629387</v>
      </c>
      <c r="J64" s="92"/>
      <c r="K64" s="94">
        <f>ROUND(K62+K63,0)</f>
        <v>3000667820</v>
      </c>
      <c r="L64" s="92"/>
      <c r="M64" s="94">
        <f>ROUND(M62+M63,0)</f>
        <v>3036022907</v>
      </c>
    </row>
    <row r="67" spans="2:6" ht="16.5" x14ac:dyDescent="0.3">
      <c r="B67" s="18" t="s">
        <v>89</v>
      </c>
      <c r="C67" s="2" t="s">
        <v>90</v>
      </c>
      <c r="D67" s="17" t="s">
        <v>91</v>
      </c>
      <c r="E67" s="17" t="s">
        <v>92</v>
      </c>
      <c r="F67" s="107" t="s">
        <v>93</v>
      </c>
    </row>
    <row r="68" spans="2:6" ht="16.5" x14ac:dyDescent="0.3">
      <c r="B68" s="26" t="str">
        <f>F56</f>
        <v>SPECTRA INGENIERIA SAS</v>
      </c>
      <c r="C68" s="26" t="str">
        <f>F57</f>
        <v>COTIZANTE 1</v>
      </c>
      <c r="D68" s="95">
        <f>F59</f>
        <v>774118378</v>
      </c>
      <c r="E68" s="95">
        <f>F60</f>
        <v>431226324</v>
      </c>
      <c r="F68" s="99">
        <f>F61</f>
        <v>92357871</v>
      </c>
    </row>
    <row r="69" spans="2:6" ht="16.5" x14ac:dyDescent="0.3">
      <c r="B69" s="26" t="str">
        <f>H56</f>
        <v>VALTADRIA GROUP</v>
      </c>
      <c r="C69" s="26" t="str">
        <f>H57</f>
        <v>COTIZANTE 2</v>
      </c>
      <c r="D69" s="95">
        <f>H59</f>
        <v>786053757</v>
      </c>
      <c r="E69" s="95">
        <f>H60</f>
        <v>421566652</v>
      </c>
      <c r="F69" s="99">
        <f>H61</f>
        <v>92851104</v>
      </c>
    </row>
    <row r="70" spans="2:6" ht="16.5" x14ac:dyDescent="0.3">
      <c r="B70" s="100" t="str">
        <f>J56</f>
        <v>CONVIEST</v>
      </c>
      <c r="C70" s="100" t="str">
        <f>J57</f>
        <v>COTIZANTE 3</v>
      </c>
      <c r="D70" s="101">
        <f>J59</f>
        <v>781486067</v>
      </c>
      <c r="E70" s="101">
        <f>J60</f>
        <v>432896488</v>
      </c>
      <c r="F70" s="99">
        <f>J61</f>
        <v>92804487</v>
      </c>
    </row>
    <row r="71" spans="2:6" ht="16.5" x14ac:dyDescent="0.3">
      <c r="B71" s="98" t="str">
        <f>L56</f>
        <v>LSN</v>
      </c>
      <c r="C71" s="98" t="str">
        <f>L57</f>
        <v>COTIZANTE 4</v>
      </c>
      <c r="D71" s="99">
        <f>L59</f>
        <v>792447589</v>
      </c>
      <c r="E71" s="99">
        <f>L60</f>
        <v>437184161</v>
      </c>
      <c r="F71" s="191">
        <f>L61</f>
        <v>92016254</v>
      </c>
    </row>
    <row r="73" spans="2:6" ht="19.5" customHeight="1" x14ac:dyDescent="0.3">
      <c r="B73" s="22"/>
      <c r="C73" s="20" t="s">
        <v>94</v>
      </c>
      <c r="D73" s="64">
        <f>ROUND(AVERAGE(D68:D71),2)</f>
        <v>783526447.75</v>
      </c>
      <c r="E73" s="188">
        <f>ROUND(AVERAGE(E68:E71),2)</f>
        <v>430718406.25</v>
      </c>
      <c r="F73" s="188">
        <f>ROUND(AVERAGE(F68:F71),2)</f>
        <v>92507429</v>
      </c>
    </row>
    <row r="74" spans="2:6" ht="16.5" x14ac:dyDescent="0.3">
      <c r="B74" s="22"/>
      <c r="C74" s="20" t="s">
        <v>95</v>
      </c>
      <c r="D74" s="29">
        <f>ROUND(D73*E59,0)</f>
        <v>1567052896</v>
      </c>
      <c r="E74" s="29">
        <f>ROUND(E73*E60,0)</f>
        <v>861436813</v>
      </c>
      <c r="F74" s="29">
        <f>ROUND(F73*E61,0)</f>
        <v>92507429</v>
      </c>
    </row>
    <row r="75" spans="2:6" ht="16.5" x14ac:dyDescent="0.3">
      <c r="B75" s="22"/>
      <c r="C75" s="20" t="s">
        <v>96</v>
      </c>
      <c r="D75" s="29">
        <f>SUM(D74:F74)</f>
        <v>2520997138</v>
      </c>
      <c r="E75" s="30"/>
      <c r="F75" s="30"/>
    </row>
    <row r="76" spans="2:6" ht="16.5" x14ac:dyDescent="0.3">
      <c r="B76" s="22"/>
      <c r="C76" s="20" t="s">
        <v>97</v>
      </c>
      <c r="D76" s="29">
        <f>ROUND(D75*0.19,0)</f>
        <v>478989456</v>
      </c>
      <c r="E76" s="31"/>
      <c r="F76" s="31"/>
    </row>
    <row r="77" spans="2:6" ht="16.5" x14ac:dyDescent="0.3">
      <c r="B77" s="22"/>
      <c r="C77" s="96" t="s">
        <v>98</v>
      </c>
      <c r="D77" s="82">
        <f>ROUND(D76+D75,0)</f>
        <v>2999986594</v>
      </c>
      <c r="E77" s="32"/>
      <c r="F77" s="22"/>
    </row>
    <row r="78" spans="2:6" ht="16.5" x14ac:dyDescent="0.3">
      <c r="B78" s="22"/>
      <c r="C78" s="97" t="s">
        <v>99</v>
      </c>
      <c r="D78" s="83">
        <f>D77/1750905</f>
        <v>1713.3919852876083</v>
      </c>
      <c r="E78" s="32"/>
      <c r="F78" s="22"/>
    </row>
    <row r="79" spans="2:6" ht="16.5" x14ac:dyDescent="0.3">
      <c r="B79" s="22"/>
      <c r="C79" s="22"/>
      <c r="D79" s="22"/>
      <c r="E79" s="22"/>
      <c r="F79" s="22"/>
    </row>
    <row r="80" spans="2:6" ht="33" x14ac:dyDescent="0.25">
      <c r="B80" s="194" t="s">
        <v>89</v>
      </c>
      <c r="C80" s="107" t="s">
        <v>90</v>
      </c>
      <c r="D80" s="107" t="s">
        <v>100</v>
      </c>
      <c r="E80" s="107" t="s">
        <v>97</v>
      </c>
      <c r="F80" s="107" t="s">
        <v>101</v>
      </c>
    </row>
    <row r="81" spans="2:6" ht="16.5" x14ac:dyDescent="0.3">
      <c r="B81" s="65" t="str">
        <f t="shared" ref="B81:C84" si="4">B68</f>
        <v>SPECTRA INGENIERIA SAS</v>
      </c>
      <c r="C81" s="65" t="str">
        <f t="shared" si="4"/>
        <v>COTIZANTE 1</v>
      </c>
      <c r="D81" s="192">
        <f>G62</f>
        <v>2503047275</v>
      </c>
      <c r="E81" s="193">
        <f>D81*0.19</f>
        <v>475578982.25</v>
      </c>
      <c r="F81" s="243">
        <f>ROUND(D81+E81,0)</f>
        <v>2978626257</v>
      </c>
    </row>
    <row r="82" spans="2:6" ht="16.5" x14ac:dyDescent="0.3">
      <c r="B82" s="65" t="str">
        <f t="shared" si="4"/>
        <v>VALTADRIA GROUP</v>
      </c>
      <c r="C82" s="65" t="str">
        <f t="shared" si="4"/>
        <v>COTIZANTE 2</v>
      </c>
      <c r="D82" s="192">
        <f>I62</f>
        <v>2508091922</v>
      </c>
      <c r="E82" s="76">
        <f>D82*0.19</f>
        <v>476537465.18000001</v>
      </c>
      <c r="F82" s="243">
        <f>ROUND(D82+E82,0)</f>
        <v>2984629387</v>
      </c>
    </row>
    <row r="83" spans="2:6" ht="16.5" x14ac:dyDescent="0.3">
      <c r="B83" s="65" t="str">
        <f t="shared" si="4"/>
        <v>CONVIEST</v>
      </c>
      <c r="C83" s="65" t="str">
        <f t="shared" si="4"/>
        <v>COTIZANTE 3</v>
      </c>
      <c r="D83" s="192">
        <f>K62</f>
        <v>2521569597</v>
      </c>
      <c r="E83" s="76">
        <f>D83*0.19</f>
        <v>479098223.43000001</v>
      </c>
      <c r="F83" s="243">
        <f>ROUND(D83+E83,0)</f>
        <v>3000667820</v>
      </c>
    </row>
    <row r="84" spans="2:6" ht="16.5" x14ac:dyDescent="0.3">
      <c r="B84" s="65" t="str">
        <f t="shared" si="4"/>
        <v>LSN</v>
      </c>
      <c r="C84" s="65" t="str">
        <f t="shared" si="4"/>
        <v>COTIZANTE 4</v>
      </c>
      <c r="D84" s="192">
        <f>M62</f>
        <v>2551279754</v>
      </c>
      <c r="E84" s="76">
        <f>D84*0.19</f>
        <v>484743153.25999999</v>
      </c>
      <c r="F84" s="243">
        <f>ROUND(D84+E84,0)</f>
        <v>3036022907</v>
      </c>
    </row>
    <row r="87" spans="2:6" ht="16.5" x14ac:dyDescent="0.3">
      <c r="C87" s="65" t="s">
        <v>102</v>
      </c>
      <c r="D87" s="78">
        <f>AVERAGE(F81:F84)</f>
        <v>2999986592.75</v>
      </c>
      <c r="E87" s="189">
        <f>D77-D87</f>
        <v>1.25</v>
      </c>
    </row>
    <row r="88" spans="2:6" ht="16.5" x14ac:dyDescent="0.3">
      <c r="C88" s="195" t="s">
        <v>103</v>
      </c>
      <c r="D88" s="196">
        <f>MEDIAN(F81:F84)</f>
        <v>2992648603.5</v>
      </c>
    </row>
    <row r="89" spans="2:6" ht="16.5" x14ac:dyDescent="0.3">
      <c r="C89" s="79" t="s">
        <v>104</v>
      </c>
      <c r="D89" s="78">
        <f>STDEVA(F81:F84)</f>
        <v>25762943.200725704</v>
      </c>
    </row>
    <row r="90" spans="2:6" ht="16.5" x14ac:dyDescent="0.3">
      <c r="C90" s="41" t="s">
        <v>105</v>
      </c>
      <c r="D90" s="42">
        <f>D89/D87</f>
        <v>8.5876861126601128E-3</v>
      </c>
    </row>
    <row r="93" spans="2:6" ht="31.5" customHeight="1" x14ac:dyDescent="0.25">
      <c r="C93" s="269" t="s">
        <v>111</v>
      </c>
      <c r="D93" s="269"/>
      <c r="E93" s="269"/>
    </row>
    <row r="94" spans="2:6" x14ac:dyDescent="0.25">
      <c r="C94" s="269"/>
      <c r="D94" s="269"/>
      <c r="E94" s="269"/>
    </row>
    <row r="95" spans="2:6" ht="34.5" customHeight="1" x14ac:dyDescent="0.25">
      <c r="C95" s="269"/>
      <c r="D95" s="269"/>
      <c r="E95" s="269"/>
    </row>
    <row r="96" spans="2:6" ht="34.5" customHeight="1" x14ac:dyDescent="0.25">
      <c r="C96" s="269"/>
      <c r="D96" s="269"/>
      <c r="E96" s="269"/>
    </row>
    <row r="99" spans="3:9" x14ac:dyDescent="0.25">
      <c r="C99" s="43" t="s">
        <v>112</v>
      </c>
      <c r="D99" s="44"/>
      <c r="E99" s="44"/>
      <c r="F99" s="44"/>
      <c r="G99" s="44"/>
    </row>
    <row r="100" spans="3:9" x14ac:dyDescent="0.25">
      <c r="C100" s="197" t="s">
        <v>89</v>
      </c>
      <c r="D100" s="197" t="s">
        <v>101</v>
      </c>
      <c r="E100" s="198" t="str">
        <f>C101</f>
        <v>COTIZANTE 1</v>
      </c>
      <c r="F100" s="199" t="str">
        <f>C102</f>
        <v>COTIZANTE 2</v>
      </c>
      <c r="G100" s="200" t="str">
        <f>C103</f>
        <v>COTIZANTE 3</v>
      </c>
      <c r="H100" s="200" t="s">
        <v>86</v>
      </c>
    </row>
    <row r="101" spans="3:9" ht="15.6" customHeight="1" x14ac:dyDescent="0.3">
      <c r="C101" s="19" t="str">
        <f>C81</f>
        <v>COTIZANTE 1</v>
      </c>
      <c r="D101" s="33">
        <f>F81</f>
        <v>2978626257</v>
      </c>
      <c r="E101" s="202" t="s">
        <v>113</v>
      </c>
      <c r="F101" s="211">
        <f>ROUNDUP(D102/D101-1,2)</f>
        <v>0.01</v>
      </c>
      <c r="G101" s="201">
        <f>D103/D101-1</f>
        <v>7.3999089171394861E-3</v>
      </c>
      <c r="H101" s="204">
        <f>D104/D101-1</f>
        <v>1.9269503807372024E-2</v>
      </c>
      <c r="I101" s="207"/>
    </row>
    <row r="102" spans="3:9" ht="16.5" x14ac:dyDescent="0.3">
      <c r="C102" s="19" t="str">
        <f>C82</f>
        <v>COTIZANTE 2</v>
      </c>
      <c r="D102" s="33">
        <f>F82</f>
        <v>2984629387</v>
      </c>
      <c r="E102" s="212">
        <f>ROUNDUP(D102/D101-1,2)</f>
        <v>0.01</v>
      </c>
      <c r="F102" s="202" t="s">
        <v>113</v>
      </c>
      <c r="G102" s="201">
        <f>D103/D102-1</f>
        <v>5.3736765676362097E-3</v>
      </c>
      <c r="H102" s="204">
        <f>D104/D102-1</f>
        <v>1.7219397565356731E-2</v>
      </c>
      <c r="I102" s="208"/>
    </row>
    <row r="103" spans="3:9" ht="16.5" x14ac:dyDescent="0.3">
      <c r="C103" s="66" t="str">
        <f>C83</f>
        <v>COTIZANTE 3</v>
      </c>
      <c r="D103" s="67">
        <f>F83</f>
        <v>3000667820</v>
      </c>
      <c r="E103" s="201">
        <f>D103/D101-1</f>
        <v>7.3999089171394861E-3</v>
      </c>
      <c r="F103" s="201">
        <f>D103/D102-1</f>
        <v>5.3736765676362097E-3</v>
      </c>
      <c r="G103" s="203" t="s">
        <v>113</v>
      </c>
      <c r="H103" s="205">
        <f>D104/D103-1</f>
        <v>1.1782406157839986E-2</v>
      </c>
      <c r="I103" s="209"/>
    </row>
    <row r="104" spans="3:9" ht="16.5" x14ac:dyDescent="0.3">
      <c r="C104" s="65" t="str">
        <f>C84</f>
        <v>COTIZANTE 4</v>
      </c>
      <c r="D104" s="192">
        <f>F84</f>
        <v>3036022907</v>
      </c>
      <c r="E104" s="212">
        <f>D104/D101-1</f>
        <v>1.9269503807372024E-2</v>
      </c>
      <c r="F104" s="201">
        <f>D104/D103-1</f>
        <v>1.1782406157839986E-2</v>
      </c>
      <c r="G104" s="201">
        <f>D104/D103-1</f>
        <v>1.1782406157839986E-2</v>
      </c>
      <c r="H104" s="206" t="s">
        <v>113</v>
      </c>
      <c r="I104" s="209"/>
    </row>
    <row r="106" spans="3:9" x14ac:dyDescent="0.25">
      <c r="C106" s="251" t="s">
        <v>114</v>
      </c>
      <c r="D106" s="252"/>
    </row>
    <row r="107" spans="3:9" x14ac:dyDescent="0.25">
      <c r="C107" s="253"/>
      <c r="D107" s="254"/>
    </row>
    <row r="108" spans="3:9" x14ac:dyDescent="0.25">
      <c r="C108" s="253"/>
      <c r="D108" s="254"/>
    </row>
    <row r="109" spans="3:9" x14ac:dyDescent="0.25">
      <c r="C109" s="253"/>
      <c r="D109" s="254"/>
    </row>
    <row r="110" spans="3:9" x14ac:dyDescent="0.25">
      <c r="C110" s="253"/>
      <c r="D110" s="254"/>
    </row>
    <row r="111" spans="3:9" x14ac:dyDescent="0.25">
      <c r="C111" s="253"/>
      <c r="D111" s="254"/>
    </row>
    <row r="112" spans="3:9" ht="15" customHeight="1" x14ac:dyDescent="0.25">
      <c r="C112" s="253"/>
      <c r="D112" s="254"/>
    </row>
    <row r="113" spans="2:15" x14ac:dyDescent="0.25">
      <c r="B113" s="49"/>
      <c r="C113" s="255"/>
      <c r="D113" s="256"/>
      <c r="E113" s="44"/>
      <c r="F113" s="44"/>
      <c r="G113" s="44"/>
      <c r="H113" s="44"/>
      <c r="I113" s="44"/>
      <c r="J113" s="44"/>
      <c r="K113" s="43"/>
      <c r="L113" s="44"/>
      <c r="M113" s="44"/>
      <c r="N113" s="44"/>
      <c r="O113" s="44"/>
    </row>
    <row r="114" spans="2:15" x14ac:dyDescent="0.25">
      <c r="D114" s="45"/>
      <c r="E114" s="25"/>
      <c r="F114" s="25"/>
      <c r="G114" s="46"/>
      <c r="H114" s="46"/>
      <c r="I114" s="25"/>
      <c r="J114" s="25"/>
      <c r="K114" s="3"/>
      <c r="L114" s="3"/>
      <c r="M114" s="3"/>
    </row>
    <row r="115" spans="2:15" ht="14.45" customHeight="1" x14ac:dyDescent="0.25">
      <c r="F115" s="48"/>
      <c r="G115" s="47"/>
      <c r="H115" s="47"/>
      <c r="I115" s="47"/>
      <c r="J115" s="47"/>
      <c r="K115" s="47"/>
      <c r="L115" s="47"/>
      <c r="M115" s="47"/>
    </row>
    <row r="116" spans="2:15" ht="16.5" x14ac:dyDescent="0.25">
      <c r="B116" s="52" t="s">
        <v>115</v>
      </c>
      <c r="C116" s="52" t="s">
        <v>116</v>
      </c>
      <c r="D116" s="220" t="s">
        <v>117</v>
      </c>
      <c r="E116" s="220" t="s">
        <v>118</v>
      </c>
      <c r="F116" s="220" t="s">
        <v>119</v>
      </c>
      <c r="G116" s="219"/>
      <c r="L116" s="50"/>
      <c r="M116" s="50"/>
      <c r="N116" s="50"/>
      <c r="O116" s="50"/>
    </row>
    <row r="117" spans="2:15" ht="120.6" customHeight="1" x14ac:dyDescent="0.25">
      <c r="B117" s="221" t="s">
        <v>120</v>
      </c>
      <c r="C117" s="215" t="s">
        <v>121</v>
      </c>
      <c r="D117" s="224">
        <v>0.73919999999999997</v>
      </c>
      <c r="E117" s="218">
        <f>ROUND(D77*D117,0)</f>
        <v>2217590090</v>
      </c>
      <c r="F117" s="225">
        <v>135026</v>
      </c>
      <c r="G117" s="210">
        <f>+E117*0.2608</f>
        <v>578347495.472</v>
      </c>
      <c r="I117" s="217">
        <f>ROUND(D77*26.08%,0)</f>
        <v>782396504</v>
      </c>
      <c r="L117" s="47"/>
      <c r="M117" s="59"/>
      <c r="N117" s="60"/>
    </row>
    <row r="118" spans="2:15" ht="78.75" customHeight="1" x14ac:dyDescent="0.25">
      <c r="B118" s="283" t="s">
        <v>122</v>
      </c>
      <c r="C118" s="215" t="s">
        <v>123</v>
      </c>
      <c r="D118" s="281">
        <v>0.26079999999999998</v>
      </c>
      <c r="E118" s="218">
        <f>ROUND($I$117*0.38,0)</f>
        <v>297310672</v>
      </c>
      <c r="F118" s="270"/>
      <c r="G118" s="210">
        <v>300000000</v>
      </c>
      <c r="H118" s="216">
        <f>G118/800000000</f>
        <v>0.375</v>
      </c>
      <c r="L118" s="47"/>
      <c r="M118" s="59"/>
      <c r="N118" s="60"/>
    </row>
    <row r="119" spans="2:15" ht="78.75" customHeight="1" x14ac:dyDescent="0.25">
      <c r="B119" s="283"/>
      <c r="C119" s="215" t="s">
        <v>124</v>
      </c>
      <c r="D119" s="282"/>
      <c r="E119" s="218">
        <f>ROUND($I$117*0.31,0)</f>
        <v>242542916</v>
      </c>
      <c r="F119" s="271"/>
      <c r="G119" s="210">
        <v>250000000</v>
      </c>
      <c r="H119" s="216">
        <f t="shared" ref="H119:H120" si="5">G119/800000000</f>
        <v>0.3125</v>
      </c>
      <c r="L119" s="47"/>
      <c r="M119" s="59"/>
      <c r="N119" s="60"/>
    </row>
    <row r="120" spans="2:15" ht="78.75" customHeight="1" x14ac:dyDescent="0.25">
      <c r="B120" s="283"/>
      <c r="C120" s="215" t="s">
        <v>125</v>
      </c>
      <c r="D120" s="282"/>
      <c r="E120" s="218">
        <f>ROUND($I$117*0.31,0)</f>
        <v>242542916</v>
      </c>
      <c r="F120" s="272"/>
      <c r="G120" s="210">
        <v>250000000</v>
      </c>
      <c r="H120" s="216">
        <f t="shared" si="5"/>
        <v>0.3125</v>
      </c>
      <c r="L120" s="47"/>
      <c r="M120" s="59"/>
      <c r="N120" s="60"/>
    </row>
    <row r="121" spans="2:15" ht="16.5" x14ac:dyDescent="0.25">
      <c r="B121" s="265" t="s">
        <v>126</v>
      </c>
      <c r="C121" s="265"/>
      <c r="D121" s="223">
        <f>SUM(D117:D120)</f>
        <v>1</v>
      </c>
      <c r="E121" s="222">
        <f>SUM(E117:E120)</f>
        <v>2999986594</v>
      </c>
      <c r="F121" s="210">
        <f>+E118+E119+E120</f>
        <v>782396504</v>
      </c>
      <c r="K121" s="47"/>
      <c r="L121" s="59"/>
      <c r="M121" s="60"/>
    </row>
    <row r="122" spans="2:15" ht="16.5" x14ac:dyDescent="0.25">
      <c r="C122" s="55"/>
      <c r="D122" s="213"/>
      <c r="E122" s="214"/>
      <c r="F122" s="210"/>
      <c r="K122" s="47"/>
      <c r="L122" s="59"/>
      <c r="M122" s="60"/>
    </row>
    <row r="123" spans="2:15" ht="16.5" x14ac:dyDescent="0.25">
      <c r="B123" s="6"/>
      <c r="C123" s="7"/>
      <c r="D123" s="6"/>
      <c r="E123" s="8"/>
      <c r="F123" s="8"/>
      <c r="G123" s="8"/>
      <c r="H123" s="8"/>
      <c r="I123" s="8"/>
      <c r="J123" s="8"/>
      <c r="K123" s="8"/>
    </row>
    <row r="124" spans="2:15" ht="16.5" x14ac:dyDescent="0.25">
      <c r="B124" s="6"/>
      <c r="C124" s="7"/>
      <c r="D124" s="6"/>
      <c r="E124" s="8"/>
      <c r="F124" s="8"/>
      <c r="G124" s="8"/>
      <c r="H124" s="8"/>
      <c r="I124" s="8"/>
      <c r="J124" s="8"/>
      <c r="K124" s="8"/>
    </row>
    <row r="125" spans="2:15" ht="16.5" x14ac:dyDescent="0.25">
      <c r="B125" s="6"/>
      <c r="C125" s="234" t="s">
        <v>127</v>
      </c>
      <c r="D125" s="6"/>
      <c r="E125" s="8"/>
      <c r="F125" s="8"/>
      <c r="G125" s="8"/>
      <c r="H125" s="8"/>
      <c r="I125" s="8"/>
      <c r="J125" s="8"/>
      <c r="K125" s="8"/>
    </row>
    <row r="126" spans="2:15" ht="16.5" x14ac:dyDescent="0.25">
      <c r="B126" s="6"/>
      <c r="C126" s="226"/>
      <c r="D126" s="6"/>
      <c r="E126" s="8"/>
      <c r="F126" s="8"/>
      <c r="G126" s="8"/>
      <c r="H126" s="8"/>
      <c r="I126" s="8"/>
      <c r="J126" s="8"/>
      <c r="K126" s="8"/>
    </row>
    <row r="127" spans="2:15" ht="16.5" x14ac:dyDescent="0.25">
      <c r="B127" s="227"/>
      <c r="C127" s="227"/>
      <c r="D127" s="220" t="s">
        <v>128</v>
      </c>
      <c r="E127" s="52" t="s">
        <v>97</v>
      </c>
      <c r="F127" s="52" t="s">
        <v>126</v>
      </c>
      <c r="G127" s="8"/>
      <c r="H127" s="8"/>
      <c r="I127" s="8"/>
      <c r="J127" s="8"/>
      <c r="K127" s="8"/>
    </row>
    <row r="128" spans="2:15" ht="18.75" x14ac:dyDescent="0.3">
      <c r="B128" s="227"/>
      <c r="C128" s="227"/>
      <c r="D128" s="228">
        <f>D75</f>
        <v>2520997138</v>
      </c>
      <c r="E128" s="228">
        <f>D76</f>
        <v>478989456</v>
      </c>
      <c r="F128" s="228">
        <f>D128+E128</f>
        <v>2999986594</v>
      </c>
      <c r="G128" s="9"/>
      <c r="H128" s="9"/>
      <c r="I128" s="9"/>
      <c r="J128" s="9"/>
      <c r="K128" s="9"/>
      <c r="M128" s="10"/>
      <c r="N128" s="11"/>
    </row>
    <row r="129" spans="2:14" ht="18.75" x14ac:dyDescent="0.3">
      <c r="B129" s="229" t="s">
        <v>129</v>
      </c>
      <c r="C129" s="230">
        <v>3.0000000000000001E-3</v>
      </c>
      <c r="D129" s="228">
        <f>ROUND($D$128*C129,0)</f>
        <v>7562991</v>
      </c>
      <c r="E129" s="228">
        <f>ROUND(D129*0.19,0)</f>
        <v>1436968</v>
      </c>
      <c r="F129" s="228">
        <f t="shared" ref="F129:F131" si="6">D129+E129</f>
        <v>8999959</v>
      </c>
      <c r="G129" s="9"/>
      <c r="H129" s="9"/>
      <c r="I129" s="9"/>
      <c r="J129" s="9"/>
      <c r="K129" s="54"/>
      <c r="L129" s="54"/>
      <c r="M129" s="12"/>
      <c r="N129" s="13"/>
    </row>
    <row r="130" spans="2:14" ht="32.1" customHeight="1" x14ac:dyDescent="0.25">
      <c r="B130" s="231" t="s">
        <v>130</v>
      </c>
      <c r="C130" s="230">
        <v>2.0999999999999999E-3</v>
      </c>
      <c r="D130" s="228">
        <f>ROUND($D$128*C130,0)</f>
        <v>5294094</v>
      </c>
      <c r="E130" s="228">
        <f t="shared" ref="E130:E131" si="7">ROUND(D130*0.19,0)</f>
        <v>1005878</v>
      </c>
      <c r="F130" s="228">
        <f t="shared" si="6"/>
        <v>6299972</v>
      </c>
      <c r="G130" s="14"/>
      <c r="H130" s="14"/>
      <c r="I130" s="14"/>
      <c r="J130" s="14"/>
      <c r="K130" s="55"/>
      <c r="L130" s="56"/>
    </row>
    <row r="131" spans="2:14" ht="16.5" x14ac:dyDescent="0.25">
      <c r="B131" s="229" t="s">
        <v>131</v>
      </c>
      <c r="C131" s="230">
        <v>5.4999999999999997E-3</v>
      </c>
      <c r="D131" s="228">
        <f>ROUND($D$128*C131,0)</f>
        <v>13865484</v>
      </c>
      <c r="E131" s="228">
        <f t="shared" si="7"/>
        <v>2634442</v>
      </c>
      <c r="F131" s="240">
        <f t="shared" si="6"/>
        <v>16499926</v>
      </c>
      <c r="K131" s="55"/>
      <c r="L131" s="56"/>
    </row>
    <row r="132" spans="2:14" ht="16.5" x14ac:dyDescent="0.25">
      <c r="B132" s="227"/>
      <c r="C132" s="232"/>
      <c r="D132" s="227"/>
      <c r="E132" s="227"/>
      <c r="F132" s="233">
        <f>SUM(F128:F131)</f>
        <v>3031786451</v>
      </c>
      <c r="K132" s="57"/>
      <c r="L132" s="58"/>
    </row>
    <row r="133" spans="2:14" ht="132" customHeight="1" x14ac:dyDescent="0.25">
      <c r="B133" s="273" t="s">
        <v>132</v>
      </c>
      <c r="C133" s="273"/>
      <c r="E133" s="241" t="s">
        <v>133</v>
      </c>
      <c r="F133" s="242">
        <f>+F132-F128</f>
        <v>31799857</v>
      </c>
    </row>
    <row r="134" spans="2:14" x14ac:dyDescent="0.25">
      <c r="B134" s="47"/>
      <c r="C134" s="47"/>
    </row>
    <row r="138" spans="2:14" ht="24" x14ac:dyDescent="0.4">
      <c r="D138" s="61"/>
    </row>
    <row r="139" spans="2:14" x14ac:dyDescent="0.25">
      <c r="D139" s="266" t="s">
        <v>80</v>
      </c>
      <c r="E139" s="266" t="s">
        <v>81</v>
      </c>
      <c r="F139" s="266" t="s">
        <v>134</v>
      </c>
      <c r="G139" s="266" t="s">
        <v>135</v>
      </c>
      <c r="H139" s="266" t="s">
        <v>136</v>
      </c>
    </row>
    <row r="140" spans="2:14" ht="29.45" customHeight="1" x14ac:dyDescent="0.25">
      <c r="D140" s="266"/>
      <c r="E140" s="266"/>
      <c r="F140" s="266"/>
      <c r="G140" s="266"/>
      <c r="H140" s="266"/>
    </row>
    <row r="141" spans="2:14" ht="32.1" customHeight="1" x14ac:dyDescent="0.25">
      <c r="D141" s="53">
        <v>1</v>
      </c>
      <c r="E141" s="235" t="s">
        <v>28</v>
      </c>
      <c r="F141" s="237">
        <v>2</v>
      </c>
      <c r="G141" s="62">
        <f>ROUND(D73*1.19,2)</f>
        <v>932396472.82000005</v>
      </c>
      <c r="H141" s="62">
        <f>G141*F141</f>
        <v>1864792945.6400001</v>
      </c>
    </row>
    <row r="142" spans="2:14" ht="32.450000000000003" customHeight="1" x14ac:dyDescent="0.25">
      <c r="D142" s="53">
        <v>2</v>
      </c>
      <c r="E142" s="236" t="s">
        <v>30</v>
      </c>
      <c r="F142" s="238">
        <v>2</v>
      </c>
      <c r="G142" s="62">
        <f>ROUND(E73*1.19,2)</f>
        <v>512554903.44</v>
      </c>
      <c r="H142" s="62">
        <f t="shared" ref="H142:H143" si="8">G142*F142</f>
        <v>1025109806.88</v>
      </c>
    </row>
    <row r="143" spans="2:14" ht="33.950000000000003" customHeight="1" x14ac:dyDescent="0.25">
      <c r="D143" s="53">
        <v>3</v>
      </c>
      <c r="E143" s="236" t="s">
        <v>32</v>
      </c>
      <c r="F143" s="238">
        <v>1</v>
      </c>
      <c r="G143" s="62">
        <f>ROUND(F73*1.19,2)+0.97</f>
        <v>110083841.48</v>
      </c>
      <c r="H143" s="62">
        <f t="shared" si="8"/>
        <v>110083841.48</v>
      </c>
    </row>
    <row r="144" spans="2:14" ht="15.6" customHeight="1" x14ac:dyDescent="0.25">
      <c r="D144" s="265" t="s">
        <v>137</v>
      </c>
      <c r="E144" s="265"/>
      <c r="F144" s="265"/>
      <c r="G144" s="265"/>
      <c r="H144" s="239">
        <f>SUM(H141:H143)</f>
        <v>2999986594</v>
      </c>
      <c r="I144" s="63"/>
    </row>
  </sheetData>
  <mergeCells count="46">
    <mergeCell ref="F118:F120"/>
    <mergeCell ref="B133:C133"/>
    <mergeCell ref="P3:S3"/>
    <mergeCell ref="E3:E4"/>
    <mergeCell ref="D3:D4"/>
    <mergeCell ref="C45:D48"/>
    <mergeCell ref="L3:M3"/>
    <mergeCell ref="H3:I3"/>
    <mergeCell ref="J3:K3"/>
    <mergeCell ref="D118:D120"/>
    <mergeCell ref="B118:B120"/>
    <mergeCell ref="B121:C121"/>
    <mergeCell ref="H139:H140"/>
    <mergeCell ref="L2:M2"/>
    <mergeCell ref="F2:G2"/>
    <mergeCell ref="H2:I2"/>
    <mergeCell ref="J2:K2"/>
    <mergeCell ref="J56:K56"/>
    <mergeCell ref="L56:M56"/>
    <mergeCell ref="J57:K57"/>
    <mergeCell ref="L57:M57"/>
    <mergeCell ref="F3:G3"/>
    <mergeCell ref="B52:F54"/>
    <mergeCell ref="F56:G56"/>
    <mergeCell ref="C93:E96"/>
    <mergeCell ref="F57:G57"/>
    <mergeCell ref="H57:I57"/>
    <mergeCell ref="H56:I56"/>
    <mergeCell ref="D144:G144"/>
    <mergeCell ref="D139:D140"/>
    <mergeCell ref="E139:E140"/>
    <mergeCell ref="F139:F140"/>
    <mergeCell ref="G139:G140"/>
    <mergeCell ref="N2:O2"/>
    <mergeCell ref="N3:O3"/>
    <mergeCell ref="C106:D113"/>
    <mergeCell ref="C3:C4"/>
    <mergeCell ref="C10:E10"/>
    <mergeCell ref="C8:E8"/>
    <mergeCell ref="C9:E9"/>
    <mergeCell ref="C62:E62"/>
    <mergeCell ref="C63:E63"/>
    <mergeCell ref="C64:E64"/>
    <mergeCell ref="C57:C58"/>
    <mergeCell ref="D57:D58"/>
    <mergeCell ref="E57:E5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WEXLER</vt:lpstr>
      <vt:lpstr>SPECTRA INGENIERÍA SAS</vt:lpstr>
      <vt:lpstr>VALTADRIA GROUP</vt:lpstr>
      <vt:lpstr>CONVIEST</vt:lpstr>
      <vt:lpstr>LSN</vt:lpstr>
      <vt:lpstr>Consolidado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Paula Castro Yusunguaira</dc:creator>
  <cp:keywords/>
  <dc:description/>
  <cp:lastModifiedBy>Nilgen Vargas Garces</cp:lastModifiedBy>
  <cp:revision/>
  <dcterms:created xsi:type="dcterms:W3CDTF">2024-09-19T14:39:00Z</dcterms:created>
  <dcterms:modified xsi:type="dcterms:W3CDTF">2026-05-20T15:07:47Z</dcterms:modified>
  <cp:category/>
  <cp:contentStatus/>
</cp:coreProperties>
</file>