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mc:AlternateContent xmlns:mc="http://schemas.openxmlformats.org/markup-compatibility/2006">
    <mc:Choice Requires="x15">
      <x15ac:absPath xmlns:x15ac="http://schemas.microsoft.com/office/spreadsheetml/2010/11/ac" url="C:\Users\gorom\Downloads\"/>
    </mc:Choice>
  </mc:AlternateContent>
  <xr:revisionPtr revIDLastSave="0" documentId="13_ncr:1_{92321347-AF35-404D-96B4-D012F56C9836}" xr6:coauthVersionLast="47" xr6:coauthVersionMax="47" xr10:uidLastSave="{00000000-0000-0000-0000-000000000000}"/>
  <bookViews>
    <workbookView xWindow="-108" yWindow="-108" windowWidth="23256" windowHeight="12456" tabRatio="500" xr2:uid="{00000000-000D-0000-FFFF-FFFF00000000}"/>
  </bookViews>
  <sheets>
    <sheet name="Presupuesto Ajustado" sheetId="1" r:id="rId1"/>
    <sheet name="Perisfericos" sheetId="2" state="hidden" r:id="rId2"/>
    <sheet name="Medios Tecnológicos" sheetId="3" r:id="rId3"/>
    <sheet name="Seguros" sheetId="4" r:id="rId4"/>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C30" i="1" l="1"/>
  <c r="U10" i="4"/>
  <c r="N36" i="1"/>
  <c r="J40" i="3" l="1"/>
  <c r="J39" i="3"/>
  <c r="J38" i="3"/>
  <c r="J37" i="3"/>
  <c r="J36" i="3"/>
  <c r="J35" i="3"/>
  <c r="J34" i="3"/>
  <c r="J33" i="3"/>
  <c r="J32" i="3"/>
  <c r="J31" i="3"/>
  <c r="J30" i="3"/>
  <c r="J29" i="3"/>
  <c r="J28" i="3"/>
  <c r="J27" i="3"/>
  <c r="J26" i="3"/>
  <c r="J25" i="3"/>
  <c r="J24" i="3"/>
  <c r="J23" i="3"/>
  <c r="J22" i="3"/>
  <c r="J21" i="3"/>
  <c r="J20" i="3"/>
  <c r="J19" i="3"/>
  <c r="J18" i="3"/>
  <c r="J17" i="3"/>
  <c r="J16" i="3"/>
  <c r="J15" i="3"/>
  <c r="J14" i="3"/>
  <c r="J13" i="3"/>
  <c r="J12" i="3"/>
  <c r="J11" i="3"/>
  <c r="J10" i="3"/>
  <c r="J9" i="3"/>
  <c r="J8" i="3"/>
  <c r="J7" i="3"/>
  <c r="J6" i="3"/>
  <c r="J5" i="3"/>
  <c r="J4" i="3"/>
  <c r="AI14" i="3"/>
  <c r="AI19" i="3"/>
  <c r="AI30" i="3"/>
  <c r="AI35" i="3"/>
  <c r="AH17" i="3"/>
  <c r="AH18" i="3"/>
  <c r="AH19" i="3"/>
  <c r="AH20" i="3"/>
  <c r="AH33" i="3"/>
  <c r="AG14" i="3"/>
  <c r="AG15" i="3"/>
  <c r="AG30" i="3"/>
  <c r="AG31" i="3"/>
  <c r="AE5" i="3"/>
  <c r="AE6" i="3"/>
  <c r="AG6" i="3" s="1"/>
  <c r="AE7" i="3"/>
  <c r="AG7" i="3" s="1"/>
  <c r="AE8" i="3"/>
  <c r="AE9" i="3"/>
  <c r="AE10" i="3"/>
  <c r="AE11" i="3"/>
  <c r="AE12" i="3"/>
  <c r="AE13" i="3"/>
  <c r="AE14" i="3"/>
  <c r="AE15" i="3"/>
  <c r="AE16" i="3"/>
  <c r="AE17" i="3"/>
  <c r="AE18" i="3"/>
  <c r="AE19" i="3"/>
  <c r="AE20" i="3"/>
  <c r="AE21" i="3"/>
  <c r="AE22" i="3"/>
  <c r="AG22" i="3" s="1"/>
  <c r="AE23" i="3"/>
  <c r="AG23" i="3" s="1"/>
  <c r="AE24" i="3"/>
  <c r="AE25" i="3"/>
  <c r="AE26" i="3"/>
  <c r="AE27" i="3"/>
  <c r="AE28" i="3"/>
  <c r="AE29" i="3"/>
  <c r="AE30" i="3"/>
  <c r="AE31" i="3"/>
  <c r="AE32" i="3"/>
  <c r="AE33" i="3"/>
  <c r="AE34" i="3"/>
  <c r="AE35" i="3"/>
  <c r="AE36" i="3"/>
  <c r="AE37" i="3"/>
  <c r="AE38" i="3"/>
  <c r="AG38" i="3" s="1"/>
  <c r="AE39" i="3"/>
  <c r="AG39" i="3" s="1"/>
  <c r="AE40" i="3"/>
  <c r="AE4" i="3"/>
  <c r="U5" i="3"/>
  <c r="U6" i="3"/>
  <c r="U7" i="3"/>
  <c r="U8" i="3"/>
  <c r="U9" i="3"/>
  <c r="U10" i="3"/>
  <c r="U11" i="3"/>
  <c r="U12" i="3"/>
  <c r="U13" i="3"/>
  <c r="U14" i="3"/>
  <c r="U15" i="3"/>
  <c r="U16" i="3"/>
  <c r="U17" i="3"/>
  <c r="U18" i="3"/>
  <c r="U19" i="3"/>
  <c r="U20" i="3"/>
  <c r="U21" i="3"/>
  <c r="U22" i="3"/>
  <c r="U23" i="3"/>
  <c r="U24" i="3"/>
  <c r="U25" i="3"/>
  <c r="U26" i="3"/>
  <c r="U27" i="3"/>
  <c r="U28" i="3"/>
  <c r="U29" i="3"/>
  <c r="U30" i="3"/>
  <c r="U31" i="3"/>
  <c r="U32" i="3"/>
  <c r="U33" i="3"/>
  <c r="U34" i="3"/>
  <c r="U35" i="3"/>
  <c r="U36" i="3"/>
  <c r="U37" i="3"/>
  <c r="U38" i="3"/>
  <c r="U39" i="3"/>
  <c r="U40" i="3"/>
  <c r="U4" i="3"/>
  <c r="K5" i="3"/>
  <c r="AH5" i="3" s="1"/>
  <c r="K6" i="3"/>
  <c r="AH6" i="3" s="1"/>
  <c r="K7" i="3"/>
  <c r="AH7" i="3" s="1"/>
  <c r="K8" i="3"/>
  <c r="AH8" i="3" s="1"/>
  <c r="K9" i="3"/>
  <c r="AH9" i="3" s="1"/>
  <c r="K10" i="3"/>
  <c r="AH10" i="3" s="1"/>
  <c r="K11" i="3"/>
  <c r="AH11" i="3" s="1"/>
  <c r="K12" i="3"/>
  <c r="AH12" i="3" s="1"/>
  <c r="K13" i="3"/>
  <c r="AH13" i="3" s="1"/>
  <c r="K14" i="3"/>
  <c r="AH14" i="3" s="1"/>
  <c r="K15" i="3"/>
  <c r="AH15" i="3" s="1"/>
  <c r="K16" i="3"/>
  <c r="AG16" i="3" s="1"/>
  <c r="K17" i="3"/>
  <c r="AG17" i="3" s="1"/>
  <c r="K18" i="3"/>
  <c r="AG18" i="3" s="1"/>
  <c r="K19" i="3"/>
  <c r="AG19" i="3" s="1"/>
  <c r="K20" i="3"/>
  <c r="AI20" i="3" s="1"/>
  <c r="K21" i="3"/>
  <c r="AH21" i="3" s="1"/>
  <c r="K22" i="3"/>
  <c r="AH22" i="3" s="1"/>
  <c r="K23" i="3"/>
  <c r="AH23" i="3" s="1"/>
  <c r="K24" i="3"/>
  <c r="AH24" i="3" s="1"/>
  <c r="K25" i="3"/>
  <c r="AH25" i="3" s="1"/>
  <c r="K26" i="3"/>
  <c r="AH26" i="3" s="1"/>
  <c r="K27" i="3"/>
  <c r="AH27" i="3" s="1"/>
  <c r="K28" i="3"/>
  <c r="AH28" i="3" s="1"/>
  <c r="K29" i="3"/>
  <c r="AH29" i="3" s="1"/>
  <c r="K30" i="3"/>
  <c r="AH30" i="3" s="1"/>
  <c r="K31" i="3"/>
  <c r="AH31" i="3" s="1"/>
  <c r="K32" i="3"/>
  <c r="AG32" i="3" s="1"/>
  <c r="K33" i="3"/>
  <c r="AG33" i="3" s="1"/>
  <c r="K34" i="3"/>
  <c r="AG34" i="3" s="1"/>
  <c r="K35" i="3"/>
  <c r="AG35" i="3" s="1"/>
  <c r="K36" i="3"/>
  <c r="AH36" i="3" s="1"/>
  <c r="K37" i="3"/>
  <c r="AH37" i="3" s="1"/>
  <c r="K38" i="3"/>
  <c r="AH38" i="3" s="1"/>
  <c r="K39" i="3"/>
  <c r="AH39" i="3" s="1"/>
  <c r="K40" i="3"/>
  <c r="AH40" i="3" s="1"/>
  <c r="K4" i="3"/>
  <c r="AI4" i="3" s="1"/>
  <c r="AI11" i="3" l="1"/>
  <c r="AI26" i="3"/>
  <c r="AI5" i="3"/>
  <c r="AI29" i="3"/>
  <c r="AI28" i="3"/>
  <c r="AI27" i="3"/>
  <c r="AI38" i="3"/>
  <c r="AI22" i="3"/>
  <c r="AI6" i="3"/>
  <c r="AI37" i="3"/>
  <c r="AI21" i="3"/>
  <c r="AG13" i="3"/>
  <c r="AI36" i="3"/>
  <c r="AI12" i="3"/>
  <c r="AI7" i="3"/>
  <c r="AG12" i="3"/>
  <c r="AI10" i="3"/>
  <c r="AI25" i="3"/>
  <c r="AG28" i="3"/>
  <c r="AI24" i="3"/>
  <c r="AI8" i="3"/>
  <c r="AI23" i="3"/>
  <c r="AI34" i="3"/>
  <c r="AG29" i="3"/>
  <c r="AI9" i="3"/>
  <c r="AG11" i="3"/>
  <c r="AI18" i="3"/>
  <c r="AG37" i="3"/>
  <c r="AG21" i="3"/>
  <c r="AG5" i="3"/>
  <c r="AG26" i="3"/>
  <c r="AG10" i="3"/>
  <c r="AI33" i="3"/>
  <c r="AI17" i="3"/>
  <c r="AI13" i="3"/>
  <c r="AG36" i="3"/>
  <c r="AG20" i="3"/>
  <c r="AG4" i="3"/>
  <c r="AG25" i="3"/>
  <c r="AG9" i="3"/>
  <c r="AH35" i="3"/>
  <c r="AI32" i="3"/>
  <c r="AI16" i="3"/>
  <c r="AI40" i="3"/>
  <c r="AG27" i="3"/>
  <c r="AI39" i="3"/>
  <c r="AG40" i="3"/>
  <c r="AG24" i="3"/>
  <c r="AG8" i="3"/>
  <c r="AH34" i="3"/>
  <c r="AI31" i="3"/>
  <c r="AI15" i="3"/>
  <c r="AH32" i="3"/>
  <c r="AH16" i="3"/>
  <c r="K41" i="3"/>
  <c r="AH4" i="3"/>
  <c r="AC41" i="3"/>
  <c r="S41" i="3"/>
  <c r="I41" i="3"/>
  <c r="AJ37" i="3" l="1"/>
  <c r="AJ4" i="3"/>
  <c r="D7" i="1"/>
  <c r="C34" i="1" l="1"/>
  <c r="G34" i="1" s="1"/>
  <c r="C31" i="1"/>
  <c r="C29" i="1"/>
  <c r="G23" i="1"/>
  <c r="M23" i="1" s="1"/>
  <c r="N23" i="1" s="1"/>
  <c r="N24" i="1" s="1"/>
  <c r="H6" i="1"/>
  <c r="G6" i="1"/>
  <c r="H9" i="4"/>
  <c r="V9" i="4" s="1"/>
  <c r="H8" i="4"/>
  <c r="U8" i="4" s="1"/>
  <c r="H7" i="4"/>
  <c r="V7" i="4" s="1"/>
  <c r="H6" i="4"/>
  <c r="V6" i="4" s="1"/>
  <c r="U5" i="4"/>
  <c r="H5" i="4"/>
  <c r="V5" i="4" s="1"/>
  <c r="H4" i="4"/>
  <c r="U4" i="4" s="1"/>
  <c r="AD41" i="3"/>
  <c r="T41" i="3"/>
  <c r="J41" i="3"/>
  <c r="AJ40" i="3"/>
  <c r="AJ39" i="3"/>
  <c r="AJ38" i="3"/>
  <c r="AJ36" i="3"/>
  <c r="AJ35" i="3"/>
  <c r="AJ34" i="3"/>
  <c r="AJ33" i="3"/>
  <c r="AJ32" i="3"/>
  <c r="AJ31" i="3"/>
  <c r="AJ30" i="3"/>
  <c r="AJ29" i="3"/>
  <c r="AJ28" i="3"/>
  <c r="AJ27" i="3"/>
  <c r="AJ26" i="3"/>
  <c r="AJ25" i="3"/>
  <c r="AJ24" i="3"/>
  <c r="AJ23" i="3"/>
  <c r="AJ22" i="3"/>
  <c r="AJ21" i="3"/>
  <c r="AJ20" i="3"/>
  <c r="AJ19" i="3"/>
  <c r="AJ18" i="3"/>
  <c r="AJ17" i="3"/>
  <c r="AJ16" i="3"/>
  <c r="AJ15" i="3"/>
  <c r="AJ14" i="3"/>
  <c r="AJ13" i="3"/>
  <c r="AJ12" i="3"/>
  <c r="AJ11" i="3"/>
  <c r="AJ10" i="3"/>
  <c r="AJ9" i="3"/>
  <c r="AJ8" i="3"/>
  <c r="AJ7" i="3"/>
  <c r="AJ6" i="3"/>
  <c r="AH41" i="3"/>
  <c r="AG41" i="3"/>
  <c r="AJ5" i="3"/>
  <c r="K60" i="2"/>
  <c r="L60" i="2" s="1"/>
  <c r="L59" i="2"/>
  <c r="K59" i="2"/>
  <c r="L58" i="2"/>
  <c r="K58" i="2"/>
  <c r="K57" i="2"/>
  <c r="L57" i="2" s="1"/>
  <c r="L56" i="2"/>
  <c r="L55" i="2"/>
  <c r="L54" i="2"/>
  <c r="L52" i="2"/>
  <c r="L50" i="2"/>
  <c r="L49" i="2"/>
  <c r="L46" i="2"/>
  <c r="L44" i="2"/>
  <c r="L42" i="2"/>
  <c r="L40" i="2"/>
  <c r="L38" i="2"/>
  <c r="L37" i="2"/>
  <c r="L34" i="2"/>
  <c r="L33" i="2"/>
  <c r="L32" i="2"/>
  <c r="L30" i="2"/>
  <c r="L28" i="2"/>
  <c r="L27" i="2"/>
  <c r="L26" i="2"/>
  <c r="L25" i="2"/>
  <c r="L24" i="2"/>
  <c r="L23" i="2"/>
  <c r="L22" i="2"/>
  <c r="L21" i="2"/>
  <c r="L20" i="2"/>
  <c r="L19" i="2"/>
  <c r="L18" i="2"/>
  <c r="L17" i="2"/>
  <c r="L16" i="2"/>
  <c r="L14" i="2"/>
  <c r="L12" i="2"/>
  <c r="L9" i="2"/>
  <c r="L7" i="2"/>
  <c r="L61" i="2" s="1"/>
  <c r="AE41" i="3" l="1"/>
  <c r="U41" i="3"/>
  <c r="I6" i="1"/>
  <c r="E20" i="1" s="1"/>
  <c r="E18" i="1"/>
  <c r="G18" i="1" s="1"/>
  <c r="M34" i="1"/>
  <c r="N34" i="1" s="1"/>
  <c r="N35" i="1" s="1"/>
  <c r="D13" i="1" s="1"/>
  <c r="H7" i="1"/>
  <c r="E30" i="1" s="1"/>
  <c r="G7" i="1"/>
  <c r="E29" i="1" s="1"/>
  <c r="G29" i="1" s="1"/>
  <c r="G30" i="1"/>
  <c r="E19" i="1"/>
  <c r="G19" i="1" s="1"/>
  <c r="I19" i="1" s="1"/>
  <c r="L64" i="2"/>
  <c r="L62" i="2"/>
  <c r="L63" i="2" s="1"/>
  <c r="U6" i="4"/>
  <c r="U9" i="4"/>
  <c r="V4" i="4"/>
  <c r="U7" i="4"/>
  <c r="V8" i="4"/>
  <c r="I30" i="1" l="1"/>
  <c r="J30" i="1" s="1"/>
  <c r="I29" i="1"/>
  <c r="J29" i="1" s="1"/>
  <c r="I18" i="1"/>
  <c r="J18" i="1" s="1"/>
  <c r="G20" i="1"/>
  <c r="I20" i="1" s="1"/>
  <c r="I7" i="1"/>
  <c r="E31" i="1" s="1"/>
  <c r="G31" i="1" s="1"/>
  <c r="J19" i="1"/>
  <c r="L19" i="1" s="1"/>
  <c r="M19" i="1" s="1"/>
  <c r="L29" i="1" l="1"/>
  <c r="M29" i="1" s="1"/>
  <c r="N29" i="1"/>
  <c r="L30" i="1"/>
  <c r="M30" i="1" s="1"/>
  <c r="I31" i="1"/>
  <c r="J31" i="1" s="1"/>
  <c r="L18" i="1"/>
  <c r="M18" i="1" s="1"/>
  <c r="J20" i="1"/>
  <c r="L20" i="1" s="1"/>
  <c r="M20" i="1" s="1"/>
  <c r="N19" i="1"/>
  <c r="L31" i="1" l="1"/>
  <c r="M31" i="1" s="1"/>
  <c r="N30" i="1"/>
  <c r="N18" i="1"/>
  <c r="N20" i="1"/>
  <c r="N31" i="1" l="1"/>
  <c r="N32" i="1" s="1"/>
  <c r="N21" i="1"/>
  <c r="N25" i="1" s="1"/>
  <c r="D12" i="1" l="1"/>
  <c r="D14" i="1" l="1"/>
</calcChain>
</file>

<file path=xl/sharedStrings.xml><?xml version="1.0" encoding="utf-8"?>
<sst xmlns="http://schemas.openxmlformats.org/spreadsheetml/2006/main" count="609" uniqueCount="189">
  <si>
    <t>ALCALDIA LOCAL DE CHAPINERO</t>
  </si>
  <si>
    <t xml:space="preserve">PRESUPUESTO SEGURIDAD Y VIGILANCIA 2026 -2027 </t>
  </si>
  <si>
    <t>TABLA DE REFERENCIA — TARIFAS VIGENTES | Circular Externa 20251300000115CS (Supervigilancia, 30/12/2025)</t>
  </si>
  <si>
    <t>PERÍODO</t>
  </si>
  <si>
    <t>TARIFA SUPERVIGILANCIA</t>
  </si>
  <si>
    <t>SMMLV</t>
  </si>
  <si>
    <t>TARIFA 24h
SIN IVA MENSUAL</t>
  </si>
  <si>
    <t>TARIFA 12h L-V
20d L-V/mes</t>
  </si>
  <si>
    <t>SERVICIO / SEDE</t>
  </si>
  <si>
    <t>VALOR UNIT. SIN IVA
(tarifa mensual)</t>
  </si>
  <si>
    <t>SEGURO
DE VIDA</t>
  </si>
  <si>
    <t>CON AyS</t>
  </si>
  <si>
    <t>%AIU</t>
  </si>
  <si>
    <t>VALOR AIU</t>
  </si>
  <si>
    <t>IVA AIU
19%</t>
  </si>
  <si>
    <t>TOTAL MENSUAL
CON IVA</t>
  </si>
  <si>
    <t>Servicio 24h L-D con arma
• 2 puestos — FDLCH, Carrera 13 No.54-74, Chapinero
• 1 puesto  — Inspección de Policía, Calle 61 #7-51</t>
  </si>
  <si>
    <t>Servicio 12h diurno L-D con arma
• 1 puesto — Alcaldía Local, Carrera 13 No.54-74
• 1 puesto — Bodega, Calle 74B No.69-26, Engativá</t>
  </si>
  <si>
    <t>AIU</t>
  </si>
  <si>
    <t>MEDIOS TECNOLÓGICOS 2026</t>
  </si>
  <si>
    <t>FONDO DE DESARROLLO LOCAL DE CHAPINERO</t>
  </si>
  <si>
    <t>Tipo</t>
  </si>
  <si>
    <t>Cantidad</t>
  </si>
  <si>
    <t>Descripción</t>
  </si>
  <si>
    <t>Características</t>
  </si>
  <si>
    <t>Valor Unitario (+ IVA) MENSUAL 2022</t>
  </si>
  <si>
    <t>Valor Unitario (+ IVA) MENSUAL 2023</t>
  </si>
  <si>
    <t>Valor Unitario (+ IVA) MENSUAL 2024</t>
  </si>
  <si>
    <t>Valor Unitario (+ IVA) MENSUAL 2025</t>
  </si>
  <si>
    <t>Vr. Parcial</t>
  </si>
  <si>
    <t>Valor Unitario (+ IVA) MENSUAL 2026</t>
  </si>
  <si>
    <t>CCTV</t>
  </si>
  <si>
    <t>Cámara</t>
  </si>
  <si>
    <t>búho en alta definición tipo domo para interiores 2 megapixeles lente 2.8 mm 20 mts.instaladas a</t>
  </si>
  <si>
    <t>búho en alta definición tipo bala</t>
  </si>
  <si>
    <t>DVR (Alcaldía)</t>
  </si>
  <si>
    <t>32 Canales capacidad de hasta 4</t>
  </si>
  <si>
    <t>DVR</t>
  </si>
  <si>
    <t>4 canales capacidad 1 disco duro</t>
  </si>
  <si>
    <t>DVR (Inspecciones)</t>
  </si>
  <si>
    <t>8 canales capacidad de 2 discos duros</t>
  </si>
  <si>
    <t>Monitor</t>
  </si>
  <si>
    <t>32 Pulgadas</t>
  </si>
  <si>
    <t>19 Pulgadas</t>
  </si>
  <si>
    <t>Extender HDMI</t>
  </si>
  <si>
    <t>hasta 60 mts</t>
  </si>
  <si>
    <t>Disco Duro</t>
  </si>
  <si>
    <t>6T trabajo24/7</t>
  </si>
  <si>
    <t>4T trabajo 24/7</t>
  </si>
  <si>
    <t>2T trabajo 24/7</t>
  </si>
  <si>
    <t>Sistema de alarma</t>
  </si>
  <si>
    <t>Pulsador de panico</t>
  </si>
  <si>
    <t>inalambrico</t>
  </si>
  <si>
    <t>Teclado LCD</t>
  </si>
  <si>
    <t>alfanumerico</t>
  </si>
  <si>
    <t>Sensor infrarrojo</t>
  </si>
  <si>
    <t>graduable de sensibilidad</t>
  </si>
  <si>
    <t>doble funcion antimascota</t>
  </si>
  <si>
    <t>Sirena de emergencias</t>
  </si>
  <si>
    <t>50W</t>
  </si>
  <si>
    <t>110V</t>
  </si>
  <si>
    <t>Tarjeta central</t>
  </si>
  <si>
    <t>dsc 1832</t>
  </si>
  <si>
    <t>radio transmisor</t>
  </si>
  <si>
    <t>Gprs</t>
  </si>
  <si>
    <t>Monitoreo</t>
  </si>
  <si>
    <t>Teclado numérico</t>
  </si>
  <si>
    <t>DSC 1555</t>
  </si>
  <si>
    <t>Batería</t>
  </si>
  <si>
    <t>12V-7AH</t>
  </si>
  <si>
    <t>Transformador encapsulado</t>
  </si>
  <si>
    <t>16.5 V</t>
  </si>
  <si>
    <t>Controlador de ronda,</t>
  </si>
  <si>
    <t>validacion de eventos en tiempo real</t>
  </si>
  <si>
    <t>Puntos de control de ronda</t>
  </si>
  <si>
    <t>TAG</t>
  </si>
  <si>
    <t>Cerca eléctrica 1 metro</t>
  </si>
  <si>
    <t>Metro</t>
  </si>
  <si>
    <t>meses de monitoreo de alarmas sede principal, bodega y control de rondas.</t>
  </si>
  <si>
    <t>servicio de monitoreo de alarmas desde la central de monitoreo de la empresa contratista. X mes</t>
  </si>
  <si>
    <t>Sello de seguridad</t>
  </si>
  <si>
    <t>Rollo 100 sellos</t>
  </si>
  <si>
    <t>Ingreso de visitantes</t>
  </si>
  <si>
    <t>Computador</t>
  </si>
  <si>
    <t>1T - corporativo</t>
  </si>
  <si>
    <t>Licencia de control de visitantes.</t>
  </si>
  <si>
    <t>permite gestionar y realizar seguimiento a los visitantes</t>
  </si>
  <si>
    <t>Control de ingreso dactilar</t>
  </si>
  <si>
    <t>Lector Biométrico</t>
  </si>
  <si>
    <t>Paquetes x 10 rollos de papel</t>
  </si>
  <si>
    <t>para impresión de stickers de visitantes</t>
  </si>
  <si>
    <t>Espejo convexo encabado</t>
  </si>
  <si>
    <t>espejo</t>
  </si>
  <si>
    <t>Barrera Abatible
de un solo Carril</t>
  </si>
  <si>
    <t xml:space="preserve"> SBTL300 (RFID y / o huella digital) </t>
  </si>
  <si>
    <t xml:space="preserve">reconociminto facial </t>
  </si>
  <si>
    <t>SpeedFace V5L / SpeedFace V5L [QR]</t>
  </si>
  <si>
    <t>Serie INBIO PRO</t>
  </si>
  <si>
    <t xml:space="preserve">INBIO PRO 4-purtas </t>
  </si>
  <si>
    <t>arco detector de metales 18 zonas</t>
  </si>
  <si>
    <t>zkteco ref 3180</t>
  </si>
  <si>
    <t>Imprevistos</t>
  </si>
  <si>
    <t>Vr. Total</t>
  </si>
  <si>
    <t>Vr. Total Antes de Iva</t>
  </si>
  <si>
    <t>STARCOOP</t>
  </si>
  <si>
    <t>VIGOR</t>
  </si>
  <si>
    <t>BOLIVAR</t>
  </si>
  <si>
    <t>Ítem</t>
  </si>
  <si>
    <t>Descripción servicio / Alquiler</t>
  </si>
  <si>
    <t>Unidad de medida</t>
  </si>
  <si>
    <t>Tarifa IVA</t>
  </si>
  <si>
    <t>Precio unitario
antes de IVA</t>
  </si>
  <si>
    <t>Precio unitario
IVA incluido</t>
  </si>
  <si>
    <t>PROMEDIO</t>
  </si>
  <si>
    <t>MEDIANA</t>
  </si>
  <si>
    <t>DESVIACION ESTANDAR</t>
  </si>
  <si>
    <t>CV</t>
  </si>
  <si>
    <t>búho en alta definición tipo domo para interiores 2 megapixeles
lente 2.8 mm 20 mts.instaladas a</t>
  </si>
  <si>
    <t>UNIDAD</t>
  </si>
  <si>
    <t>32 Canales capacidad de hasta 4 gb</t>
  </si>
  <si>
    <t>meses de monitoreo de alarmas sede principal,
bodega y control de rondas.</t>
  </si>
  <si>
    <t>Licencia de control de
visitantes.</t>
  </si>
  <si>
    <t>SBTL300 (RFID y / o huella digital)</t>
  </si>
  <si>
    <t>reconociminto facial</t>
  </si>
  <si>
    <t>INBIO PRO 4-purtas</t>
  </si>
  <si>
    <t>arco detector de metales 18
zonas</t>
  </si>
  <si>
    <t xml:space="preserve">COOPERATIVA DE VIGILANTES STARCOOP CTA </t>
  </si>
  <si>
    <t>COMPAÑÍA DE SEGURIDAD Y VIGILANCIA PRIVADA SIMON BOLIVAR LTDA (SEGURIDAD BOLIVAR LTDA)</t>
  </si>
  <si>
    <t>SEGURIDAD VIGOR LTDA</t>
  </si>
  <si>
    <t>Cantidad SERVICIOS</t>
  </si>
  <si>
    <t>Precio unitario antes de IVA</t>
  </si>
  <si>
    <t>Precio unitario IVA incluido</t>
  </si>
  <si>
    <t xml:space="preserve">Seguro colectivo </t>
  </si>
  <si>
    <t>Seguro colectivo  | Valor unitario de seguro de vida colectivo para el Servicio humano sin arma las 24 horas del día de Lunes a Domingo)
PARA EL MES DE JUNIO 2026  a ABRIL DEL 2028 de acuerdo con la tarifa establecida en la circular externa 202513000005CS y la Resolución 20251000059517CS de la Superintendencia de Seguridad y Vigilancia Privada | Describir la tarifa de acuerdo a lo establecido por la Superintendencia de Vigilancia y Seguridad Privada y a  la normatividad aplicable</t>
  </si>
  <si>
    <t>MESES</t>
  </si>
  <si>
    <t>6 meses 9 dias</t>
  </si>
  <si>
    <t>Seguro colectivo  | Servicio humano sin arma las 24 horas del día de Lunes a Domingo)
PARA EL MES DE JUNIO 2026  a ABRIL DEL 2028 de acuerdo con la tarifa establecida en la circular externa 202513000005CS y la Resolución 20251000059517CS de la Superintendencia de Seguridad y Vigilancia Privada. | Describir la tarifa de acuerdo a lo establecido por la Superintendencia de Vigilancia y Seguridad Privada y a  la normatividad aplicable</t>
  </si>
  <si>
    <t>Seguro colectivo  | Valor unitario de seguro de vida colectivo para el Servicio humano sin arma (12 horas diarias de lunes a viernes sin festivos) PARA
EL MES DE JUNIO 2026  a ABRIL DEL 2028 de acuerdo con la tarifa establecida en la circular externa 202513000005CS y la Resolución 20251000059517CS de la Superintendencia de Seguridad y Vigilancia Privada. | Describir la tarifa de acuerdo a lo establecido por la Superintendencia de Vigilancia y Seguridad Privada y a  la normatividad aplicable</t>
  </si>
  <si>
    <t>Seguro colectivo  | Valor unitario de seguro de vida colectivo para el Servicio humano CON  arma las 24 horas del día de Lunes a Domingo)
PARA EL MES DE JUNIO 2026  a ABRIL DEL 2028 de acuerdo con la tarifa establecida en la circular externa 202513000005CS y la Resolución 20251000059517CS de la Superintendencia de Seguridad y Vigilancia Privada | Describir la tarifa de acuerdo a lo establecido por la Superintendencia de Vigilancia y Seguridad Privada y a  la normatividad aplicable</t>
  </si>
  <si>
    <t>Seguro colectivo  | Servicio humano CON arma las 24 horas del día de Lunes a Domingo)
PARA EL MES DE JUNIO 2026  a ABRIL DEL 2028 de acuerdo con la tarifa establecida en la circular externa 202513000005CS y la Resolución 20251000059517CS de la Superintendencia de Seguridad y Vigilancia Privada. | Describir la tarifa de acuerdo a lo establecido por la Superintendencia de Vigilancia y Seguridad Privada y a  la normatividad aplicable</t>
  </si>
  <si>
    <t>Seguro colectivo  | Valor unitario de seguro de vida colectivo para el Servicio humano CON arma (12 horas diarias de lunes a viernes sin festivos) PARA
EL MES DE JUNIO 2026  a ABRIL DEL 2028 de acuerdo con la tarifa establecida en la circular externa 202513000005CS y la Resolución 20251000059517CS de la Superintendencia de Seguridad y Vigilancia Privada. | Describir la tarifa de acuerdo a lo establecido por la Superintendencia de Vigilancia y Seguridad Privada y a  la normatividad aplicable</t>
  </si>
  <si>
    <t>VARIABLE DE PROPORCIONALIDAD %</t>
  </si>
  <si>
    <t>JORNADA LABORAL
TURNO D-N</t>
  </si>
  <si>
    <t>TARIFA 12h 
de L-D
SIN IVA MENSUAL</t>
  </si>
  <si>
    <t>Dias - Mes</t>
  </si>
  <si>
    <t>Dias Habiles Mes</t>
  </si>
  <si>
    <t>Dias - Mes Enero 2027</t>
  </si>
  <si>
    <t>PUESTOS</t>
  </si>
  <si>
    <t>1 Agosto al 31 Diciembre 2026</t>
  </si>
  <si>
    <t xml:space="preserve">MESES
(Agos-Sept-Oct-Nov-Dic)
</t>
  </si>
  <si>
    <t>TOTAL PERSONAL VIGILANCIA 2026</t>
  </si>
  <si>
    <t>AÑO</t>
  </si>
  <si>
    <t>GLOBAL</t>
  </si>
  <si>
    <t>TOTAL SERVICIO DIAS  MEDIOS TECNOLOGICOS   2026</t>
  </si>
  <si>
    <t>VALOR SERVICIOS MEDIOS TECNOLOGICOS  CON IVA</t>
  </si>
  <si>
    <t>VALOR TOTAL 2026 PERSONAL Y MEDIOS TECNOLOGICOS CON IVA</t>
  </si>
  <si>
    <t>TOTAL PERSONAL VIGILANCIA 2027</t>
  </si>
  <si>
    <t>valor vigilancia 2026-2027</t>
  </si>
  <si>
    <t>Saldo Medios Tecnologicos 2026 y 2027</t>
  </si>
  <si>
    <t>TOTAL VIGILANCIA + MEDIOS TECNOLOGICOS</t>
  </si>
  <si>
    <t>Presupuesto Oficial</t>
  </si>
  <si>
    <t>TOTAL dias SIN IVA</t>
  </si>
  <si>
    <t>TOTAL DÍAS
CON IVA</t>
  </si>
  <si>
    <t>VALOR TOTAL 2027 PERSONAL Y MEDIOS TECNOLOGICOS CON IVA</t>
  </si>
  <si>
    <t>Servicio 12h diurno L-V sin festivos sin arma
• 1 puesto — FDLCH Recepción/control acceso peatonal, Carrera 13 No.54-74</t>
  </si>
  <si>
    <t>PERÍODO 1: 01 AGO – 31 DICIEMBRE 2026 (150 días) | Tarifa §1.3: 10,21 × SMMLV ($1.750.905) | Sector Público con arma y sin arma | AyS: 10% | Circular 20251300000115CS</t>
  </si>
  <si>
    <t>DIAS
 (01 de Agosto al 31 de diciembre de 2026)</t>
  </si>
  <si>
    <t>VALOR UNIT. SIN IVA
(tarifa diaria)</t>
  </si>
  <si>
    <t>Medios tecnologicos: El valor unitario se determina con base en la mediana de tres (3) cotizaciones allegadas por empresas del sector de vigilancia, para 37 ítems durante un plazo de ejecución de 189 días.</t>
  </si>
  <si>
    <t>VALOR UNIT. SIN IVA no
Incluye seguro vida, prorrateado.</t>
  </si>
  <si>
    <t>Dias</t>
  </si>
  <si>
    <t>Precio unitario Dia sin Iva incluido</t>
  </si>
  <si>
    <t>*Precio referencia valor unitario sin IVA</t>
  </si>
  <si>
    <t>*Precio de referencia valor unitario poliza colectiva de seguros sin IVA</t>
  </si>
  <si>
    <t>DIAS
 (1 al 18 de Enero 2027)</t>
  </si>
  <si>
    <t>1 al 18 de enero de 2027</t>
  </si>
  <si>
    <t>Servicio 24h L-D con arma — 18 días
• 2 puestos — FDLCH, Carrera 13 No.54-74, Chapinero
• 1 puesto  — Inspección de Policía, Calle 61 #7-51</t>
  </si>
  <si>
    <t>Servicio 12h diurno L-D con arma — 18 días
• 1 puesto — Alcaldía Local, Carrera 13 No.54-74
• 1 puesto — Bodega, Calle 74B No.69-26, Engativá</t>
  </si>
  <si>
    <t xml:space="preserve">Servicio 12h diurno L-V sin festivos sin arma — 18 días
• 1 puesto — FDLCH Recepción/control acceso peatonal, Carrera 13 No.54-74
</t>
  </si>
  <si>
    <t>ITEM</t>
  </si>
  <si>
    <t>PERÍODO 2: 1 AL 18 ENERO 2027 (18 DÍAS) | Tarifa: 10,38×SMMLV2027(proyectado 10%) | Fórmula proporcional días |</t>
  </si>
  <si>
    <t>TOTAL SIN IVA
(E+F)×B</t>
  </si>
  <si>
    <t>AYS (%)</t>
  </si>
  <si>
    <t>VALOR AYS</t>
  </si>
  <si>
    <t>CON AyS (G+I)</t>
  </si>
  <si>
    <t>DETALLE</t>
  </si>
  <si>
    <t>TOTAL SIN IVA</t>
  </si>
  <si>
    <t>IVA 19%</t>
  </si>
  <si>
    <t>SEGURO DE VIDA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</si>
</sst>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quot;$&quot;\ * #,##0.00_-;\-&quot;$&quot;\ * #,##0.00_-;_-&quot;$&quot;\ * &quot;-&quot;??_-;_-@_-"/>
    <numFmt numFmtId="43" formatCode="_-* #,##0.00_-;\-* #,##0.00_-;_-* &quot;-&quot;??_-;_-@_-"/>
    <numFmt numFmtId="164" formatCode="_-&quot;$ &quot;* #,##0_-;&quot;-$ &quot;* #,##0_-;_-&quot;$ &quot;* \-_-;_-@_-"/>
    <numFmt numFmtId="165" formatCode="_-* #,##0_-;\-* #,##0_-;_-* \-??_-;_-@_-"/>
    <numFmt numFmtId="166" formatCode="0.0%"/>
    <numFmt numFmtId="167" formatCode="_-&quot;$ &quot;* #,##0_-;&quot;-$ &quot;* #,##0_-;_-&quot;$ &quot;* \-??_-;_-@_-"/>
    <numFmt numFmtId="168" formatCode="_-&quot;$ &quot;* #,##0.00_-;&quot;-$ &quot;* #,##0.00_-;_-&quot;$ &quot;* \-??_-;_-@_-"/>
    <numFmt numFmtId="169" formatCode="_-* #,##0.00_-;\-* #,##0.00_-;_-* \-??_-;_-@_-"/>
    <numFmt numFmtId="170" formatCode="_-[$$-240A]\ * #,##0_-;\-[$$-240A]\ * #,##0_-;_-[$$-240A]\ * \-??_-;_-@_-"/>
    <numFmt numFmtId="171" formatCode="&quot;$ &quot;#,##0"/>
    <numFmt numFmtId="172" formatCode="&quot;$ &quot;#,##0.00"/>
    <numFmt numFmtId="173" formatCode="_-* #,##0_-;\-* #,##0_-;_-* &quot;-&quot;??_-;_-@_-"/>
    <numFmt numFmtId="174" formatCode="_-* #,##0.0_-;\-* #,##0.0_-;_-* &quot;-&quot;??_-;_-@_-"/>
    <numFmt numFmtId="175" formatCode="_-&quot;$&quot;\ * #,##0_-;\-&quot;$&quot;\ * #,##0_-;_-&quot;$&quot;\ * &quot;-&quot;??_-;_-@_-"/>
    <numFmt numFmtId="176" formatCode="&quot;$&quot;\ #,##0"/>
  </numFmts>
  <fonts count="34">
    <font>
      <sz val="11"/>
      <color theme="1"/>
      <name val="Calibri"/>
      <family val="2"/>
      <charset val="1"/>
    </font>
    <font>
      <sz val="10"/>
      <name val="Arial"/>
      <family val="2"/>
    </font>
    <font>
      <sz val="10"/>
      <color theme="1"/>
      <name val="Verdana"/>
      <family val="2"/>
      <charset val="1"/>
    </font>
    <font>
      <b/>
      <sz val="11"/>
      <color theme="1"/>
      <name val="Calibri"/>
      <family val="2"/>
      <charset val="1"/>
    </font>
    <font>
      <b/>
      <sz val="16"/>
      <color theme="1"/>
      <name val="Calibri"/>
      <family val="2"/>
      <charset val="1"/>
    </font>
    <font>
      <sz val="16"/>
      <color theme="1"/>
      <name val="Calibri"/>
      <family val="2"/>
      <charset val="1"/>
    </font>
    <font>
      <sz val="16"/>
      <name val="Calibri"/>
      <family val="2"/>
      <charset val="1"/>
    </font>
    <font>
      <sz val="16"/>
      <color theme="1"/>
      <name val="Times New Roman"/>
      <family val="1"/>
      <charset val="1"/>
    </font>
    <font>
      <sz val="10"/>
      <color theme="1"/>
      <name val="Calibri"/>
      <family val="2"/>
      <charset val="1"/>
    </font>
    <font>
      <b/>
      <sz val="10"/>
      <color theme="1"/>
      <name val="Calibri"/>
      <family val="2"/>
      <charset val="1"/>
    </font>
    <font>
      <b/>
      <sz val="10"/>
      <name val="Verdana"/>
      <family val="2"/>
      <charset val="1"/>
    </font>
    <font>
      <sz val="10"/>
      <color rgb="FF000000"/>
      <name val="Verdana"/>
      <family val="2"/>
      <charset val="1"/>
    </font>
    <font>
      <sz val="10"/>
      <name val="Arial MT"/>
      <charset val="1"/>
    </font>
    <font>
      <sz val="10"/>
      <name val="Verdana"/>
      <family val="2"/>
      <charset val="1"/>
    </font>
    <font>
      <b/>
      <sz val="10"/>
      <color theme="1"/>
      <name val="Verdana"/>
      <family val="2"/>
      <charset val="1"/>
    </font>
    <font>
      <sz val="10"/>
      <color rgb="FF002060"/>
      <name val="Verdana"/>
      <family val="2"/>
      <charset val="1"/>
    </font>
    <font>
      <b/>
      <sz val="9"/>
      <color rgb="FFFFFFFF"/>
      <name val="Calibri"/>
      <family val="2"/>
      <scheme val="minor"/>
    </font>
    <font>
      <sz val="9"/>
      <color rgb="FF000000"/>
      <name val="Calibri"/>
      <family val="2"/>
      <scheme val="minor"/>
    </font>
    <font>
      <b/>
      <sz val="9"/>
      <color rgb="FF000000"/>
      <name val="Calibri"/>
      <family val="2"/>
      <scheme val="minor"/>
    </font>
    <font>
      <sz val="9"/>
      <color rgb="FF0000FF"/>
      <name val="Calibri"/>
      <family val="2"/>
      <scheme val="minor"/>
    </font>
    <font>
      <b/>
      <sz val="9"/>
      <color theme="1"/>
      <name val="Calibri"/>
      <family val="2"/>
      <scheme val="minor"/>
    </font>
    <font>
      <b/>
      <sz val="9"/>
      <color rgb="FF1F3864"/>
      <name val="Calibri"/>
      <family val="2"/>
      <scheme val="minor"/>
    </font>
    <font>
      <sz val="9"/>
      <color theme="1"/>
      <name val="Calibri"/>
      <family val="2"/>
      <scheme val="minor"/>
    </font>
    <font>
      <b/>
      <sz val="9"/>
      <name val="Calibri"/>
      <family val="2"/>
      <scheme val="minor"/>
    </font>
    <font>
      <sz val="9"/>
      <name val="Calibri"/>
      <family val="2"/>
      <scheme val="minor"/>
    </font>
    <font>
      <b/>
      <sz val="9"/>
      <color rgb="FF0000FF"/>
      <name val="Calibri"/>
      <family val="2"/>
      <scheme val="minor"/>
    </font>
    <font>
      <sz val="9"/>
      <color theme="10"/>
      <name val="Calibri"/>
      <family val="2"/>
      <scheme val="minor"/>
    </font>
    <font>
      <sz val="11"/>
      <color theme="1"/>
      <name val="Calibri"/>
      <family val="2"/>
      <charset val="1"/>
    </font>
    <font>
      <b/>
      <sz val="14"/>
      <color theme="1"/>
      <name val="Calibri"/>
      <family val="2"/>
      <charset val="1"/>
    </font>
    <font>
      <b/>
      <sz val="10"/>
      <name val="Arial"/>
      <family val="2"/>
    </font>
    <font>
      <b/>
      <sz val="10"/>
      <color theme="1"/>
      <name val="Calibri"/>
      <family val="2"/>
    </font>
    <font>
      <b/>
      <sz val="10"/>
      <color theme="1"/>
      <name val="Arial"/>
      <family val="2"/>
    </font>
    <font>
      <b/>
      <sz val="14"/>
      <name val="Arial"/>
      <family val="2"/>
    </font>
    <font>
      <sz val="8"/>
      <color theme="1"/>
      <name val="Verdana"/>
      <family val="2"/>
    </font>
  </fonts>
  <fills count="26">
    <fill>
      <patternFill patternType="none"/>
    </fill>
    <fill>
      <patternFill patternType="gray125"/>
    </fill>
    <fill>
      <patternFill patternType="solid">
        <fgColor rgb="FF1F3864"/>
        <bgColor rgb="FF333399"/>
      </patternFill>
    </fill>
    <fill>
      <patternFill patternType="solid">
        <fgColor rgb="FF2E75B6"/>
        <bgColor rgb="FF4472C4"/>
      </patternFill>
    </fill>
    <fill>
      <patternFill patternType="solid">
        <fgColor rgb="FFE2EFDA"/>
        <bgColor rgb="FFEBEEF2"/>
      </patternFill>
    </fill>
    <fill>
      <patternFill patternType="solid">
        <fgColor rgb="FFD6DCE4"/>
        <bgColor rgb="FFDAE9F8"/>
      </patternFill>
    </fill>
    <fill>
      <patternFill patternType="solid">
        <fgColor rgb="FFBDD7EE"/>
        <bgColor rgb="FFD6DCE4"/>
      </patternFill>
    </fill>
    <fill>
      <patternFill patternType="solid">
        <fgColor theme="0"/>
        <bgColor rgb="FFF2F2F2"/>
      </patternFill>
    </fill>
    <fill>
      <patternFill patternType="solid">
        <fgColor rgb="FFFFFF00"/>
        <bgColor rgb="FFFFFF00"/>
      </patternFill>
    </fill>
    <fill>
      <patternFill patternType="solid">
        <fgColor rgb="FFFF0000"/>
        <bgColor rgb="FF993300"/>
      </patternFill>
    </fill>
    <fill>
      <patternFill patternType="solid">
        <fgColor rgb="FF92D050"/>
        <bgColor rgb="FF969696"/>
      </patternFill>
    </fill>
    <fill>
      <patternFill patternType="solid">
        <fgColor rgb="FFF1F1F1"/>
        <bgColor rgb="FFF2F2F2"/>
      </patternFill>
    </fill>
    <fill>
      <patternFill patternType="solid">
        <fgColor rgb="FFDAE9F8"/>
        <bgColor rgb="FFEBEEF2"/>
      </patternFill>
    </fill>
    <fill>
      <patternFill patternType="solid">
        <fgColor theme="0" tint="-4.9989318521683403E-2"/>
        <bgColor rgb="FFF1F1F1"/>
      </patternFill>
    </fill>
    <fill>
      <patternFill patternType="solid">
        <fgColor theme="3" tint="0.89989928891872917"/>
        <bgColor rgb="FFF1F1F1"/>
      </patternFill>
    </fill>
    <fill>
      <patternFill patternType="solid">
        <fgColor theme="7" tint="0.59999389629810485"/>
        <bgColor rgb="FFD6DCE4"/>
      </patternFill>
    </fill>
    <fill>
      <patternFill patternType="solid">
        <fgColor theme="7" tint="0.59999389629810485"/>
        <bgColor rgb="FF4472C4"/>
      </patternFill>
    </fill>
    <fill>
      <patternFill patternType="solid">
        <fgColor theme="7" tint="0.59999389629810485"/>
        <bgColor rgb="FFEBEEF2"/>
      </patternFill>
    </fill>
    <fill>
      <patternFill patternType="solid">
        <fgColor theme="9" tint="0.79998168889431442"/>
        <bgColor indexed="64"/>
      </patternFill>
    </fill>
    <fill>
      <patternFill patternType="solid">
        <fgColor theme="5" tint="0.59999389629810485"/>
        <bgColor rgb="FF333399"/>
      </patternFill>
    </fill>
    <fill>
      <patternFill patternType="solid">
        <fgColor theme="9" tint="0.59999389629810485"/>
        <bgColor indexed="64"/>
      </patternFill>
    </fill>
    <fill>
      <patternFill patternType="solid">
        <fgColor theme="5" tint="0.39997558519241921"/>
        <bgColor indexed="64"/>
      </patternFill>
    </fill>
    <fill>
      <patternFill patternType="solid">
        <fgColor theme="5" tint="0.39997558519241921"/>
        <bgColor rgb="FFFFFF00"/>
      </patternFill>
    </fill>
    <fill>
      <patternFill patternType="solid">
        <fgColor rgb="FFFFFF00"/>
        <bgColor indexed="64"/>
      </patternFill>
    </fill>
    <fill>
      <patternFill patternType="solid">
        <fgColor theme="3" tint="0.89999084444715716"/>
        <bgColor indexed="64"/>
      </patternFill>
    </fill>
    <fill>
      <patternFill patternType="solid">
        <fgColor theme="0"/>
        <bgColor indexed="64"/>
      </patternFill>
    </fill>
  </fills>
  <borders count="25">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ck">
        <color auto="1"/>
      </left>
      <right/>
      <top/>
      <bottom/>
      <diagonal/>
    </border>
    <border>
      <left style="thick">
        <color auto="1"/>
      </left>
      <right/>
      <top/>
      <bottom style="thick">
        <color auto="1"/>
      </bottom>
      <diagonal/>
    </border>
    <border>
      <left style="thick">
        <color auto="1"/>
      </left>
      <right style="thick">
        <color auto="1"/>
      </right>
      <top style="thick">
        <color auto="1"/>
      </top>
      <bottom style="thick">
        <color auto="1"/>
      </bottom>
      <diagonal/>
    </border>
    <border>
      <left style="thick">
        <color auto="1"/>
      </left>
      <right/>
      <top style="thick">
        <color auto="1"/>
      </top>
      <bottom style="thick">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style="thick">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top/>
      <bottom style="thin">
        <color auto="1"/>
      </bottom>
      <diagonal/>
    </border>
    <border>
      <left style="thin">
        <color auto="1"/>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5">
    <xf numFmtId="0" fontId="0" fillId="0" borderId="0"/>
    <xf numFmtId="43" fontId="1" fillId="0" borderId="0" applyBorder="0" applyAlignment="0" applyProtection="0"/>
    <xf numFmtId="49" fontId="2" fillId="0" borderId="0">
      <alignment horizontal="left" vertical="center"/>
    </xf>
    <xf numFmtId="44" fontId="27" fillId="0" borderId="0" applyFont="0" applyFill="0" applyBorder="0" applyAlignment="0" applyProtection="0"/>
    <xf numFmtId="9" fontId="27" fillId="0" borderId="0" applyFont="0" applyFill="0" applyBorder="0" applyAlignment="0" applyProtection="0"/>
  </cellStyleXfs>
  <cellXfs count="173">
    <xf numFmtId="0" fontId="0" fillId="0" borderId="0" xfId="0"/>
    <xf numFmtId="0" fontId="0" fillId="0" borderId="0" xfId="0" applyAlignment="1"/>
    <xf numFmtId="0" fontId="0" fillId="0" borderId="0" xfId="0" applyAlignment="1">
      <alignment horizontal="center"/>
    </xf>
    <xf numFmtId="0" fontId="0" fillId="0" borderId="0" xfId="0" applyAlignment="1">
      <alignment horizontal="center" wrapText="1"/>
    </xf>
    <xf numFmtId="0" fontId="5" fillId="0" borderId="2" xfId="0" applyFont="1" applyBorder="1" applyAlignment="1">
      <alignment horizontal="center" vertical="center" wrapText="1"/>
    </xf>
    <xf numFmtId="167" fontId="5" fillId="0" borderId="2" xfId="0" applyNumberFormat="1" applyFont="1" applyBorder="1" applyAlignment="1">
      <alignment horizontal="center" vertical="center" wrapText="1"/>
    </xf>
    <xf numFmtId="0" fontId="5" fillId="9" borderId="10" xfId="0" applyFont="1" applyFill="1" applyBorder="1" applyAlignment="1">
      <alignment horizontal="center" vertical="center" wrapText="1"/>
    </xf>
    <xf numFmtId="0" fontId="5" fillId="10" borderId="10" xfId="0" applyFont="1" applyFill="1" applyBorder="1" applyAlignment="1">
      <alignment horizontal="center" vertical="center" wrapText="1"/>
    </xf>
    <xf numFmtId="0" fontId="5" fillId="10" borderId="2" xfId="0" applyFont="1" applyFill="1" applyBorder="1" applyAlignment="1">
      <alignment horizontal="center" vertical="center" wrapText="1"/>
    </xf>
    <xf numFmtId="167" fontId="5" fillId="10" borderId="2" xfId="0" applyNumberFormat="1" applyFont="1" applyFill="1" applyBorder="1" applyAlignment="1">
      <alignment horizontal="center" vertical="center" wrapText="1"/>
    </xf>
    <xf numFmtId="167" fontId="5" fillId="0" borderId="2" xfId="0" applyNumberFormat="1" applyFont="1" applyBorder="1" applyAlignment="1">
      <alignment vertical="center"/>
    </xf>
    <xf numFmtId="167" fontId="5" fillId="0" borderId="11" xfId="0" applyNumberFormat="1" applyFont="1" applyBorder="1" applyAlignment="1">
      <alignment vertical="center"/>
    </xf>
    <xf numFmtId="167" fontId="5" fillId="10" borderId="2" xfId="0" applyNumberFormat="1" applyFont="1" applyFill="1" applyBorder="1" applyAlignment="1">
      <alignment vertical="center" wrapText="1"/>
    </xf>
    <xf numFmtId="0" fontId="5" fillId="0" borderId="10" xfId="0" applyFont="1" applyBorder="1" applyAlignment="1">
      <alignment horizontal="center" vertical="center" wrapText="1"/>
    </xf>
    <xf numFmtId="167" fontId="5" fillId="0" borderId="2" xfId="0" applyNumberFormat="1" applyFont="1" applyBorder="1" applyAlignment="1">
      <alignment vertical="center" wrapText="1"/>
    </xf>
    <xf numFmtId="0" fontId="5" fillId="9" borderId="2" xfId="0" applyFont="1" applyFill="1" applyBorder="1" applyAlignment="1">
      <alignment horizontal="center" vertical="center" wrapText="1"/>
    </xf>
    <xf numFmtId="167" fontId="5" fillId="9" borderId="2" xfId="0" applyNumberFormat="1" applyFont="1" applyFill="1" applyBorder="1" applyAlignment="1">
      <alignment horizontal="center" vertical="center" wrapText="1"/>
    </xf>
    <xf numFmtId="167" fontId="5" fillId="9" borderId="2" xfId="0" applyNumberFormat="1" applyFont="1" applyFill="1" applyBorder="1" applyAlignment="1">
      <alignment vertical="center" wrapText="1"/>
    </xf>
    <xf numFmtId="167" fontId="5" fillId="9" borderId="2" xfId="0" applyNumberFormat="1" applyFont="1" applyFill="1" applyBorder="1" applyAlignment="1">
      <alignment vertical="center"/>
    </xf>
    <xf numFmtId="0" fontId="5" fillId="0" borderId="0" xfId="0" applyFont="1" applyAlignment="1">
      <alignment horizontal="center" vertical="center" wrapText="1"/>
    </xf>
    <xf numFmtId="0" fontId="5" fillId="9" borderId="13" xfId="0" applyFont="1" applyFill="1" applyBorder="1" applyAlignment="1">
      <alignment horizontal="center" vertical="center" wrapText="1"/>
    </xf>
    <xf numFmtId="0" fontId="5" fillId="9" borderId="14" xfId="0" applyFont="1" applyFill="1" applyBorder="1" applyAlignment="1">
      <alignment horizontal="center" vertical="center" wrapText="1"/>
    </xf>
    <xf numFmtId="167" fontId="5" fillId="9" borderId="14" xfId="0" applyNumberFormat="1" applyFont="1" applyFill="1" applyBorder="1" applyAlignment="1">
      <alignment horizontal="center" vertical="center" wrapText="1"/>
    </xf>
    <xf numFmtId="167" fontId="5" fillId="9" borderId="14" xfId="0" applyNumberFormat="1" applyFont="1" applyFill="1" applyBorder="1" applyAlignment="1">
      <alignment vertical="center" wrapText="1"/>
    </xf>
    <xf numFmtId="167" fontId="5" fillId="9" borderId="14" xfId="0" applyNumberFormat="1" applyFont="1" applyFill="1" applyBorder="1" applyAlignment="1">
      <alignment vertical="center"/>
    </xf>
    <xf numFmtId="167" fontId="5" fillId="0" borderId="15" xfId="0" applyNumberFormat="1" applyFont="1" applyBorder="1" applyAlignment="1">
      <alignment vertical="center"/>
    </xf>
    <xf numFmtId="167" fontId="5" fillId="0" borderId="0" xfId="0" applyNumberFormat="1" applyFont="1" applyAlignment="1">
      <alignment horizontal="center" vertical="center" wrapText="1"/>
    </xf>
    <xf numFmtId="167" fontId="5" fillId="0" borderId="0" xfId="0" applyNumberFormat="1" applyFont="1" applyAlignment="1">
      <alignment vertical="center" wrapText="1"/>
    </xf>
    <xf numFmtId="170" fontId="5" fillId="0" borderId="17" xfId="0" applyNumberFormat="1" applyFont="1" applyBorder="1" applyAlignment="1">
      <alignment horizontal="center" vertical="center" wrapText="1"/>
    </xf>
    <xf numFmtId="170" fontId="5" fillId="0" borderId="17" xfId="0" applyNumberFormat="1" applyFont="1" applyBorder="1" applyAlignment="1">
      <alignment horizontal="right" vertical="center" wrapText="1"/>
    </xf>
    <xf numFmtId="170" fontId="4" fillId="0" borderId="17" xfId="0" applyNumberFormat="1" applyFont="1" applyBorder="1" applyAlignment="1">
      <alignment horizontal="center" vertical="center" wrapText="1"/>
    </xf>
    <xf numFmtId="0" fontId="5" fillId="0" borderId="0" xfId="0" applyFont="1" applyAlignment="1"/>
    <xf numFmtId="0" fontId="8" fillId="0" borderId="0" xfId="0" applyFont="1" applyAlignment="1"/>
    <xf numFmtId="0" fontId="8" fillId="0" borderId="2" xfId="0" applyFont="1" applyBorder="1" applyAlignment="1"/>
    <xf numFmtId="0" fontId="10" fillId="11" borderId="18" xfId="0" applyFont="1" applyFill="1" applyBorder="1" applyAlignment="1">
      <alignment horizontal="center" vertical="top" wrapText="1"/>
    </xf>
    <xf numFmtId="0" fontId="8" fillId="11" borderId="18" xfId="0" applyFont="1" applyFill="1" applyBorder="1" applyAlignment="1">
      <alignment horizontal="left" vertical="top" wrapText="1"/>
    </xf>
    <xf numFmtId="0" fontId="8" fillId="11" borderId="19" xfId="0" applyFont="1" applyFill="1" applyBorder="1" applyAlignment="1">
      <alignment horizontal="left" vertical="top" wrapText="1"/>
    </xf>
    <xf numFmtId="0" fontId="10" fillId="11" borderId="2" xfId="0" applyFont="1" applyFill="1" applyBorder="1" applyAlignment="1">
      <alignment horizontal="center" vertical="top" wrapText="1"/>
    </xf>
    <xf numFmtId="1" fontId="11" fillId="0" borderId="2" xfId="0" applyNumberFormat="1" applyFont="1" applyBorder="1" applyAlignment="1">
      <alignment horizontal="center" vertical="top" shrinkToFit="1"/>
    </xf>
    <xf numFmtId="0" fontId="12" fillId="0" borderId="2" xfId="0" applyFont="1" applyBorder="1" applyAlignment="1">
      <alignment horizontal="center" vertical="center" wrapText="1"/>
    </xf>
    <xf numFmtId="0" fontId="8" fillId="0" borderId="2" xfId="0" applyFont="1" applyBorder="1" applyAlignment="1">
      <alignment horizontal="center" vertical="top" wrapText="1"/>
    </xf>
    <xf numFmtId="0" fontId="13" fillId="0" borderId="2" xfId="0" applyFont="1" applyBorder="1" applyAlignment="1">
      <alignment horizontal="center" vertical="top" wrapText="1"/>
    </xf>
    <xf numFmtId="9" fontId="11" fillId="12" borderId="2" xfId="0" applyNumberFormat="1" applyFont="1" applyFill="1" applyBorder="1" applyAlignment="1">
      <alignment horizontal="center" vertical="top" shrinkToFit="1"/>
    </xf>
    <xf numFmtId="171" fontId="11" fillId="12" borderId="2" xfId="0" applyNumberFormat="1" applyFont="1" applyFill="1" applyBorder="1" applyAlignment="1">
      <alignment horizontal="center" vertical="top" shrinkToFit="1"/>
    </xf>
    <xf numFmtId="171" fontId="11" fillId="0" borderId="20" xfId="0" applyNumberFormat="1" applyFont="1" applyBorder="1" applyAlignment="1">
      <alignment horizontal="right" vertical="top" shrinkToFit="1"/>
    </xf>
    <xf numFmtId="171" fontId="11" fillId="0" borderId="2" xfId="0" applyNumberFormat="1" applyFont="1" applyBorder="1" applyAlignment="1">
      <alignment horizontal="right" vertical="top" shrinkToFit="1"/>
    </xf>
    <xf numFmtId="171" fontId="11" fillId="12" borderId="2" xfId="0" applyNumberFormat="1" applyFont="1" applyFill="1" applyBorder="1" applyAlignment="1">
      <alignment horizontal="right" vertical="top" shrinkToFit="1"/>
    </xf>
    <xf numFmtId="169" fontId="8" fillId="0" borderId="2" xfId="0" applyNumberFormat="1" applyFont="1" applyBorder="1" applyAlignment="1"/>
    <xf numFmtId="0" fontId="12" fillId="0" borderId="2" xfId="0" applyFont="1" applyBorder="1" applyAlignment="1">
      <alignment horizontal="center" vertical="top" wrapText="1"/>
    </xf>
    <xf numFmtId="0" fontId="12" fillId="0" borderId="2" xfId="0" applyFont="1" applyBorder="1" applyAlignment="1">
      <alignment horizontal="left" vertical="top" wrapText="1" indent="10"/>
    </xf>
    <xf numFmtId="0" fontId="12" fillId="0" borderId="2" xfId="0" applyFont="1" applyBorder="1" applyAlignment="1">
      <alignment horizontal="left" vertical="top" wrapText="1"/>
    </xf>
    <xf numFmtId="0" fontId="8" fillId="0" borderId="2" xfId="0" applyFont="1" applyBorder="1" applyAlignment="1">
      <alignment horizontal="left" vertical="top" wrapText="1" indent="2"/>
    </xf>
    <xf numFmtId="171" fontId="8" fillId="0" borderId="0" xfId="0" applyNumberFormat="1" applyFont="1" applyAlignment="1"/>
    <xf numFmtId="0" fontId="14" fillId="13" borderId="2" xfId="0" applyFont="1" applyFill="1" applyBorder="1" applyAlignment="1">
      <alignment horizontal="center" vertical="center"/>
    </xf>
    <xf numFmtId="0" fontId="14" fillId="13" borderId="2" xfId="0" applyFont="1" applyFill="1" applyBorder="1" applyAlignment="1">
      <alignment horizontal="center" vertical="center" wrapText="1"/>
    </xf>
    <xf numFmtId="0" fontId="14" fillId="8" borderId="2" xfId="0" applyFont="1" applyFill="1" applyBorder="1" applyAlignment="1">
      <alignment horizontal="center" vertical="center" wrapText="1"/>
    </xf>
    <xf numFmtId="0" fontId="2" fillId="0" borderId="2" xfId="0" applyFont="1" applyBorder="1" applyAlignment="1">
      <alignment horizontal="center" vertical="center"/>
    </xf>
    <xf numFmtId="49" fontId="2" fillId="0" borderId="2" xfId="0" applyNumberFormat="1" applyFont="1" applyBorder="1" applyAlignment="1">
      <alignment horizontal="left" vertical="center" wrapText="1"/>
    </xf>
    <xf numFmtId="9" fontId="2" fillId="14" borderId="2" xfId="0" applyNumberFormat="1" applyFont="1" applyFill="1" applyBorder="1" applyAlignment="1">
      <alignment horizontal="center" vertical="center"/>
    </xf>
    <xf numFmtId="167" fontId="2" fillId="14" borderId="2" xfId="0" applyNumberFormat="1" applyFont="1" applyFill="1" applyBorder="1" applyAlignment="1">
      <alignment vertical="center"/>
    </xf>
    <xf numFmtId="172" fontId="2" fillId="7" borderId="2" xfId="0" applyNumberFormat="1" applyFont="1" applyFill="1" applyBorder="1" applyAlignment="1">
      <alignment vertical="center"/>
    </xf>
    <xf numFmtId="172" fontId="15" fillId="7" borderId="2" xfId="0" applyNumberFormat="1" applyFont="1" applyFill="1" applyBorder="1" applyAlignment="1">
      <alignment vertical="center"/>
    </xf>
    <xf numFmtId="3" fontId="16" fillId="3" borderId="2" xfId="0" applyNumberFormat="1" applyFont="1" applyFill="1" applyBorder="1" applyAlignment="1">
      <alignment horizontal="center" vertical="center" wrapText="1"/>
    </xf>
    <xf numFmtId="0" fontId="16" fillId="3" borderId="2" xfId="0" applyFont="1" applyFill="1" applyBorder="1" applyAlignment="1">
      <alignment horizontal="center" vertical="center" wrapText="1"/>
    </xf>
    <xf numFmtId="3" fontId="16" fillId="3" borderId="22" xfId="0" applyNumberFormat="1" applyFont="1" applyFill="1" applyBorder="1" applyAlignment="1">
      <alignment horizontal="center" vertical="center" wrapText="1"/>
    </xf>
    <xf numFmtId="0" fontId="17" fillId="4" borderId="2" xfId="0" applyFont="1" applyFill="1" applyBorder="1" applyAlignment="1">
      <alignment horizontal="center" vertical="center" wrapText="1"/>
    </xf>
    <xf numFmtId="3" fontId="17" fillId="4" borderId="2" xfId="0" applyNumberFormat="1" applyFont="1" applyFill="1" applyBorder="1" applyAlignment="1">
      <alignment horizontal="center" vertical="center" wrapText="1"/>
    </xf>
    <xf numFmtId="0" fontId="17" fillId="4" borderId="0" xfId="0" applyFont="1" applyFill="1" applyBorder="1" applyAlignment="1">
      <alignment horizontal="center" vertical="center" wrapText="1"/>
    </xf>
    <xf numFmtId="0" fontId="17" fillId="6" borderId="2" xfId="0" applyFont="1" applyFill="1" applyBorder="1" applyAlignment="1">
      <alignment horizontal="left" vertical="center" wrapText="1"/>
    </xf>
    <xf numFmtId="3" fontId="17" fillId="4" borderId="2" xfId="0" applyNumberFormat="1" applyFont="1" applyFill="1" applyBorder="1" applyAlignment="1">
      <alignment horizontal="center" vertical="center"/>
    </xf>
    <xf numFmtId="3" fontId="17" fillId="0" borderId="2" xfId="0" applyNumberFormat="1" applyFont="1" applyBorder="1" applyAlignment="1">
      <alignment horizontal="center" vertical="center"/>
    </xf>
    <xf numFmtId="3" fontId="17" fillId="5" borderId="2" xfId="0" applyNumberFormat="1" applyFont="1" applyFill="1" applyBorder="1" applyAlignment="1">
      <alignment horizontal="center" vertical="center"/>
    </xf>
    <xf numFmtId="166" fontId="19" fillId="0" borderId="2" xfId="0" applyNumberFormat="1" applyFont="1" applyBorder="1" applyAlignment="1">
      <alignment horizontal="center" vertical="center"/>
    </xf>
    <xf numFmtId="0" fontId="17" fillId="6" borderId="18" xfId="0" applyFont="1" applyFill="1" applyBorder="1" applyAlignment="1">
      <alignment horizontal="left" vertical="center" wrapText="1"/>
    </xf>
    <xf numFmtId="0" fontId="22" fillId="0" borderId="0" xfId="0" applyFont="1" applyAlignment="1"/>
    <xf numFmtId="0" fontId="22" fillId="0" borderId="0" xfId="0" applyFont="1"/>
    <xf numFmtId="0" fontId="21" fillId="0" borderId="0" xfId="0" applyFont="1" applyAlignment="1">
      <alignment horizontal="left" vertical="center" wrapText="1"/>
    </xf>
    <xf numFmtId="164" fontId="16" fillId="2" borderId="2" xfId="0" applyNumberFormat="1" applyFont="1" applyFill="1" applyBorder="1" applyAlignment="1">
      <alignment vertical="center" wrapText="1"/>
    </xf>
    <xf numFmtId="0" fontId="22" fillId="0" borderId="0" xfId="0" applyFont="1" applyAlignment="1">
      <alignment horizontal="center" vertical="center" wrapText="1"/>
    </xf>
    <xf numFmtId="0" fontId="22" fillId="0" borderId="2" xfId="0" applyFont="1" applyBorder="1" applyAlignment="1">
      <alignment horizontal="center" vertical="center"/>
    </xf>
    <xf numFmtId="173" fontId="24" fillId="0" borderId="2" xfId="1" applyNumberFormat="1" applyFont="1" applyBorder="1" applyAlignment="1">
      <alignment horizontal="center" vertical="center" wrapText="1"/>
    </xf>
    <xf numFmtId="173" fontId="24" fillId="0" borderId="0" xfId="1" applyNumberFormat="1" applyFont="1" applyAlignment="1"/>
    <xf numFmtId="43" fontId="22" fillId="0" borderId="0" xfId="0" applyNumberFormat="1" applyFont="1" applyAlignment="1"/>
    <xf numFmtId="165" fontId="22" fillId="0" borderId="0" xfId="0" applyNumberFormat="1" applyFont="1" applyAlignment="1"/>
    <xf numFmtId="3" fontId="22" fillId="0" borderId="0" xfId="0" applyNumberFormat="1" applyFont="1" applyAlignment="1"/>
    <xf numFmtId="0" fontId="25" fillId="0" borderId="0" xfId="0" applyFont="1" applyAlignment="1"/>
    <xf numFmtId="1" fontId="19" fillId="0" borderId="2" xfId="0" applyNumberFormat="1" applyFont="1" applyBorder="1" applyAlignment="1">
      <alignment horizontal="center" vertical="center"/>
    </xf>
    <xf numFmtId="3" fontId="18" fillId="17" borderId="2" xfId="0" applyNumberFormat="1" applyFont="1" applyFill="1" applyBorder="1" applyAlignment="1">
      <alignment horizontal="center" vertical="center"/>
    </xf>
    <xf numFmtId="0" fontId="26" fillId="0" borderId="2" xfId="0" applyFont="1" applyBorder="1" applyAlignment="1">
      <alignment horizontal="center" vertical="center" wrapText="1"/>
    </xf>
    <xf numFmtId="0" fontId="22" fillId="0" borderId="2" xfId="0" applyFont="1" applyBorder="1" applyAlignment="1"/>
    <xf numFmtId="3" fontId="20" fillId="18" borderId="2" xfId="0" applyNumberFormat="1" applyFont="1" applyFill="1" applyBorder="1" applyAlignment="1">
      <alignment horizontal="center" vertical="center"/>
    </xf>
    <xf numFmtId="3" fontId="20" fillId="19" borderId="18" xfId="0" applyNumberFormat="1" applyFont="1" applyFill="1" applyBorder="1" applyAlignment="1">
      <alignment horizontal="center" vertical="center"/>
    </xf>
    <xf numFmtId="0" fontId="24" fillId="0" borderId="0" xfId="0" applyFont="1" applyAlignment="1"/>
    <xf numFmtId="0" fontId="23" fillId="0" borderId="0" xfId="0" applyFont="1" applyAlignment="1">
      <alignment wrapText="1"/>
    </xf>
    <xf numFmtId="3" fontId="23" fillId="0" borderId="0" xfId="0" applyNumberFormat="1" applyFont="1" applyAlignment="1"/>
    <xf numFmtId="168" fontId="22" fillId="0" borderId="0" xfId="0" applyNumberFormat="1" applyFont="1" applyAlignment="1"/>
    <xf numFmtId="3" fontId="20" fillId="16" borderId="2" xfId="0" applyNumberFormat="1" applyFont="1" applyFill="1" applyBorder="1" applyAlignment="1">
      <alignment horizontal="center" vertical="center"/>
    </xf>
    <xf numFmtId="0" fontId="16" fillId="3" borderId="0" xfId="0" applyFont="1" applyFill="1" applyBorder="1" applyAlignment="1">
      <alignment horizontal="center" vertical="center" wrapText="1"/>
    </xf>
    <xf numFmtId="173" fontId="1" fillId="0" borderId="0" xfId="1" applyNumberFormat="1" applyAlignment="1"/>
    <xf numFmtId="0" fontId="16" fillId="3" borderId="20" xfId="0" applyFont="1" applyFill="1" applyBorder="1" applyAlignment="1">
      <alignment horizontal="center" vertical="center" wrapText="1"/>
    </xf>
    <xf numFmtId="173" fontId="1" fillId="20" borderId="2" xfId="1" applyNumberFormat="1" applyFill="1" applyBorder="1" applyAlignment="1">
      <alignment horizontal="center" vertical="center" wrapText="1"/>
    </xf>
    <xf numFmtId="43" fontId="1" fillId="0" borderId="0" xfId="1" applyAlignment="1"/>
    <xf numFmtId="1" fontId="19" fillId="0" borderId="2" xfId="0" applyNumberFormat="1" applyFont="1" applyFill="1" applyBorder="1" applyAlignment="1">
      <alignment horizontal="center" vertical="center"/>
    </xf>
    <xf numFmtId="173" fontId="22" fillId="0" borderId="0" xfId="0" applyNumberFormat="1" applyFont="1" applyAlignment="1"/>
    <xf numFmtId="173" fontId="25" fillId="0" borderId="0" xfId="0" applyNumberFormat="1" applyFont="1" applyAlignment="1"/>
    <xf numFmtId="0" fontId="17" fillId="0" borderId="0" xfId="0" applyFont="1" applyFill="1" applyBorder="1" applyAlignment="1">
      <alignment horizontal="center" vertical="center" wrapText="1"/>
    </xf>
    <xf numFmtId="0" fontId="16" fillId="0" borderId="0" xfId="0" applyFont="1" applyFill="1" applyBorder="1" applyAlignment="1">
      <alignment horizontal="center" vertical="center" wrapText="1"/>
    </xf>
    <xf numFmtId="0" fontId="10" fillId="11" borderId="18" xfId="0" applyFont="1" applyFill="1" applyBorder="1" applyAlignment="1">
      <alignment horizontal="center" vertical="top" wrapText="1"/>
    </xf>
    <xf numFmtId="43" fontId="8" fillId="0" borderId="0" xfId="0" applyNumberFormat="1" applyFont="1" applyAlignment="1"/>
    <xf numFmtId="174" fontId="8" fillId="0" borderId="0" xfId="0" applyNumberFormat="1" applyFont="1" applyAlignment="1"/>
    <xf numFmtId="0" fontId="8" fillId="11" borderId="2" xfId="0" applyFont="1" applyFill="1" applyBorder="1" applyAlignment="1">
      <alignment horizontal="left" vertical="top" wrapText="1"/>
    </xf>
    <xf numFmtId="0" fontId="9" fillId="11" borderId="2" xfId="0" applyFont="1" applyFill="1" applyBorder="1" applyAlignment="1">
      <alignment horizontal="left" vertical="top" wrapText="1"/>
    </xf>
    <xf numFmtId="173" fontId="28" fillId="22" borderId="2" xfId="0" applyNumberFormat="1" applyFont="1" applyFill="1" applyBorder="1" applyAlignment="1">
      <alignment vertical="center"/>
    </xf>
    <xf numFmtId="175" fontId="32" fillId="21" borderId="2" xfId="3" applyNumberFormat="1" applyFont="1" applyFill="1" applyBorder="1" applyAlignment="1">
      <alignment vertical="center"/>
    </xf>
    <xf numFmtId="175" fontId="33" fillId="24" borderId="2" xfId="3" applyNumberFormat="1" applyFont="1" applyFill="1" applyBorder="1" applyAlignment="1">
      <alignment vertical="center"/>
    </xf>
    <xf numFmtId="176" fontId="33" fillId="25" borderId="2" xfId="0" applyNumberFormat="1" applyFont="1" applyFill="1" applyBorder="1" applyAlignment="1">
      <alignment vertical="center"/>
    </xf>
    <xf numFmtId="171" fontId="30" fillId="0" borderId="0" xfId="0" applyNumberFormat="1" applyFont="1" applyFill="1" applyAlignment="1"/>
    <xf numFmtId="173" fontId="3" fillId="23" borderId="0" xfId="0" applyNumberFormat="1" applyFont="1" applyFill="1" applyAlignment="1"/>
    <xf numFmtId="9" fontId="17" fillId="0" borderId="2" xfId="4" applyFont="1" applyBorder="1" applyAlignment="1">
      <alignment horizontal="center" vertical="center"/>
    </xf>
    <xf numFmtId="0" fontId="20" fillId="16" borderId="20" xfId="0" applyFont="1" applyFill="1" applyBorder="1" applyAlignment="1">
      <alignment horizontal="center" vertical="center"/>
    </xf>
    <xf numFmtId="0" fontId="20" fillId="16" borderId="23" xfId="0" applyFont="1" applyFill="1" applyBorder="1" applyAlignment="1">
      <alignment horizontal="center" vertical="center"/>
    </xf>
    <xf numFmtId="0" fontId="20" fillId="16" borderId="24" xfId="0" applyFont="1" applyFill="1" applyBorder="1" applyAlignment="1">
      <alignment horizontal="center" vertical="center"/>
    </xf>
    <xf numFmtId="0" fontId="20" fillId="19" borderId="20" xfId="0" applyFont="1" applyFill="1" applyBorder="1" applyAlignment="1">
      <alignment horizontal="center" vertical="center" wrapText="1"/>
    </xf>
    <xf numFmtId="0" fontId="20" fillId="19" borderId="23" xfId="0" applyFont="1" applyFill="1" applyBorder="1" applyAlignment="1">
      <alignment horizontal="center" vertical="center" wrapText="1"/>
    </xf>
    <xf numFmtId="0" fontId="20" fillId="19" borderId="24" xfId="0" applyFont="1" applyFill="1" applyBorder="1" applyAlignment="1">
      <alignment horizontal="center" vertical="center" wrapText="1"/>
    </xf>
    <xf numFmtId="0" fontId="18" fillId="15" borderId="20" xfId="0" applyFont="1" applyFill="1" applyBorder="1" applyAlignment="1">
      <alignment horizontal="center" vertical="center" wrapText="1"/>
    </xf>
    <xf numFmtId="0" fontId="18" fillId="15" borderId="23" xfId="0" applyFont="1" applyFill="1" applyBorder="1" applyAlignment="1">
      <alignment horizontal="center" vertical="center" wrapText="1"/>
    </xf>
    <xf numFmtId="0" fontId="18" fillId="15" borderId="24" xfId="0" applyFont="1" applyFill="1" applyBorder="1" applyAlignment="1">
      <alignment horizontal="center" vertical="center" wrapText="1"/>
    </xf>
    <xf numFmtId="0" fontId="16" fillId="2" borderId="19" xfId="0" applyFont="1" applyFill="1" applyBorder="1" applyAlignment="1">
      <alignment horizontal="center" vertical="center" wrapText="1"/>
    </xf>
    <xf numFmtId="0" fontId="16" fillId="2" borderId="21" xfId="0" applyFont="1" applyFill="1" applyBorder="1" applyAlignment="1">
      <alignment horizontal="center" vertical="center" wrapText="1"/>
    </xf>
    <xf numFmtId="0" fontId="21" fillId="0" borderId="0" xfId="0" applyFont="1" applyAlignment="1">
      <alignment horizontal="center" vertical="center" wrapText="1"/>
    </xf>
    <xf numFmtId="164" fontId="16" fillId="2" borderId="20" xfId="0" applyNumberFormat="1" applyFont="1" applyFill="1" applyBorder="1" applyAlignment="1">
      <alignment horizontal="center" vertical="center" wrapText="1"/>
    </xf>
    <xf numFmtId="164" fontId="16" fillId="2" borderId="23" xfId="0" applyNumberFormat="1" applyFont="1" applyFill="1" applyBorder="1" applyAlignment="1">
      <alignment horizontal="center" vertical="center" wrapText="1"/>
    </xf>
    <xf numFmtId="164" fontId="16" fillId="2" borderId="24" xfId="0" applyNumberFormat="1"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5" fillId="0" borderId="8" xfId="0" applyFont="1" applyBorder="1" applyAlignment="1">
      <alignment horizontal="center" vertical="center" wrapText="1"/>
    </xf>
    <xf numFmtId="0" fontId="6" fillId="9" borderId="3" xfId="0" applyFont="1" applyFill="1" applyBorder="1" applyAlignment="1">
      <alignment horizontal="center" vertical="center" wrapText="1"/>
    </xf>
    <xf numFmtId="0" fontId="5" fillId="0" borderId="4" xfId="0" applyFont="1" applyBorder="1" applyAlignment="1">
      <alignment horizontal="center" vertical="center" wrapText="1"/>
    </xf>
    <xf numFmtId="167" fontId="5" fillId="0" borderId="4" xfId="0" applyNumberFormat="1" applyFont="1" applyBorder="1" applyAlignment="1">
      <alignment horizontal="center" vertical="center" wrapText="1"/>
    </xf>
    <xf numFmtId="0" fontId="6" fillId="9" borderId="10" xfId="0" applyFont="1" applyFill="1" applyBorder="1" applyAlignment="1">
      <alignment horizontal="center" vertical="center" wrapText="1"/>
    </xf>
    <xf numFmtId="0" fontId="5" fillId="0" borderId="2" xfId="0" applyFont="1" applyBorder="1" applyAlignment="1">
      <alignment horizontal="center" vertical="center" wrapText="1"/>
    </xf>
    <xf numFmtId="167" fontId="5" fillId="0" borderId="2" xfId="0" applyNumberFormat="1" applyFont="1" applyBorder="1" applyAlignment="1">
      <alignment horizontal="center" vertical="center" wrapText="1"/>
    </xf>
    <xf numFmtId="167" fontId="5" fillId="0" borderId="4" xfId="0" applyNumberFormat="1" applyFont="1" applyBorder="1" applyAlignment="1">
      <alignment horizontal="center" vertical="center"/>
    </xf>
    <xf numFmtId="167" fontId="5" fillId="0" borderId="9" xfId="0" applyNumberFormat="1" applyFont="1" applyBorder="1" applyAlignment="1">
      <alignment horizontal="center" vertical="center"/>
    </xf>
    <xf numFmtId="167" fontId="0" fillId="0" borderId="0" xfId="0" applyNumberFormat="1" applyBorder="1" applyAlignment="1">
      <alignment horizontal="center"/>
    </xf>
    <xf numFmtId="167" fontId="5" fillId="0" borderId="2" xfId="0" applyNumberFormat="1" applyFont="1" applyBorder="1" applyAlignment="1">
      <alignment horizontal="center" vertical="center"/>
    </xf>
    <xf numFmtId="167" fontId="5" fillId="0" borderId="11" xfId="0" applyNumberFormat="1" applyFont="1" applyBorder="1" applyAlignment="1">
      <alignment horizontal="center" vertical="center"/>
    </xf>
    <xf numFmtId="0" fontId="5" fillId="9" borderId="10" xfId="0" applyFont="1" applyFill="1" applyBorder="1" applyAlignment="1">
      <alignment horizontal="center" vertical="center" wrapText="1"/>
    </xf>
    <xf numFmtId="0" fontId="5" fillId="10" borderId="8" xfId="0" applyFont="1" applyFill="1" applyBorder="1" applyAlignment="1">
      <alignment horizontal="center" vertical="center" wrapText="1"/>
    </xf>
    <xf numFmtId="0" fontId="5" fillId="10" borderId="10" xfId="0" applyFont="1" applyFill="1" applyBorder="1" applyAlignment="1">
      <alignment horizontal="center" vertical="center" wrapText="1"/>
    </xf>
    <xf numFmtId="0" fontId="5" fillId="10" borderId="2" xfId="0" applyFont="1" applyFill="1" applyBorder="1" applyAlignment="1">
      <alignment horizontal="center" vertical="center" wrapText="1"/>
    </xf>
    <xf numFmtId="167" fontId="5" fillId="10" borderId="2" xfId="0" applyNumberFormat="1" applyFont="1" applyFill="1" applyBorder="1" applyAlignment="1">
      <alignment horizontal="center" vertical="center" wrapText="1"/>
    </xf>
    <xf numFmtId="167" fontId="5" fillId="10" borderId="2" xfId="0" applyNumberFormat="1" applyFont="1" applyFill="1" applyBorder="1" applyAlignment="1">
      <alignment vertical="center" wrapText="1"/>
    </xf>
    <xf numFmtId="0" fontId="7" fillId="10" borderId="2"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6" xfId="0" applyFont="1" applyBorder="1" applyAlignment="1">
      <alignment horizontal="left" vertical="center" wrapText="1" indent="3"/>
    </xf>
    <xf numFmtId="0" fontId="5" fillId="0" borderId="1" xfId="0" applyFont="1" applyBorder="1" applyAlignment="1">
      <alignment horizontal="left" vertical="center" wrapText="1" indent="2"/>
    </xf>
    <xf numFmtId="0" fontId="5" fillId="0" borderId="1" xfId="0" applyFont="1" applyBorder="1" applyAlignment="1">
      <alignment horizontal="left" vertical="center" wrapText="1" indent="3"/>
    </xf>
    <xf numFmtId="0" fontId="4" fillId="0" borderId="1" xfId="0" applyFont="1" applyBorder="1" applyAlignment="1">
      <alignment vertical="center" wrapText="1"/>
    </xf>
    <xf numFmtId="167" fontId="5" fillId="0" borderId="2" xfId="0" applyNumberFormat="1" applyFont="1" applyBorder="1" applyAlignment="1">
      <alignment vertical="center" wrapText="1"/>
    </xf>
    <xf numFmtId="173" fontId="29" fillId="21" borderId="2" xfId="1" applyNumberFormat="1" applyFont="1" applyFill="1" applyBorder="1" applyAlignment="1">
      <alignment horizontal="center" wrapText="1"/>
    </xf>
    <xf numFmtId="0" fontId="10" fillId="11" borderId="18" xfId="0" applyFont="1" applyFill="1" applyBorder="1" applyAlignment="1">
      <alignment horizontal="center" vertical="top" wrapText="1"/>
    </xf>
    <xf numFmtId="0" fontId="10" fillId="11" borderId="2" xfId="0" applyFont="1" applyFill="1" applyBorder="1" applyAlignment="1">
      <alignment horizontal="center" vertical="top" wrapText="1"/>
    </xf>
    <xf numFmtId="0" fontId="9" fillId="0" borderId="20" xfId="0" applyFont="1" applyBorder="1" applyAlignment="1">
      <alignment horizontal="center"/>
    </xf>
    <xf numFmtId="0" fontId="9" fillId="0" borderId="23" xfId="0" applyFont="1" applyBorder="1" applyAlignment="1">
      <alignment horizontal="center"/>
    </xf>
    <xf numFmtId="0" fontId="9" fillId="0" borderId="24" xfId="0" applyFont="1" applyBorder="1" applyAlignment="1">
      <alignment horizontal="center"/>
    </xf>
    <xf numFmtId="0" fontId="9" fillId="0" borderId="2" xfId="0" applyFont="1" applyBorder="1" applyAlignment="1">
      <alignment horizontal="center"/>
    </xf>
    <xf numFmtId="0" fontId="8" fillId="0" borderId="21" xfId="0" applyFont="1" applyBorder="1" applyAlignment="1">
      <alignment horizontal="center"/>
    </xf>
    <xf numFmtId="0" fontId="14" fillId="13" borderId="2" xfId="0" applyFont="1" applyFill="1" applyBorder="1" applyAlignment="1">
      <alignment horizontal="center" vertical="center"/>
    </xf>
    <xf numFmtId="0" fontId="31" fillId="21" borderId="2" xfId="0" applyFont="1" applyFill="1" applyBorder="1" applyAlignment="1">
      <alignment horizontal="center" vertical="center" wrapText="1"/>
    </xf>
  </cellXfs>
  <cellStyles count="5">
    <cellStyle name="BodyStyle" xfId="2" xr:uid="{00000000-0005-0000-0000-000006000000}"/>
    <cellStyle name="Millares" xfId="1" builtinId="3"/>
    <cellStyle name="Moneda" xfId="3" builtinId="4"/>
    <cellStyle name="Normal" xfId="0" builtinId="0"/>
    <cellStyle name="Porcentaje" xfId="4"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7F6000"/>
      <rgbColor rgb="FF800080"/>
      <rgbColor rgb="FF2E75B6"/>
      <rgbColor rgb="FFD6DCE4"/>
      <rgbColor rgb="FF808080"/>
      <rgbColor rgb="FF9999FF"/>
      <rgbColor rgb="FF993366"/>
      <rgbColor rgb="FFFFF2CC"/>
      <rgbColor rgb="FFDAE9F8"/>
      <rgbColor rgb="FF660066"/>
      <rgbColor rgb="FFFF8080"/>
      <rgbColor rgb="FF0563C1"/>
      <rgbColor rgb="FFBDD7EE"/>
      <rgbColor rgb="FF000080"/>
      <rgbColor rgb="FFFF00FF"/>
      <rgbColor rgb="FFFFFF00"/>
      <rgbColor rgb="FF00FFFF"/>
      <rgbColor rgb="FF800080"/>
      <rgbColor rgb="FF800000"/>
      <rgbColor rgb="FF008080"/>
      <rgbColor rgb="FF0000FF"/>
      <rgbColor rgb="FF00CCFF"/>
      <rgbColor rgb="FFEBEEF2"/>
      <rgbColor rgb="FFE2EFDA"/>
      <rgbColor rgb="FFF2F2F2"/>
      <rgbColor rgb="FF99CCFF"/>
      <rgbColor rgb="FFFF99CC"/>
      <rgbColor rgb="FFCC99FF"/>
      <rgbColor rgb="FFF1F1F1"/>
      <rgbColor rgb="FF4472C4"/>
      <rgbColor rgb="FF33CCCC"/>
      <rgbColor rgb="FF92D050"/>
      <rgbColor rgb="FFFCB913"/>
      <rgbColor rgb="FFFF9900"/>
      <rgbColor rgb="FFFF6600"/>
      <rgbColor rgb="FF666699"/>
      <rgbColor rgb="FF969696"/>
      <rgbColor rgb="FF002060"/>
      <rgbColor rgb="FF339966"/>
      <rgbColor rgb="FF003300"/>
      <rgbColor rgb="FF333300"/>
      <rgbColor rgb="FF993300"/>
      <rgbColor rgb="FF993366"/>
      <rgbColor rgb="FF333399"/>
      <rgbColor rgb="FF1F3864"/>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39"/>
  <sheetViews>
    <sheetView tabSelected="1" zoomScale="60" zoomScaleNormal="60" workbookViewId="0">
      <selection activeCell="D33" sqref="D33"/>
    </sheetView>
  </sheetViews>
  <sheetFormatPr baseColWidth="10" defaultColWidth="11.44140625" defaultRowHeight="12"/>
  <cols>
    <col min="1" max="1" width="55.88671875" style="74" customWidth="1"/>
    <col min="2" max="2" width="13.44140625" style="74" customWidth="1"/>
    <col min="3" max="4" width="20" style="74" customWidth="1"/>
    <col min="5" max="5" width="18" style="74" customWidth="1"/>
    <col min="6" max="6" width="16.5546875" style="74" customWidth="1"/>
    <col min="7" max="7" width="18" style="74" customWidth="1"/>
    <col min="8" max="8" width="18.109375" style="74" customWidth="1"/>
    <col min="9" max="10" width="18" style="74" customWidth="1"/>
    <col min="11" max="13" width="21" style="74" customWidth="1"/>
    <col min="14" max="14" width="20.77734375" style="74" customWidth="1"/>
    <col min="15" max="15" width="21.88671875" style="74" customWidth="1"/>
    <col min="16" max="16" width="27" style="74" customWidth="1"/>
    <col min="17" max="16384" width="11.44140625" style="75"/>
  </cols>
  <sheetData>
    <row r="1" spans="1:17" ht="30" customHeight="1">
      <c r="A1" s="130" t="s">
        <v>0</v>
      </c>
      <c r="B1" s="130"/>
      <c r="C1" s="130"/>
      <c r="D1" s="130"/>
      <c r="E1" s="130"/>
      <c r="F1" s="130"/>
      <c r="G1" s="130"/>
      <c r="H1" s="130"/>
      <c r="I1" s="130"/>
    </row>
    <row r="2" spans="1:17" ht="25.5" customHeight="1">
      <c r="A2" s="130" t="s">
        <v>1</v>
      </c>
      <c r="B2" s="130"/>
      <c r="C2" s="130"/>
      <c r="D2" s="130"/>
      <c r="E2" s="130"/>
      <c r="F2" s="130"/>
      <c r="G2" s="130"/>
      <c r="H2" s="130"/>
      <c r="I2" s="130"/>
    </row>
    <row r="3" spans="1:17" ht="25.5" customHeight="1">
      <c r="A3" s="76"/>
    </row>
    <row r="4" spans="1:17" ht="25.5" customHeight="1">
      <c r="A4" s="131" t="s">
        <v>2</v>
      </c>
      <c r="B4" s="132"/>
      <c r="C4" s="132"/>
      <c r="D4" s="132"/>
      <c r="E4" s="132"/>
      <c r="F4" s="132"/>
      <c r="G4" s="132"/>
      <c r="H4" s="132"/>
      <c r="I4" s="133"/>
      <c r="J4" s="77"/>
      <c r="K4" s="77"/>
      <c r="L4" s="77"/>
      <c r="M4" s="77"/>
      <c r="N4" s="77"/>
    </row>
    <row r="5" spans="1:17" ht="44.25" customHeight="1">
      <c r="A5" s="62" t="s">
        <v>3</v>
      </c>
      <c r="B5" s="62" t="s">
        <v>151</v>
      </c>
      <c r="C5" s="62" t="s">
        <v>4</v>
      </c>
      <c r="D5" s="63" t="s">
        <v>5</v>
      </c>
      <c r="E5" s="63" t="s">
        <v>141</v>
      </c>
      <c r="F5" s="64" t="s">
        <v>142</v>
      </c>
      <c r="G5" s="63" t="s">
        <v>6</v>
      </c>
      <c r="H5" s="63" t="s">
        <v>143</v>
      </c>
      <c r="I5" s="63" t="s">
        <v>7</v>
      </c>
    </row>
    <row r="6" spans="1:17" ht="25.5" customHeight="1">
      <c r="A6" s="65" t="s">
        <v>148</v>
      </c>
      <c r="B6" s="79">
        <v>2026</v>
      </c>
      <c r="C6" s="65">
        <v>10.210000000000001</v>
      </c>
      <c r="D6" s="80">
        <v>1750905</v>
      </c>
      <c r="E6" s="65">
        <v>0.47589999999999999</v>
      </c>
      <c r="F6" s="65">
        <v>13</v>
      </c>
      <c r="G6" s="66">
        <f>D6*C6</f>
        <v>17876740.050000001</v>
      </c>
      <c r="H6" s="66">
        <f>(D6*C6)*E6/F6*12</f>
        <v>7853114.3905800004</v>
      </c>
      <c r="I6" s="66">
        <f>H6*E9/C9</f>
        <v>5235409.5937200002</v>
      </c>
    </row>
    <row r="7" spans="1:17" ht="25.5" customHeight="1">
      <c r="A7" s="65" t="s">
        <v>175</v>
      </c>
      <c r="B7" s="79">
        <v>2027</v>
      </c>
      <c r="C7" s="65">
        <v>10.38</v>
      </c>
      <c r="D7" s="80">
        <f>+(D6*10%)+D6</f>
        <v>1925995.5</v>
      </c>
      <c r="E7" s="65">
        <v>0.47589999999999999</v>
      </c>
      <c r="F7" s="65">
        <v>13</v>
      </c>
      <c r="G7" s="66">
        <f>D7*C7</f>
        <v>19991833.290000003</v>
      </c>
      <c r="H7" s="66">
        <f>(D7*C7)*E7/F7*12</f>
        <v>8782258.5809640009</v>
      </c>
      <c r="I7" s="66">
        <f>H7*E9/C9</f>
        <v>5854839.0539760003</v>
      </c>
    </row>
    <row r="8" spans="1:17" ht="25.5" customHeight="1">
      <c r="A8" s="76"/>
      <c r="F8" s="82"/>
      <c r="G8" s="81"/>
      <c r="H8" s="81"/>
    </row>
    <row r="9" spans="1:17" ht="25.5" customHeight="1">
      <c r="A9" s="76"/>
      <c r="B9" s="63" t="s">
        <v>144</v>
      </c>
      <c r="C9" s="67">
        <v>30</v>
      </c>
      <c r="D9" s="63" t="s">
        <v>145</v>
      </c>
      <c r="E9" s="67">
        <v>20</v>
      </c>
      <c r="F9" s="63" t="s">
        <v>146</v>
      </c>
      <c r="G9" s="67">
        <v>18</v>
      </c>
      <c r="H9" s="106"/>
      <c r="I9" s="105"/>
    </row>
    <row r="10" spans="1:17" ht="24.75" customHeight="1">
      <c r="I10" s="83"/>
      <c r="J10" s="83"/>
      <c r="M10" s="75"/>
      <c r="N10" s="75"/>
    </row>
    <row r="11" spans="1:17" ht="30" customHeight="1">
      <c r="A11" s="82"/>
      <c r="C11" s="99" t="s">
        <v>160</v>
      </c>
      <c r="D11" s="100">
        <v>564496614</v>
      </c>
      <c r="I11" s="81"/>
      <c r="J11" s="84"/>
    </row>
    <row r="12" spans="1:17" ht="30.6" customHeight="1">
      <c r="C12" s="99" t="s">
        <v>157</v>
      </c>
      <c r="D12" s="100">
        <f>+N21+N32</f>
        <v>520264737.08605343</v>
      </c>
      <c r="E12" s="103"/>
      <c r="F12" s="104"/>
      <c r="G12" s="103"/>
      <c r="H12" s="104"/>
    </row>
    <row r="13" spans="1:17" ht="51.6" customHeight="1">
      <c r="C13" s="97" t="s">
        <v>158</v>
      </c>
      <c r="D13" s="100">
        <f>N24+N35</f>
        <v>43686718.32</v>
      </c>
      <c r="E13" s="103"/>
      <c r="F13" s="101"/>
      <c r="G13" s="82"/>
      <c r="H13" s="85"/>
    </row>
    <row r="14" spans="1:17" ht="20.55" customHeight="1">
      <c r="C14" s="97" t="s">
        <v>159</v>
      </c>
      <c r="D14" s="100">
        <f>+D12+D13</f>
        <v>563951455.40605342</v>
      </c>
      <c r="F14" s="98"/>
      <c r="H14" s="85"/>
    </row>
    <row r="15" spans="1:17" ht="15" customHeight="1">
      <c r="C15" s="85"/>
    </row>
    <row r="16" spans="1:17" ht="25.5" customHeight="1">
      <c r="A16" s="128" t="s">
        <v>165</v>
      </c>
      <c r="B16" s="129"/>
      <c r="C16" s="129"/>
      <c r="D16" s="129"/>
      <c r="E16" s="129"/>
      <c r="F16" s="129"/>
      <c r="G16" s="129"/>
      <c r="H16" s="129"/>
      <c r="I16" s="129"/>
      <c r="J16" s="129"/>
      <c r="K16" s="129"/>
      <c r="L16" s="129"/>
      <c r="M16" s="129"/>
      <c r="N16" s="129"/>
      <c r="P16" s="83"/>
      <c r="Q16" s="74"/>
    </row>
    <row r="17" spans="1:18" ht="54.75" customHeight="1">
      <c r="A17" s="63" t="s">
        <v>8</v>
      </c>
      <c r="B17" s="63" t="s">
        <v>147</v>
      </c>
      <c r="C17" s="63" t="s">
        <v>166</v>
      </c>
      <c r="D17" s="63" t="s">
        <v>149</v>
      </c>
      <c r="E17" s="63" t="s">
        <v>9</v>
      </c>
      <c r="F17" s="63" t="s">
        <v>10</v>
      </c>
      <c r="G17" s="63" t="s">
        <v>181</v>
      </c>
      <c r="H17" s="63" t="s">
        <v>182</v>
      </c>
      <c r="I17" s="63" t="s">
        <v>183</v>
      </c>
      <c r="J17" s="63" t="s">
        <v>184</v>
      </c>
      <c r="K17" s="63" t="s">
        <v>12</v>
      </c>
      <c r="L17" s="63" t="s">
        <v>13</v>
      </c>
      <c r="M17" s="63" t="s">
        <v>14</v>
      </c>
      <c r="N17" s="63" t="s">
        <v>15</v>
      </c>
      <c r="P17" s="83"/>
      <c r="Q17" s="74"/>
    </row>
    <row r="18" spans="1:18" ht="69.75" customHeight="1">
      <c r="A18" s="68" t="s">
        <v>16</v>
      </c>
      <c r="B18" s="86">
        <v>3</v>
      </c>
      <c r="C18" s="86"/>
      <c r="D18" s="86">
        <v>5</v>
      </c>
      <c r="E18" s="69">
        <f>+G6</f>
        <v>17876740.050000001</v>
      </c>
      <c r="F18" s="70">
        <v>2280.8333333333335</v>
      </c>
      <c r="G18" s="70">
        <f>+((E18+F18)*B18)*D18</f>
        <v>268185313.25</v>
      </c>
      <c r="H18" s="118">
        <v>0.1</v>
      </c>
      <c r="I18" s="70">
        <f>G18*H18</f>
        <v>26818531.325000003</v>
      </c>
      <c r="J18" s="69">
        <f>+G18+I18</f>
        <v>295003844.57499999</v>
      </c>
      <c r="K18" s="72">
        <v>0.1</v>
      </c>
      <c r="L18" s="71">
        <f>+J18*K18</f>
        <v>29500384.4575</v>
      </c>
      <c r="M18" s="71">
        <f>+L18*19%</f>
        <v>5605073.0469249999</v>
      </c>
      <c r="N18" s="69">
        <f>+J18+L18+M18</f>
        <v>330109302.07942498</v>
      </c>
      <c r="P18" s="83"/>
      <c r="Q18" s="74"/>
    </row>
    <row r="19" spans="1:18" ht="69.75" customHeight="1">
      <c r="A19" s="68" t="s">
        <v>17</v>
      </c>
      <c r="B19" s="102">
        <v>2</v>
      </c>
      <c r="C19" s="86"/>
      <c r="D19" s="86">
        <v>5</v>
      </c>
      <c r="E19" s="69">
        <f>+H6</f>
        <v>7853114.3905800004</v>
      </c>
      <c r="F19" s="70">
        <v>2280.8333333333335</v>
      </c>
      <c r="G19" s="70">
        <f>+((E19+F19)*B19)*D19</f>
        <v>78553952.239133328</v>
      </c>
      <c r="H19" s="118">
        <v>0.1</v>
      </c>
      <c r="I19" s="70">
        <f t="shared" ref="I19:I20" si="0">G19*H19</f>
        <v>7855395.2239133334</v>
      </c>
      <c r="J19" s="69">
        <f>G19+I19</f>
        <v>86409347.463046655</v>
      </c>
      <c r="K19" s="72">
        <v>0.1</v>
      </c>
      <c r="L19" s="71">
        <f>J19*K19</f>
        <v>8640934.7463046666</v>
      </c>
      <c r="M19" s="71">
        <f>L19*19%</f>
        <v>1641777.6017978867</v>
      </c>
      <c r="N19" s="69">
        <f>J19+L19+M19</f>
        <v>96692059.81114921</v>
      </c>
      <c r="P19" s="83"/>
      <c r="Q19" s="74"/>
    </row>
    <row r="20" spans="1:18" ht="69.75" customHeight="1">
      <c r="A20" s="68" t="s">
        <v>164</v>
      </c>
      <c r="B20" s="102">
        <v>1</v>
      </c>
      <c r="C20" s="86"/>
      <c r="D20" s="86">
        <v>5</v>
      </c>
      <c r="E20" s="69">
        <f>I6</f>
        <v>5235409.5937200002</v>
      </c>
      <c r="F20" s="70">
        <v>2280.8333333333335</v>
      </c>
      <c r="G20" s="70">
        <f>+((E20+F20)*B20)*D20</f>
        <v>26188452.135266665</v>
      </c>
      <c r="H20" s="118">
        <v>0.08</v>
      </c>
      <c r="I20" s="70">
        <f t="shared" si="0"/>
        <v>2095076.1708213333</v>
      </c>
      <c r="J20" s="69">
        <f>G20+I20</f>
        <v>28283528.306088001</v>
      </c>
      <c r="K20" s="72">
        <v>0.1</v>
      </c>
      <c r="L20" s="71">
        <f>J20*K20</f>
        <v>2828352.8306088001</v>
      </c>
      <c r="M20" s="71">
        <f>L20*19%</f>
        <v>537387.037815672</v>
      </c>
      <c r="N20" s="69">
        <f>J20+L20+M20</f>
        <v>31649268.174512472</v>
      </c>
      <c r="Q20" s="74"/>
    </row>
    <row r="21" spans="1:18">
      <c r="A21" s="125" t="s">
        <v>150</v>
      </c>
      <c r="B21" s="126"/>
      <c r="C21" s="126"/>
      <c r="D21" s="126"/>
      <c r="E21" s="126"/>
      <c r="F21" s="126"/>
      <c r="G21" s="126"/>
      <c r="H21" s="126"/>
      <c r="I21" s="126"/>
      <c r="J21" s="126"/>
      <c r="K21" s="126"/>
      <c r="L21" s="126"/>
      <c r="M21" s="127"/>
      <c r="N21" s="87">
        <f>SUM(N18:N20)</f>
        <v>458450630.06508666</v>
      </c>
    </row>
    <row r="22" spans="1:18" ht="59.4" customHeight="1">
      <c r="A22" s="63" t="s">
        <v>179</v>
      </c>
      <c r="B22" s="63" t="s">
        <v>185</v>
      </c>
      <c r="C22" s="63" t="s">
        <v>166</v>
      </c>
      <c r="D22" s="63" t="s">
        <v>149</v>
      </c>
      <c r="E22" s="63" t="s">
        <v>167</v>
      </c>
      <c r="F22" s="63"/>
      <c r="G22" s="63" t="s">
        <v>186</v>
      </c>
      <c r="H22" s="63"/>
      <c r="I22" s="63"/>
      <c r="J22" s="63"/>
      <c r="K22" s="63"/>
      <c r="L22" s="63"/>
      <c r="M22" s="63" t="s">
        <v>187</v>
      </c>
      <c r="N22" s="63" t="s">
        <v>15</v>
      </c>
      <c r="Q22" s="74"/>
    </row>
    <row r="23" spans="1:18" ht="61.8" customHeight="1">
      <c r="A23" s="73" t="s">
        <v>168</v>
      </c>
      <c r="B23" s="88" t="s">
        <v>152</v>
      </c>
      <c r="C23" s="88">
        <v>150</v>
      </c>
      <c r="D23" s="88"/>
      <c r="E23" s="69">
        <v>218521</v>
      </c>
      <c r="F23" s="89"/>
      <c r="G23" s="70">
        <f>+C23*E23</f>
        <v>32778150</v>
      </c>
      <c r="H23" s="70"/>
      <c r="I23" s="71"/>
      <c r="J23" s="69"/>
      <c r="K23" s="89"/>
      <c r="L23" s="89"/>
      <c r="M23" s="71">
        <f>+G23*19%</f>
        <v>6227848.5</v>
      </c>
      <c r="N23" s="90">
        <f>+G23+M23</f>
        <v>39005998.5</v>
      </c>
      <c r="Q23" s="74"/>
    </row>
    <row r="24" spans="1:18" ht="32.4" customHeight="1">
      <c r="A24" s="125" t="s">
        <v>153</v>
      </c>
      <c r="B24" s="126"/>
      <c r="C24" s="126"/>
      <c r="D24" s="126"/>
      <c r="E24" s="126"/>
      <c r="F24" s="126"/>
      <c r="G24" s="126"/>
      <c r="H24" s="126"/>
      <c r="I24" s="126"/>
      <c r="J24" s="126"/>
      <c r="K24" s="126"/>
      <c r="L24" s="126"/>
      <c r="M24" s="127"/>
      <c r="N24" s="87">
        <f>+N23</f>
        <v>39005998.5</v>
      </c>
      <c r="Q24" s="74"/>
    </row>
    <row r="25" spans="1:18" ht="37.200000000000003" customHeight="1">
      <c r="J25" s="122" t="s">
        <v>155</v>
      </c>
      <c r="K25" s="123"/>
      <c r="L25" s="123"/>
      <c r="M25" s="124"/>
      <c r="N25" s="91">
        <f>N21+N24</f>
        <v>497456628.56508666</v>
      </c>
      <c r="Q25" s="74"/>
    </row>
    <row r="26" spans="1:18" ht="15" customHeight="1">
      <c r="A26" s="92"/>
      <c r="B26" s="92"/>
      <c r="C26" s="92"/>
      <c r="D26" s="92"/>
      <c r="E26" s="92"/>
      <c r="F26" s="92"/>
      <c r="G26" s="92"/>
      <c r="H26" s="93"/>
      <c r="I26" s="93"/>
      <c r="J26" s="93"/>
      <c r="K26" s="94"/>
      <c r="L26" s="94"/>
      <c r="M26" s="94"/>
      <c r="N26" s="92"/>
    </row>
    <row r="27" spans="1:18" ht="27.75" customHeight="1">
      <c r="A27" s="128" t="s">
        <v>180</v>
      </c>
      <c r="B27" s="129"/>
      <c r="C27" s="129"/>
      <c r="D27" s="129"/>
      <c r="E27" s="129"/>
      <c r="F27" s="129"/>
      <c r="G27" s="129"/>
      <c r="H27" s="129"/>
      <c r="I27" s="129"/>
      <c r="J27" s="129"/>
      <c r="K27" s="129"/>
      <c r="L27" s="129"/>
      <c r="M27" s="129"/>
      <c r="N27" s="129"/>
      <c r="Q27" s="74"/>
      <c r="R27" s="74"/>
    </row>
    <row r="28" spans="1:18" ht="60" customHeight="1">
      <c r="A28" s="63" t="s">
        <v>8</v>
      </c>
      <c r="B28" s="63" t="s">
        <v>147</v>
      </c>
      <c r="C28" s="63" t="s">
        <v>174</v>
      </c>
      <c r="D28" s="63" t="s">
        <v>149</v>
      </c>
      <c r="E28" s="63" t="s">
        <v>169</v>
      </c>
      <c r="F28" s="63" t="s">
        <v>188</v>
      </c>
      <c r="G28" s="63" t="s">
        <v>161</v>
      </c>
      <c r="H28" s="63" t="s">
        <v>182</v>
      </c>
      <c r="I28" s="63" t="s">
        <v>183</v>
      </c>
      <c r="J28" s="63" t="s">
        <v>11</v>
      </c>
      <c r="K28" s="63" t="s">
        <v>12</v>
      </c>
      <c r="L28" s="63" t="s">
        <v>18</v>
      </c>
      <c r="M28" s="63" t="s">
        <v>14</v>
      </c>
      <c r="N28" s="63" t="s">
        <v>162</v>
      </c>
      <c r="Q28" s="74"/>
      <c r="R28" s="74"/>
    </row>
    <row r="29" spans="1:18" ht="36">
      <c r="A29" s="68" t="s">
        <v>176</v>
      </c>
      <c r="B29" s="86">
        <v>3</v>
      </c>
      <c r="C29" s="86">
        <f>+G9</f>
        <v>18</v>
      </c>
      <c r="D29" s="86"/>
      <c r="E29" s="69">
        <f>G7/30</f>
        <v>666394.44300000009</v>
      </c>
      <c r="F29" s="70">
        <v>2280.8333333333335</v>
      </c>
      <c r="G29" s="70">
        <f>+((E29+F29)*B29)*C29</f>
        <v>36108464.922000006</v>
      </c>
      <c r="H29" s="118">
        <v>0.1</v>
      </c>
      <c r="I29" s="71">
        <f>G29*H29</f>
        <v>3610846.4922000007</v>
      </c>
      <c r="J29" s="69">
        <f>+G29+I29</f>
        <v>39719311.414200008</v>
      </c>
      <c r="K29" s="72">
        <v>0.1</v>
      </c>
      <c r="L29" s="71">
        <f>+J29*K29</f>
        <v>3971931.1414200012</v>
      </c>
      <c r="M29" s="71">
        <f>+L29*19%</f>
        <v>754666.91686980019</v>
      </c>
      <c r="N29" s="69">
        <f>+J29+L29+M29</f>
        <v>44445909.472489804</v>
      </c>
      <c r="Q29" s="74"/>
      <c r="R29" s="74"/>
    </row>
    <row r="30" spans="1:18" ht="36">
      <c r="A30" s="68" t="s">
        <v>177</v>
      </c>
      <c r="B30" s="102">
        <v>2</v>
      </c>
      <c r="C30" s="86">
        <f>+G9</f>
        <v>18</v>
      </c>
      <c r="D30" s="86"/>
      <c r="E30" s="69">
        <f>+H7/30</f>
        <v>292741.95269880001</v>
      </c>
      <c r="F30" s="70">
        <v>2280.8333333333335</v>
      </c>
      <c r="G30" s="70">
        <f>+((E30+F30)*B30)*C30</f>
        <v>10620820.2971568</v>
      </c>
      <c r="H30" s="118">
        <v>0.1</v>
      </c>
      <c r="I30" s="71">
        <f t="shared" ref="I30:I31" si="1">G30*H30</f>
        <v>1062082.0297156801</v>
      </c>
      <c r="J30" s="69">
        <f>G30+I30</f>
        <v>11682902.326872479</v>
      </c>
      <c r="K30" s="72">
        <v>0.1</v>
      </c>
      <c r="L30" s="71">
        <f>J30*K30</f>
        <v>1168290.2326872479</v>
      </c>
      <c r="M30" s="71">
        <f>L30*19%</f>
        <v>221975.1442105771</v>
      </c>
      <c r="N30" s="69">
        <f>J30+L30+M30</f>
        <v>13073167.703770304</v>
      </c>
      <c r="Q30" s="74"/>
      <c r="R30" s="74"/>
    </row>
    <row r="31" spans="1:18" ht="64.2" customHeight="1">
      <c r="A31" s="68" t="s">
        <v>178</v>
      </c>
      <c r="B31" s="102">
        <v>1</v>
      </c>
      <c r="C31" s="86">
        <f>+G9</f>
        <v>18</v>
      </c>
      <c r="D31" s="86"/>
      <c r="E31" s="69">
        <f>+I7/30</f>
        <v>195161.30179920001</v>
      </c>
      <c r="F31" s="70">
        <v>2280.8333333333335</v>
      </c>
      <c r="G31" s="70">
        <f>+((E31+F31)*B31)*C31</f>
        <v>3553958.4323856002</v>
      </c>
      <c r="H31" s="118">
        <v>0.08</v>
      </c>
      <c r="I31" s="71">
        <f t="shared" si="1"/>
        <v>284316.67459084804</v>
      </c>
      <c r="J31" s="69">
        <f>G31+I31</f>
        <v>3838275.1069764481</v>
      </c>
      <c r="K31" s="72">
        <v>0.1</v>
      </c>
      <c r="L31" s="71">
        <f>J31*K31</f>
        <v>383827.51069764484</v>
      </c>
      <c r="M31" s="71">
        <f>L31*19%</f>
        <v>72927.227032552517</v>
      </c>
      <c r="N31" s="69">
        <f>J31+L31+M31</f>
        <v>4295029.8447066452</v>
      </c>
      <c r="Q31" s="74"/>
      <c r="R31" s="74"/>
    </row>
    <row r="32" spans="1:18">
      <c r="A32" s="125" t="s">
        <v>156</v>
      </c>
      <c r="B32" s="126"/>
      <c r="C32" s="126"/>
      <c r="D32" s="126"/>
      <c r="E32" s="126"/>
      <c r="F32" s="126"/>
      <c r="G32" s="126"/>
      <c r="H32" s="126"/>
      <c r="I32" s="126"/>
      <c r="J32" s="126"/>
      <c r="K32" s="126"/>
      <c r="L32" s="126"/>
      <c r="M32" s="127"/>
      <c r="N32" s="87">
        <f>SUM(N29:N31)</f>
        <v>61814107.020966753</v>
      </c>
      <c r="Q32" s="74"/>
      <c r="R32" s="74"/>
    </row>
    <row r="33" spans="1:18" ht="63" customHeight="1">
      <c r="A33" s="63" t="s">
        <v>179</v>
      </c>
      <c r="B33" s="63" t="s">
        <v>185</v>
      </c>
      <c r="C33" s="63" t="s">
        <v>174</v>
      </c>
      <c r="D33" s="63" t="s">
        <v>149</v>
      </c>
      <c r="E33" s="63" t="s">
        <v>167</v>
      </c>
      <c r="F33" s="63"/>
      <c r="G33" s="63" t="s">
        <v>186</v>
      </c>
      <c r="H33" s="63"/>
      <c r="I33" s="63"/>
      <c r="J33" s="63"/>
      <c r="K33" s="63"/>
      <c r="L33" s="63"/>
      <c r="M33" s="63" t="s">
        <v>187</v>
      </c>
      <c r="N33" s="63" t="s">
        <v>15</v>
      </c>
      <c r="Q33" s="74"/>
      <c r="R33" s="74"/>
    </row>
    <row r="34" spans="1:18" ht="51.6" customHeight="1">
      <c r="A34" s="73" t="s">
        <v>168</v>
      </c>
      <c r="B34" s="88" t="s">
        <v>152</v>
      </c>
      <c r="C34" s="88">
        <f>+G9</f>
        <v>18</v>
      </c>
      <c r="D34" s="88"/>
      <c r="E34" s="70">
        <v>218521</v>
      </c>
      <c r="F34" s="69"/>
      <c r="G34" s="70">
        <f>+C34*E34</f>
        <v>3933378</v>
      </c>
      <c r="H34" s="70"/>
      <c r="I34" s="70"/>
      <c r="J34" s="71"/>
      <c r="K34" s="69"/>
      <c r="L34" s="89"/>
      <c r="M34" s="71">
        <f>+G34*19%</f>
        <v>747341.82000000007</v>
      </c>
      <c r="N34" s="90">
        <f>+G34+M34</f>
        <v>4680719.82</v>
      </c>
      <c r="O34" s="95"/>
      <c r="Q34" s="74"/>
      <c r="R34" s="74"/>
    </row>
    <row r="35" spans="1:18" ht="30" customHeight="1">
      <c r="A35" s="119" t="s">
        <v>154</v>
      </c>
      <c r="B35" s="120"/>
      <c r="C35" s="120"/>
      <c r="D35" s="120"/>
      <c r="E35" s="120"/>
      <c r="F35" s="120"/>
      <c r="G35" s="120"/>
      <c r="H35" s="120"/>
      <c r="I35" s="120"/>
      <c r="J35" s="120"/>
      <c r="K35" s="120"/>
      <c r="L35" s="120"/>
      <c r="M35" s="121"/>
      <c r="N35" s="96">
        <f>+N34</f>
        <v>4680719.82</v>
      </c>
      <c r="Q35" s="74"/>
      <c r="R35" s="74"/>
    </row>
    <row r="36" spans="1:18" ht="43.8" customHeight="1">
      <c r="J36" s="122" t="s">
        <v>163</v>
      </c>
      <c r="K36" s="123"/>
      <c r="L36" s="123"/>
      <c r="M36" s="124"/>
      <c r="N36" s="91">
        <f>N32+N35</f>
        <v>66494826.840966754</v>
      </c>
      <c r="P36" s="78"/>
      <c r="Q36" s="78"/>
      <c r="R36" s="78"/>
    </row>
    <row r="37" spans="1:18" ht="27.75" customHeight="1">
      <c r="O37" s="78"/>
      <c r="P37" s="78"/>
    </row>
    <row r="38" spans="1:18" ht="27.75" customHeight="1">
      <c r="O38" s="78"/>
      <c r="P38" s="78"/>
    </row>
    <row r="39" spans="1:18" ht="27.75" customHeight="1"/>
  </sheetData>
  <mergeCells count="11">
    <mergeCell ref="A16:N16"/>
    <mergeCell ref="A27:N27"/>
    <mergeCell ref="A32:M32"/>
    <mergeCell ref="A1:I1"/>
    <mergeCell ref="A4:I4"/>
    <mergeCell ref="A2:I2"/>
    <mergeCell ref="A35:M35"/>
    <mergeCell ref="J36:M36"/>
    <mergeCell ref="A24:M24"/>
    <mergeCell ref="A21:M21"/>
    <mergeCell ref="J25:M25"/>
  </mergeCells>
  <pageMargins left="0.39374999999999999" right="0.39374999999999999" top="0.78749999999999998" bottom="0.78749999999999998" header="0.511811023622047" footer="0.39374999999999999"/>
  <pageSetup scale="50" orientation="landscape" horizontalDpi="300" verticalDpi="300" r:id="rId1"/>
  <headerFooter>
    <oddFooter>&amp;LArchivo: &amp;F&amp;RPág.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67"/>
  <sheetViews>
    <sheetView topLeftCell="A46" zoomScale="50" zoomScaleNormal="50" workbookViewId="0">
      <selection activeCell="C57" sqref="C57"/>
    </sheetView>
  </sheetViews>
  <sheetFormatPr baseColWidth="10" defaultColWidth="11.44140625" defaultRowHeight="14.4"/>
  <cols>
    <col min="1" max="1" width="19.109375" style="1" customWidth="1"/>
    <col min="2" max="2" width="14.5546875" style="1" customWidth="1"/>
    <col min="3" max="3" width="26.33203125" style="2" customWidth="1"/>
    <col min="4" max="4" width="46.88671875" style="3" customWidth="1"/>
    <col min="5" max="9" width="20.109375" style="1" customWidth="1"/>
    <col min="10" max="10" width="20.5546875" style="1" customWidth="1"/>
    <col min="11" max="11" width="24.88671875" style="1" customWidth="1"/>
    <col min="12" max="12" width="26.6640625" style="1" customWidth="1"/>
    <col min="14" max="14" width="13.6640625" style="1" customWidth="1"/>
  </cols>
  <sheetData>
    <row r="1" spans="1:14" ht="21" customHeight="1">
      <c r="A1" s="134" t="s">
        <v>19</v>
      </c>
      <c r="B1" s="134"/>
      <c r="C1" s="134"/>
      <c r="D1" s="134"/>
      <c r="E1" s="134"/>
      <c r="F1" s="134"/>
      <c r="G1" s="134"/>
      <c r="H1" s="134"/>
      <c r="I1" s="134"/>
      <c r="J1" s="134"/>
      <c r="K1" s="134"/>
      <c r="L1" s="134"/>
    </row>
    <row r="2" spans="1:14" ht="21" customHeight="1">
      <c r="A2" s="135" t="s">
        <v>20</v>
      </c>
      <c r="B2" s="135"/>
      <c r="C2" s="135"/>
      <c r="D2" s="135"/>
      <c r="E2" s="135"/>
      <c r="F2" s="135"/>
      <c r="G2" s="135"/>
      <c r="H2" s="135"/>
      <c r="I2" s="135"/>
      <c r="J2" s="135"/>
      <c r="K2" s="135"/>
      <c r="L2" s="135"/>
    </row>
    <row r="3" spans="1:14" ht="15" customHeight="1">
      <c r="A3" s="136" t="s">
        <v>21</v>
      </c>
      <c r="B3" s="136" t="s">
        <v>22</v>
      </c>
      <c r="C3" s="136" t="s">
        <v>23</v>
      </c>
      <c r="D3" s="136" t="s">
        <v>24</v>
      </c>
      <c r="E3" s="136">
        <v>2021</v>
      </c>
      <c r="F3" s="136" t="s">
        <v>25</v>
      </c>
      <c r="G3" s="136" t="s">
        <v>26</v>
      </c>
      <c r="H3" s="136" t="s">
        <v>27</v>
      </c>
      <c r="I3" s="136" t="s">
        <v>28</v>
      </c>
      <c r="J3" s="136" t="s">
        <v>29</v>
      </c>
      <c r="K3" s="136" t="s">
        <v>30</v>
      </c>
      <c r="L3" s="136" t="s">
        <v>29</v>
      </c>
    </row>
    <row r="4" spans="1:14" ht="15" customHeight="1">
      <c r="A4" s="136"/>
      <c r="B4" s="136"/>
      <c r="C4" s="136"/>
      <c r="D4" s="136"/>
      <c r="E4" s="136"/>
      <c r="F4" s="136"/>
      <c r="G4" s="136"/>
      <c r="H4" s="136"/>
      <c r="I4" s="136"/>
      <c r="J4" s="136"/>
      <c r="K4" s="136"/>
      <c r="L4" s="136"/>
    </row>
    <row r="5" spans="1:14" ht="15" customHeight="1">
      <c r="A5" s="136"/>
      <c r="B5" s="136"/>
      <c r="C5" s="136"/>
      <c r="D5" s="136"/>
      <c r="E5" s="136"/>
      <c r="F5" s="136"/>
      <c r="G5" s="136"/>
      <c r="H5" s="136"/>
      <c r="I5" s="136"/>
      <c r="J5" s="136"/>
      <c r="K5" s="136"/>
      <c r="L5" s="136"/>
    </row>
    <row r="6" spans="1:14" ht="62.25" customHeight="1">
      <c r="A6" s="136"/>
      <c r="B6" s="136"/>
      <c r="C6" s="136"/>
      <c r="D6" s="136"/>
      <c r="E6" s="136"/>
      <c r="F6" s="136"/>
      <c r="G6" s="136"/>
      <c r="H6" s="136"/>
      <c r="I6" s="136"/>
      <c r="J6" s="136"/>
      <c r="K6" s="136"/>
      <c r="L6" s="136"/>
    </row>
    <row r="7" spans="1:14" ht="15" customHeight="1">
      <c r="A7" s="137" t="s">
        <v>31</v>
      </c>
      <c r="B7" s="138">
        <v>42</v>
      </c>
      <c r="C7" s="139" t="s">
        <v>32</v>
      </c>
      <c r="D7" s="139" t="s">
        <v>33</v>
      </c>
      <c r="E7" s="140">
        <v>118148</v>
      </c>
      <c r="F7" s="140">
        <v>124788</v>
      </c>
      <c r="G7" s="140">
        <v>141160</v>
      </c>
      <c r="H7" s="140">
        <v>154260</v>
      </c>
      <c r="I7" s="140">
        <v>162281</v>
      </c>
      <c r="J7" s="140">
        <v>2271937</v>
      </c>
      <c r="K7" s="144">
        <v>197749</v>
      </c>
      <c r="L7" s="145">
        <f>+K7*B7</f>
        <v>8305458</v>
      </c>
      <c r="N7" s="146"/>
    </row>
    <row r="8" spans="1:14" ht="82.5" customHeight="1">
      <c r="A8" s="137"/>
      <c r="B8" s="138"/>
      <c r="C8" s="139"/>
      <c r="D8" s="139"/>
      <c r="E8" s="139"/>
      <c r="F8" s="139"/>
      <c r="G8" s="139"/>
      <c r="H8" s="139"/>
      <c r="I8" s="139"/>
      <c r="J8" s="139"/>
      <c r="K8" s="139"/>
      <c r="L8" s="145"/>
      <c r="N8" s="146"/>
    </row>
    <row r="9" spans="1:14" ht="16.5" customHeight="1">
      <c r="A9" s="137"/>
      <c r="B9" s="141">
        <v>10</v>
      </c>
      <c r="C9" s="142" t="s">
        <v>32</v>
      </c>
      <c r="D9" s="142" t="s">
        <v>34</v>
      </c>
      <c r="E9" s="143">
        <v>124678</v>
      </c>
      <c r="F9" s="143">
        <v>131685</v>
      </c>
      <c r="G9" s="143">
        <v>148962</v>
      </c>
      <c r="H9" s="143">
        <v>162785</v>
      </c>
      <c r="I9" s="143">
        <v>171250</v>
      </c>
      <c r="J9" s="143">
        <v>2397502</v>
      </c>
      <c r="K9" s="147">
        <v>208678</v>
      </c>
      <c r="L9" s="148">
        <f>+K9*B9</f>
        <v>2086780</v>
      </c>
      <c r="N9" s="146"/>
    </row>
    <row r="10" spans="1:14" ht="16.5" customHeight="1">
      <c r="A10" s="137"/>
      <c r="B10" s="141"/>
      <c r="C10" s="142"/>
      <c r="D10" s="142"/>
      <c r="E10" s="142"/>
      <c r="F10" s="142"/>
      <c r="G10" s="142"/>
      <c r="H10" s="142"/>
      <c r="I10" s="142"/>
      <c r="J10" s="142"/>
      <c r="K10" s="142"/>
      <c r="L10" s="148"/>
      <c r="N10" s="146"/>
    </row>
    <row r="11" spans="1:14" ht="30.75" customHeight="1">
      <c r="A11" s="137"/>
      <c r="B11" s="141"/>
      <c r="C11" s="142"/>
      <c r="D11" s="142"/>
      <c r="E11" s="142"/>
      <c r="F11" s="142"/>
      <c r="G11" s="142"/>
      <c r="H11" s="142"/>
      <c r="I11" s="142"/>
      <c r="J11" s="142"/>
      <c r="K11" s="142"/>
      <c r="L11" s="148"/>
      <c r="N11" s="146"/>
    </row>
    <row r="12" spans="1:14" ht="15" customHeight="1">
      <c r="A12" s="137"/>
      <c r="B12" s="141">
        <v>11</v>
      </c>
      <c r="C12" s="142" t="s">
        <v>32</v>
      </c>
      <c r="D12" s="142" t="s">
        <v>34</v>
      </c>
      <c r="E12" s="143">
        <v>127166</v>
      </c>
      <c r="F12" s="143">
        <v>134313</v>
      </c>
      <c r="G12" s="143">
        <v>151935</v>
      </c>
      <c r="H12" s="143">
        <v>166034</v>
      </c>
      <c r="I12" s="143">
        <v>174668</v>
      </c>
      <c r="J12" s="143">
        <v>3144029</v>
      </c>
      <c r="K12" s="147">
        <v>212843</v>
      </c>
      <c r="L12" s="148">
        <f>+K12*B12</f>
        <v>2341273</v>
      </c>
    </row>
    <row r="13" spans="1:14" ht="15" customHeight="1">
      <c r="A13" s="137"/>
      <c r="B13" s="141"/>
      <c r="C13" s="142"/>
      <c r="D13" s="142"/>
      <c r="E13" s="142"/>
      <c r="F13" s="142"/>
      <c r="G13" s="142"/>
      <c r="H13" s="142"/>
      <c r="I13" s="142"/>
      <c r="J13" s="142"/>
      <c r="K13" s="142"/>
      <c r="L13" s="148"/>
    </row>
    <row r="14" spans="1:14" ht="15" customHeight="1">
      <c r="A14" s="137"/>
      <c r="B14" s="149">
        <v>2</v>
      </c>
      <c r="C14" s="142" t="s">
        <v>35</v>
      </c>
      <c r="D14" s="142" t="s">
        <v>36</v>
      </c>
      <c r="E14" s="143">
        <v>1135472</v>
      </c>
      <c r="F14" s="143">
        <v>1199286</v>
      </c>
      <c r="G14" s="143">
        <v>1356632</v>
      </c>
      <c r="H14" s="143">
        <v>1482528</v>
      </c>
      <c r="I14" s="143">
        <v>1559619</v>
      </c>
      <c r="J14" s="143">
        <v>1559619</v>
      </c>
      <c r="K14" s="147">
        <v>1900489</v>
      </c>
      <c r="L14" s="148">
        <f>+K14*B14</f>
        <v>3800978</v>
      </c>
    </row>
    <row r="15" spans="1:14" ht="15" customHeight="1">
      <c r="A15" s="137"/>
      <c r="B15" s="149"/>
      <c r="C15" s="142"/>
      <c r="D15" s="142"/>
      <c r="E15" s="142"/>
      <c r="F15" s="142"/>
      <c r="G15" s="142"/>
      <c r="H15" s="142"/>
      <c r="I15" s="142"/>
      <c r="J15" s="142"/>
      <c r="K15" s="142"/>
      <c r="L15" s="148"/>
    </row>
    <row r="16" spans="1:14" ht="21.75" customHeight="1">
      <c r="A16" s="137"/>
      <c r="B16" s="7">
        <v>2</v>
      </c>
      <c r="C16" s="8" t="s">
        <v>37</v>
      </c>
      <c r="D16" s="8" t="s">
        <v>38</v>
      </c>
      <c r="E16" s="9">
        <v>211451</v>
      </c>
      <c r="F16" s="9">
        <v>223335</v>
      </c>
      <c r="G16" s="9">
        <v>252637</v>
      </c>
      <c r="H16" s="9">
        <v>276081</v>
      </c>
      <c r="I16" s="9">
        <v>290437</v>
      </c>
      <c r="J16" s="9">
        <v>580875</v>
      </c>
      <c r="K16" s="10">
        <v>353915</v>
      </c>
      <c r="L16" s="11">
        <f t="shared" ref="L16:L28" si="0">+K16*B16</f>
        <v>707830</v>
      </c>
    </row>
    <row r="17" spans="1:12" ht="42.75" customHeight="1">
      <c r="A17" s="137"/>
      <c r="B17" s="7">
        <v>1</v>
      </c>
      <c r="C17" s="8" t="s">
        <v>39</v>
      </c>
      <c r="D17" s="8" t="s">
        <v>40</v>
      </c>
      <c r="E17" s="9">
        <v>292297</v>
      </c>
      <c r="F17" s="9">
        <v>308724</v>
      </c>
      <c r="G17" s="9">
        <v>349228</v>
      </c>
      <c r="H17" s="9">
        <v>381637</v>
      </c>
      <c r="I17" s="9">
        <v>401482</v>
      </c>
      <c r="J17" s="9">
        <v>401482</v>
      </c>
      <c r="K17" s="10">
        <v>489230</v>
      </c>
      <c r="L17" s="11">
        <f t="shared" si="0"/>
        <v>489230</v>
      </c>
    </row>
    <row r="18" spans="1:12" ht="21.75" customHeight="1">
      <c r="A18" s="137"/>
      <c r="B18" s="7">
        <v>1</v>
      </c>
      <c r="C18" s="8" t="s">
        <v>41</v>
      </c>
      <c r="D18" s="8" t="s">
        <v>42</v>
      </c>
      <c r="E18" s="9">
        <v>572489</v>
      </c>
      <c r="F18" s="9">
        <v>604663</v>
      </c>
      <c r="G18" s="9">
        <v>683995</v>
      </c>
      <c r="H18" s="9">
        <v>747469</v>
      </c>
      <c r="I18" s="9">
        <v>786338</v>
      </c>
      <c r="J18" s="9">
        <v>786338</v>
      </c>
      <c r="K18" s="10">
        <v>958200</v>
      </c>
      <c r="L18" s="11">
        <f t="shared" si="0"/>
        <v>958200</v>
      </c>
    </row>
    <row r="19" spans="1:12" ht="21.75" customHeight="1">
      <c r="A19" s="137"/>
      <c r="B19" s="7">
        <v>4</v>
      </c>
      <c r="C19" s="8" t="s">
        <v>41</v>
      </c>
      <c r="D19" s="8" t="s">
        <v>43</v>
      </c>
      <c r="E19" s="9">
        <v>313986</v>
      </c>
      <c r="F19" s="9">
        <v>331632</v>
      </c>
      <c r="G19" s="9">
        <v>375142</v>
      </c>
      <c r="H19" s="9">
        <v>409955</v>
      </c>
      <c r="I19" s="9">
        <v>431273</v>
      </c>
      <c r="J19" s="9">
        <v>1725092</v>
      </c>
      <c r="K19" s="10">
        <v>525532</v>
      </c>
      <c r="L19" s="11">
        <f t="shared" si="0"/>
        <v>2102128</v>
      </c>
    </row>
    <row r="20" spans="1:12" ht="21.75" customHeight="1">
      <c r="A20" s="137"/>
      <c r="B20" s="7">
        <v>3</v>
      </c>
      <c r="C20" s="8" t="s">
        <v>44</v>
      </c>
      <c r="D20" s="8" t="s">
        <v>45</v>
      </c>
      <c r="E20" s="9">
        <v>176369</v>
      </c>
      <c r="F20" s="9">
        <v>186281</v>
      </c>
      <c r="G20" s="9">
        <v>210721</v>
      </c>
      <c r="H20" s="9">
        <v>230276</v>
      </c>
      <c r="I20" s="12">
        <v>242251</v>
      </c>
      <c r="J20" s="9">
        <v>726752</v>
      </c>
      <c r="K20" s="10">
        <v>295197</v>
      </c>
      <c r="L20" s="11">
        <f t="shared" si="0"/>
        <v>885591</v>
      </c>
    </row>
    <row r="21" spans="1:12" ht="21.75" customHeight="1">
      <c r="A21" s="137"/>
      <c r="B21" s="7">
        <v>6</v>
      </c>
      <c r="C21" s="8" t="s">
        <v>46</v>
      </c>
      <c r="D21" s="8" t="s">
        <v>47</v>
      </c>
      <c r="E21" s="9">
        <v>499921</v>
      </c>
      <c r="F21" s="9">
        <v>528016</v>
      </c>
      <c r="G21" s="9">
        <v>597292</v>
      </c>
      <c r="H21" s="9">
        <v>652721</v>
      </c>
      <c r="I21" s="12">
        <v>686662</v>
      </c>
      <c r="J21" s="9">
        <v>4119975</v>
      </c>
      <c r="K21" s="10">
        <v>836739</v>
      </c>
      <c r="L21" s="11">
        <f t="shared" si="0"/>
        <v>5020434</v>
      </c>
    </row>
    <row r="22" spans="1:12" ht="21.75" customHeight="1">
      <c r="A22" s="137"/>
      <c r="B22" s="7">
        <v>1</v>
      </c>
      <c r="C22" s="8" t="s">
        <v>46</v>
      </c>
      <c r="D22" s="8" t="s">
        <v>48</v>
      </c>
      <c r="E22" s="9">
        <v>345007</v>
      </c>
      <c r="F22" s="9">
        <v>364396</v>
      </c>
      <c r="G22" s="9">
        <v>412205</v>
      </c>
      <c r="H22" s="9">
        <v>450458</v>
      </c>
      <c r="I22" s="12">
        <v>473881</v>
      </c>
      <c r="J22" s="9">
        <v>473881</v>
      </c>
      <c r="K22" s="10">
        <v>577452</v>
      </c>
      <c r="L22" s="11">
        <f t="shared" si="0"/>
        <v>577452</v>
      </c>
    </row>
    <row r="23" spans="1:12" ht="21.75" customHeight="1">
      <c r="A23" s="137"/>
      <c r="B23" s="7">
        <v>1</v>
      </c>
      <c r="C23" s="8" t="s">
        <v>46</v>
      </c>
      <c r="D23" s="8" t="s">
        <v>49</v>
      </c>
      <c r="E23" s="9">
        <v>231297</v>
      </c>
      <c r="F23" s="9">
        <v>244296</v>
      </c>
      <c r="G23" s="9">
        <v>276347</v>
      </c>
      <c r="H23" s="9">
        <v>301993</v>
      </c>
      <c r="I23" s="12">
        <v>317696</v>
      </c>
      <c r="J23" s="9">
        <v>317696</v>
      </c>
      <c r="K23" s="10">
        <v>452934</v>
      </c>
      <c r="L23" s="11">
        <f t="shared" si="0"/>
        <v>452934</v>
      </c>
    </row>
    <row r="24" spans="1:12" ht="21" customHeight="1">
      <c r="A24" s="150" t="s">
        <v>50</v>
      </c>
      <c r="B24" s="7">
        <v>3</v>
      </c>
      <c r="C24" s="8" t="s">
        <v>51</v>
      </c>
      <c r="D24" s="8" t="s">
        <v>52</v>
      </c>
      <c r="E24" s="9">
        <v>58813</v>
      </c>
      <c r="F24" s="9">
        <v>62119</v>
      </c>
      <c r="G24" s="9">
        <v>70269</v>
      </c>
      <c r="H24" s="9">
        <v>76790</v>
      </c>
      <c r="I24" s="12">
        <v>80783</v>
      </c>
      <c r="J24" s="9">
        <v>242348</v>
      </c>
      <c r="K24" s="10">
        <v>98439</v>
      </c>
      <c r="L24" s="11">
        <f t="shared" si="0"/>
        <v>295317</v>
      </c>
    </row>
    <row r="25" spans="1:12" ht="21" customHeight="1">
      <c r="A25" s="150"/>
      <c r="B25" s="7">
        <v>1</v>
      </c>
      <c r="C25" s="8" t="s">
        <v>53</v>
      </c>
      <c r="D25" s="8" t="s">
        <v>54</v>
      </c>
      <c r="E25" s="9">
        <v>95270</v>
      </c>
      <c r="F25" s="9">
        <v>100624</v>
      </c>
      <c r="G25" s="9">
        <v>113826</v>
      </c>
      <c r="H25" s="9">
        <v>124389</v>
      </c>
      <c r="I25" s="12">
        <v>130857</v>
      </c>
      <c r="J25" s="9">
        <v>130857</v>
      </c>
      <c r="K25" s="10">
        <v>159457</v>
      </c>
      <c r="L25" s="11">
        <f t="shared" si="0"/>
        <v>159457</v>
      </c>
    </row>
    <row r="26" spans="1:12" ht="21" customHeight="1">
      <c r="A26" s="150"/>
      <c r="B26" s="7">
        <v>13</v>
      </c>
      <c r="C26" s="8" t="s">
        <v>55</v>
      </c>
      <c r="D26" s="8" t="s">
        <v>56</v>
      </c>
      <c r="E26" s="9">
        <v>26645</v>
      </c>
      <c r="F26" s="9">
        <v>28142</v>
      </c>
      <c r="G26" s="9">
        <v>31834</v>
      </c>
      <c r="H26" s="9">
        <v>34789</v>
      </c>
      <c r="I26" s="12">
        <v>36598</v>
      </c>
      <c r="J26" s="9">
        <v>475769</v>
      </c>
      <c r="K26" s="10">
        <v>44597</v>
      </c>
      <c r="L26" s="11">
        <f t="shared" si="0"/>
        <v>579761</v>
      </c>
    </row>
    <row r="27" spans="1:12" ht="21" customHeight="1">
      <c r="A27" s="150"/>
      <c r="B27" s="7">
        <v>3</v>
      </c>
      <c r="C27" s="8" t="s">
        <v>55</v>
      </c>
      <c r="D27" s="8" t="s">
        <v>57</v>
      </c>
      <c r="E27" s="9">
        <v>61175</v>
      </c>
      <c r="F27" s="9">
        <v>64613</v>
      </c>
      <c r="G27" s="9">
        <v>73090</v>
      </c>
      <c r="H27" s="9">
        <v>79873</v>
      </c>
      <c r="I27" s="12">
        <v>84027</v>
      </c>
      <c r="J27" s="9">
        <v>252080</v>
      </c>
      <c r="K27" s="10">
        <v>102392</v>
      </c>
      <c r="L27" s="11">
        <f t="shared" si="0"/>
        <v>307176</v>
      </c>
    </row>
    <row r="28" spans="1:12" ht="14.25" customHeight="1">
      <c r="A28" s="150"/>
      <c r="B28" s="151">
        <v>2</v>
      </c>
      <c r="C28" s="152" t="s">
        <v>58</v>
      </c>
      <c r="D28" s="152" t="s">
        <v>59</v>
      </c>
      <c r="E28" s="153">
        <v>37568</v>
      </c>
      <c r="F28" s="153">
        <v>39680</v>
      </c>
      <c r="G28" s="153">
        <v>44886</v>
      </c>
      <c r="H28" s="153">
        <v>49051</v>
      </c>
      <c r="I28" s="154">
        <v>51602</v>
      </c>
      <c r="J28" s="153">
        <v>103203</v>
      </c>
      <c r="K28" s="147">
        <v>62880</v>
      </c>
      <c r="L28" s="148">
        <f t="shared" si="0"/>
        <v>125760</v>
      </c>
    </row>
    <row r="29" spans="1:12" ht="51" customHeight="1">
      <c r="A29" s="150"/>
      <c r="B29" s="151"/>
      <c r="C29" s="152"/>
      <c r="D29" s="152"/>
      <c r="E29" s="152"/>
      <c r="F29" s="152"/>
      <c r="G29" s="152"/>
      <c r="H29" s="152"/>
      <c r="I29" s="152"/>
      <c r="J29" s="152"/>
      <c r="K29" s="152"/>
      <c r="L29" s="148"/>
    </row>
    <row r="30" spans="1:12" ht="16.5" customHeight="1">
      <c r="A30" s="150"/>
      <c r="B30" s="151">
        <v>1</v>
      </c>
      <c r="C30" s="152" t="s">
        <v>58</v>
      </c>
      <c r="D30" s="152" t="s">
        <v>60</v>
      </c>
      <c r="E30" s="153">
        <v>73326</v>
      </c>
      <c r="F30" s="153">
        <v>77447</v>
      </c>
      <c r="G30" s="153">
        <v>87608</v>
      </c>
      <c r="H30" s="153">
        <v>95738</v>
      </c>
      <c r="I30" s="154">
        <v>100716</v>
      </c>
      <c r="J30" s="153">
        <v>100716</v>
      </c>
      <c r="K30" s="147">
        <v>122728</v>
      </c>
      <c r="L30" s="148">
        <f>+K30*B30</f>
        <v>122728</v>
      </c>
    </row>
    <row r="31" spans="1:12" ht="35.25" customHeight="1">
      <c r="A31" s="150"/>
      <c r="B31" s="151"/>
      <c r="C31" s="152"/>
      <c r="D31" s="152"/>
      <c r="E31" s="152"/>
      <c r="F31" s="152"/>
      <c r="G31" s="152"/>
      <c r="H31" s="152"/>
      <c r="I31" s="152"/>
      <c r="J31" s="152"/>
      <c r="K31" s="152"/>
      <c r="L31" s="148"/>
    </row>
    <row r="32" spans="1:12" ht="21" customHeight="1">
      <c r="A32" s="150"/>
      <c r="B32" s="7">
        <v>3</v>
      </c>
      <c r="C32" s="8" t="s">
        <v>61</v>
      </c>
      <c r="D32" s="8" t="s">
        <v>62</v>
      </c>
      <c r="E32" s="9">
        <v>88772</v>
      </c>
      <c r="F32" s="9">
        <v>93761</v>
      </c>
      <c r="G32" s="9">
        <v>106062</v>
      </c>
      <c r="H32" s="9">
        <v>115905</v>
      </c>
      <c r="I32" s="12">
        <v>121932</v>
      </c>
      <c r="J32" s="9">
        <v>365796</v>
      </c>
      <c r="K32" s="10">
        <v>148581</v>
      </c>
      <c r="L32" s="11">
        <f>+K32*B32</f>
        <v>445743</v>
      </c>
    </row>
    <row r="33" spans="1:12" ht="21" customHeight="1">
      <c r="A33" s="150"/>
      <c r="B33" s="7">
        <v>2</v>
      </c>
      <c r="C33" s="8" t="s">
        <v>63</v>
      </c>
      <c r="D33" s="8" t="s">
        <v>64</v>
      </c>
      <c r="E33" s="9">
        <v>251824</v>
      </c>
      <c r="F33" s="9">
        <v>265977</v>
      </c>
      <c r="G33" s="9">
        <v>300873</v>
      </c>
      <c r="H33" s="9">
        <v>328794</v>
      </c>
      <c r="I33" s="12">
        <v>345891</v>
      </c>
      <c r="J33" s="9">
        <v>691782</v>
      </c>
      <c r="K33" s="10">
        <v>421489</v>
      </c>
      <c r="L33" s="11">
        <f>+K33*B33</f>
        <v>842978</v>
      </c>
    </row>
    <row r="34" spans="1:12" ht="15" customHeight="1">
      <c r="A34" s="150" t="s">
        <v>65</v>
      </c>
      <c r="B34" s="151">
        <v>2</v>
      </c>
      <c r="C34" s="152" t="s">
        <v>66</v>
      </c>
      <c r="D34" s="152" t="s">
        <v>67</v>
      </c>
      <c r="E34" s="153">
        <v>52804</v>
      </c>
      <c r="F34" s="153">
        <v>55772</v>
      </c>
      <c r="G34" s="153">
        <v>63089</v>
      </c>
      <c r="H34" s="153">
        <v>68944</v>
      </c>
      <c r="I34" s="154">
        <v>72529</v>
      </c>
      <c r="J34" s="153">
        <v>145058</v>
      </c>
      <c r="K34" s="147">
        <v>88381</v>
      </c>
      <c r="L34" s="148">
        <f>+K34*B34</f>
        <v>176762</v>
      </c>
    </row>
    <row r="35" spans="1:12" ht="14.25" customHeight="1">
      <c r="A35" s="150"/>
      <c r="B35" s="151"/>
      <c r="C35" s="152"/>
      <c r="D35" s="152"/>
      <c r="E35" s="152"/>
      <c r="F35" s="152"/>
      <c r="G35" s="152"/>
      <c r="H35" s="152"/>
      <c r="I35" s="152"/>
      <c r="J35" s="152"/>
      <c r="K35" s="152"/>
      <c r="L35" s="148"/>
    </row>
    <row r="36" spans="1:12" ht="14.25" customHeight="1">
      <c r="A36" s="150"/>
      <c r="B36" s="151"/>
      <c r="C36" s="152"/>
      <c r="D36" s="152"/>
      <c r="E36" s="152"/>
      <c r="F36" s="152"/>
      <c r="G36" s="152"/>
      <c r="H36" s="152"/>
      <c r="I36" s="152"/>
      <c r="J36" s="152"/>
      <c r="K36" s="152"/>
      <c r="L36" s="148"/>
    </row>
    <row r="37" spans="1:12" ht="21" customHeight="1">
      <c r="A37" s="150"/>
      <c r="B37" s="7">
        <v>3</v>
      </c>
      <c r="C37" s="8" t="s">
        <v>68</v>
      </c>
      <c r="D37" s="8" t="s">
        <v>69</v>
      </c>
      <c r="E37" s="9">
        <v>34581</v>
      </c>
      <c r="F37" s="9">
        <v>36524</v>
      </c>
      <c r="G37" s="9">
        <v>41316</v>
      </c>
      <c r="H37" s="9">
        <v>45150</v>
      </c>
      <c r="I37" s="12">
        <v>47498</v>
      </c>
      <c r="J37" s="9">
        <v>142495</v>
      </c>
      <c r="K37" s="10">
        <v>57879</v>
      </c>
      <c r="L37" s="11">
        <f>+K37*B37</f>
        <v>173637</v>
      </c>
    </row>
    <row r="38" spans="1:12" ht="14.25" customHeight="1">
      <c r="A38" s="150"/>
      <c r="B38" s="151">
        <v>3</v>
      </c>
      <c r="C38" s="152" t="s">
        <v>70</v>
      </c>
      <c r="D38" s="152" t="s">
        <v>71</v>
      </c>
      <c r="E38" s="153">
        <v>96051</v>
      </c>
      <c r="F38" s="153">
        <v>101450</v>
      </c>
      <c r="G38" s="153">
        <v>114760</v>
      </c>
      <c r="H38" s="153">
        <v>125409</v>
      </c>
      <c r="I38" s="154">
        <v>131931</v>
      </c>
      <c r="J38" s="153">
        <v>395792</v>
      </c>
      <c r="K38" s="147">
        <v>160766</v>
      </c>
      <c r="L38" s="148">
        <f>+K38*B38</f>
        <v>482298</v>
      </c>
    </row>
    <row r="39" spans="1:12" ht="42" customHeight="1">
      <c r="A39" s="150"/>
      <c r="B39" s="151"/>
      <c r="C39" s="152"/>
      <c r="D39" s="152"/>
      <c r="E39" s="152"/>
      <c r="F39" s="152"/>
      <c r="G39" s="152"/>
      <c r="H39" s="152"/>
      <c r="I39" s="152"/>
      <c r="J39" s="152"/>
      <c r="K39" s="152"/>
      <c r="L39" s="148"/>
    </row>
    <row r="40" spans="1:12" ht="16.5" customHeight="1">
      <c r="A40" s="150"/>
      <c r="B40" s="151">
        <v>1</v>
      </c>
      <c r="C40" s="152" t="s">
        <v>72</v>
      </c>
      <c r="D40" s="152" t="s">
        <v>73</v>
      </c>
      <c r="E40" s="153">
        <v>575636</v>
      </c>
      <c r="F40" s="153">
        <v>607986</v>
      </c>
      <c r="G40" s="153">
        <v>687754</v>
      </c>
      <c r="H40" s="153">
        <v>751578</v>
      </c>
      <c r="I40" s="154">
        <v>790660</v>
      </c>
      <c r="J40" s="153">
        <v>790660</v>
      </c>
      <c r="K40" s="147">
        <v>963467</v>
      </c>
      <c r="L40" s="148">
        <f>+K40*B40</f>
        <v>963467</v>
      </c>
    </row>
    <row r="41" spans="1:12" ht="56.25" customHeight="1">
      <c r="A41" s="150"/>
      <c r="B41" s="151"/>
      <c r="C41" s="152"/>
      <c r="D41" s="152"/>
      <c r="E41" s="152"/>
      <c r="F41" s="152"/>
      <c r="G41" s="152"/>
      <c r="H41" s="152"/>
      <c r="I41" s="152"/>
      <c r="J41" s="152"/>
      <c r="K41" s="152"/>
      <c r="L41" s="148"/>
    </row>
    <row r="42" spans="1:12" ht="16.5" customHeight="1">
      <c r="A42" s="150"/>
      <c r="B42" s="151">
        <v>10</v>
      </c>
      <c r="C42" s="152" t="s">
        <v>74</v>
      </c>
      <c r="D42" s="152" t="s">
        <v>75</v>
      </c>
      <c r="E42" s="153">
        <v>8812</v>
      </c>
      <c r="F42" s="153">
        <v>9307</v>
      </c>
      <c r="G42" s="153">
        <v>10528</v>
      </c>
      <c r="H42" s="153">
        <v>11505</v>
      </c>
      <c r="I42" s="154">
        <v>12103</v>
      </c>
      <c r="J42" s="153">
        <v>121031</v>
      </c>
      <c r="K42" s="147">
        <v>14748</v>
      </c>
      <c r="L42" s="148">
        <f>+K42*B42</f>
        <v>147480</v>
      </c>
    </row>
    <row r="43" spans="1:12" ht="39" customHeight="1">
      <c r="A43" s="150"/>
      <c r="B43" s="151"/>
      <c r="C43" s="152"/>
      <c r="D43" s="152"/>
      <c r="E43" s="152"/>
      <c r="F43" s="152"/>
      <c r="G43" s="152"/>
      <c r="H43" s="152"/>
      <c r="I43" s="152"/>
      <c r="J43" s="152"/>
      <c r="K43" s="152"/>
      <c r="L43" s="148"/>
    </row>
    <row r="44" spans="1:12" ht="16.5" customHeight="1">
      <c r="A44" s="150"/>
      <c r="B44" s="151">
        <v>5</v>
      </c>
      <c r="C44" s="152" t="s">
        <v>76</v>
      </c>
      <c r="D44" s="152" t="s">
        <v>77</v>
      </c>
      <c r="E44" s="153">
        <v>26456</v>
      </c>
      <c r="F44" s="153">
        <v>27943</v>
      </c>
      <c r="G44" s="153">
        <v>31609</v>
      </c>
      <c r="H44" s="153">
        <v>34543</v>
      </c>
      <c r="I44" s="154">
        <v>36339</v>
      </c>
      <c r="J44" s="153">
        <v>181695</v>
      </c>
      <c r="K44" s="147">
        <v>44281</v>
      </c>
      <c r="L44" s="148">
        <f>+K44*B44</f>
        <v>221405</v>
      </c>
    </row>
    <row r="45" spans="1:12" ht="27" customHeight="1">
      <c r="A45" s="150"/>
      <c r="B45" s="151"/>
      <c r="C45" s="152"/>
      <c r="D45" s="152"/>
      <c r="E45" s="152"/>
      <c r="F45" s="152"/>
      <c r="G45" s="152"/>
      <c r="H45" s="152"/>
      <c r="I45" s="152"/>
      <c r="J45" s="152"/>
      <c r="K45" s="152"/>
      <c r="L45" s="148"/>
    </row>
    <row r="46" spans="1:12" ht="14.25" customHeight="1">
      <c r="A46" s="150"/>
      <c r="B46" s="151">
        <v>10</v>
      </c>
      <c r="C46" s="152" t="s">
        <v>78</v>
      </c>
      <c r="D46" s="155" t="s">
        <v>79</v>
      </c>
      <c r="E46" s="153">
        <v>66158</v>
      </c>
      <c r="F46" s="153">
        <v>69877</v>
      </c>
      <c r="G46" s="153">
        <v>79044</v>
      </c>
      <c r="H46" s="153">
        <v>86380</v>
      </c>
      <c r="I46" s="153">
        <v>90871</v>
      </c>
      <c r="J46" s="153">
        <v>908714</v>
      </c>
      <c r="K46" s="147">
        <v>110732</v>
      </c>
      <c r="L46" s="148">
        <f>+K46*B46</f>
        <v>1107320</v>
      </c>
    </row>
    <row r="47" spans="1:12" ht="14.25" customHeight="1">
      <c r="A47" s="150"/>
      <c r="B47" s="151"/>
      <c r="C47" s="152"/>
      <c r="D47" s="152"/>
      <c r="E47" s="152"/>
      <c r="F47" s="152"/>
      <c r="G47" s="152"/>
      <c r="H47" s="152"/>
      <c r="I47" s="152"/>
      <c r="J47" s="152"/>
      <c r="K47" s="152"/>
      <c r="L47" s="148"/>
    </row>
    <row r="48" spans="1:12" ht="120" customHeight="1">
      <c r="A48" s="150"/>
      <c r="B48" s="151"/>
      <c r="C48" s="152"/>
      <c r="D48" s="152"/>
      <c r="E48" s="152"/>
      <c r="F48" s="152"/>
      <c r="G48" s="152"/>
      <c r="H48" s="152"/>
      <c r="I48" s="152"/>
      <c r="J48" s="152"/>
      <c r="K48" s="152"/>
      <c r="L48" s="148"/>
    </row>
    <row r="49" spans="1:12" ht="21" customHeight="1">
      <c r="A49" s="150"/>
      <c r="B49" s="7">
        <v>1</v>
      </c>
      <c r="C49" s="8" t="s">
        <v>80</v>
      </c>
      <c r="D49" s="8" t="s">
        <v>81</v>
      </c>
      <c r="E49" s="9">
        <v>153323</v>
      </c>
      <c r="F49" s="9">
        <v>161939</v>
      </c>
      <c r="G49" s="9">
        <v>183186</v>
      </c>
      <c r="H49" s="9">
        <v>200185</v>
      </c>
      <c r="I49" s="12">
        <v>210595</v>
      </c>
      <c r="J49" s="9">
        <v>210595</v>
      </c>
      <c r="K49" s="10">
        <v>256623</v>
      </c>
      <c r="L49" s="11">
        <f>+K49*B49</f>
        <v>256623</v>
      </c>
    </row>
    <row r="50" spans="1:12" ht="16.5" customHeight="1">
      <c r="A50" s="156" t="s">
        <v>82</v>
      </c>
      <c r="B50" s="157">
        <v>1</v>
      </c>
      <c r="C50" s="142" t="s">
        <v>83</v>
      </c>
      <c r="D50" s="142" t="s">
        <v>84</v>
      </c>
      <c r="E50" s="143">
        <v>1450353</v>
      </c>
      <c r="F50" s="143">
        <v>1531863</v>
      </c>
      <c r="G50" s="143">
        <v>1732843</v>
      </c>
      <c r="H50" s="143">
        <v>1893651</v>
      </c>
      <c r="I50" s="143">
        <v>1992121</v>
      </c>
      <c r="J50" s="143">
        <v>1992121</v>
      </c>
      <c r="K50" s="147">
        <v>2427519</v>
      </c>
      <c r="L50" s="148">
        <f>+K50*B50</f>
        <v>2427519</v>
      </c>
    </row>
    <row r="51" spans="1:12" ht="16.5" customHeight="1">
      <c r="A51" s="156"/>
      <c r="B51" s="157"/>
      <c r="C51" s="142"/>
      <c r="D51" s="142"/>
      <c r="E51" s="142"/>
      <c r="F51" s="142"/>
      <c r="G51" s="142"/>
      <c r="H51" s="142"/>
      <c r="I51" s="142"/>
      <c r="J51" s="142"/>
      <c r="K51" s="142"/>
      <c r="L51" s="148"/>
    </row>
    <row r="52" spans="1:12" ht="16.5" customHeight="1">
      <c r="A52" s="156"/>
      <c r="B52" s="149">
        <v>1</v>
      </c>
      <c r="C52" s="142" t="s">
        <v>85</v>
      </c>
      <c r="D52" s="142" t="s">
        <v>86</v>
      </c>
      <c r="E52" s="162">
        <v>1268207</v>
      </c>
      <c r="F52" s="162">
        <v>1339481</v>
      </c>
      <c r="G52" s="162">
        <v>1515220</v>
      </c>
      <c r="H52" s="162">
        <v>1655833</v>
      </c>
      <c r="I52" s="162">
        <v>1741936</v>
      </c>
      <c r="J52" s="143">
        <v>1741936</v>
      </c>
      <c r="K52" s="147">
        <v>2500000</v>
      </c>
      <c r="L52" s="148">
        <f>+K52*B52</f>
        <v>2500000</v>
      </c>
    </row>
    <row r="53" spans="1:12" ht="52.5" customHeight="1">
      <c r="A53" s="156"/>
      <c r="B53" s="149"/>
      <c r="C53" s="142"/>
      <c r="D53" s="142"/>
      <c r="E53" s="142"/>
      <c r="F53" s="142"/>
      <c r="G53" s="142"/>
      <c r="H53" s="142"/>
      <c r="I53" s="142"/>
      <c r="J53" s="142"/>
      <c r="K53" s="142"/>
      <c r="L53" s="148"/>
    </row>
    <row r="54" spans="1:12" ht="42" customHeight="1">
      <c r="A54" s="156"/>
      <c r="B54" s="13">
        <v>1</v>
      </c>
      <c r="C54" s="4" t="s">
        <v>87</v>
      </c>
      <c r="D54" s="4" t="s">
        <v>88</v>
      </c>
      <c r="E54" s="5">
        <v>238811</v>
      </c>
      <c r="F54" s="5">
        <v>252232</v>
      </c>
      <c r="G54" s="5">
        <v>285325</v>
      </c>
      <c r="H54" s="5">
        <v>311803</v>
      </c>
      <c r="I54" s="14">
        <v>328017</v>
      </c>
      <c r="J54" s="5">
        <v>328017</v>
      </c>
      <c r="K54" s="10">
        <v>399708</v>
      </c>
      <c r="L54" s="11">
        <f t="shared" ref="L54:L60" si="1">+K54*B54</f>
        <v>399708</v>
      </c>
    </row>
    <row r="55" spans="1:12" ht="42" customHeight="1">
      <c r="A55" s="156"/>
      <c r="B55" s="13">
        <v>1</v>
      </c>
      <c r="C55" s="4" t="s">
        <v>89</v>
      </c>
      <c r="D55" s="4" t="s">
        <v>90</v>
      </c>
      <c r="E55" s="5">
        <v>152108</v>
      </c>
      <c r="F55" s="5">
        <v>160657</v>
      </c>
      <c r="G55" s="5">
        <v>181735</v>
      </c>
      <c r="H55" s="5">
        <v>198600</v>
      </c>
      <c r="I55" s="14">
        <v>208927</v>
      </c>
      <c r="J55" s="5">
        <v>208927</v>
      </c>
      <c r="K55" s="10">
        <v>254590</v>
      </c>
      <c r="L55" s="11">
        <f t="shared" si="1"/>
        <v>254590</v>
      </c>
    </row>
    <row r="56" spans="1:12" ht="42" customHeight="1">
      <c r="A56" s="156"/>
      <c r="B56" s="13">
        <v>1</v>
      </c>
      <c r="C56" s="4" t="s">
        <v>91</v>
      </c>
      <c r="D56" s="4" t="s">
        <v>92</v>
      </c>
      <c r="E56" s="5">
        <v>245760</v>
      </c>
      <c r="F56" s="5">
        <v>259572</v>
      </c>
      <c r="G56" s="5">
        <v>293628</v>
      </c>
      <c r="H56" s="5">
        <v>320876</v>
      </c>
      <c r="I56" s="14">
        <v>337562</v>
      </c>
      <c r="J56" s="5">
        <v>337562</v>
      </c>
      <c r="K56" s="10">
        <v>411340</v>
      </c>
      <c r="L56" s="11">
        <f t="shared" si="1"/>
        <v>411340</v>
      </c>
    </row>
    <row r="57" spans="1:12" ht="42" customHeight="1">
      <c r="A57" s="156"/>
      <c r="B57" s="6">
        <v>1</v>
      </c>
      <c r="C57" s="15" t="s">
        <v>93</v>
      </c>
      <c r="D57" s="15" t="s">
        <v>94</v>
      </c>
      <c r="E57" s="16"/>
      <c r="F57" s="16"/>
      <c r="G57" s="16"/>
      <c r="H57" s="16"/>
      <c r="I57" s="17"/>
      <c r="J57" s="16"/>
      <c r="K57" s="18">
        <f>7000000/12</f>
        <v>583333.33333333337</v>
      </c>
      <c r="L57" s="11">
        <f t="shared" si="1"/>
        <v>583333.33333333337</v>
      </c>
    </row>
    <row r="58" spans="1:12" ht="63" customHeight="1">
      <c r="A58" s="156"/>
      <c r="B58" s="6">
        <v>2</v>
      </c>
      <c r="C58" s="15" t="s">
        <v>95</v>
      </c>
      <c r="D58" s="15" t="s">
        <v>96</v>
      </c>
      <c r="E58" s="16"/>
      <c r="F58" s="16"/>
      <c r="G58" s="16"/>
      <c r="H58" s="16"/>
      <c r="I58" s="17"/>
      <c r="J58" s="16"/>
      <c r="K58" s="18">
        <f>7000000/12</f>
        <v>583333.33333333337</v>
      </c>
      <c r="L58" s="11">
        <f t="shared" si="1"/>
        <v>1166666.6666666667</v>
      </c>
    </row>
    <row r="59" spans="1:12" ht="38.25" customHeight="1">
      <c r="A59" s="156"/>
      <c r="B59" s="6">
        <v>1</v>
      </c>
      <c r="C59" s="15" t="s">
        <v>97</v>
      </c>
      <c r="D59" s="15" t="s">
        <v>98</v>
      </c>
      <c r="E59" s="16"/>
      <c r="F59" s="16"/>
      <c r="G59" s="16"/>
      <c r="H59" s="16"/>
      <c r="I59" s="17"/>
      <c r="J59" s="16"/>
      <c r="K59" s="18">
        <f>4000000/12</f>
        <v>333333.33333333331</v>
      </c>
      <c r="L59" s="11">
        <f t="shared" si="1"/>
        <v>333333.33333333331</v>
      </c>
    </row>
    <row r="60" spans="1:12" ht="42" customHeight="1">
      <c r="A60" s="19"/>
      <c r="B60" s="20">
        <v>1</v>
      </c>
      <c r="C60" s="21" t="s">
        <v>99</v>
      </c>
      <c r="D60" s="21" t="s">
        <v>100</v>
      </c>
      <c r="E60" s="22"/>
      <c r="F60" s="22"/>
      <c r="G60" s="22"/>
      <c r="H60" s="22"/>
      <c r="I60" s="23"/>
      <c r="J60" s="22"/>
      <c r="K60" s="24">
        <f>5600000/12</f>
        <v>466666.66666666669</v>
      </c>
      <c r="L60" s="25">
        <f t="shared" si="1"/>
        <v>466666.66666666669</v>
      </c>
    </row>
    <row r="61" spans="1:12" ht="21" customHeight="1">
      <c r="A61" s="19"/>
      <c r="B61" s="19"/>
      <c r="C61" s="19"/>
      <c r="D61" s="19"/>
      <c r="E61" s="26"/>
      <c r="F61" s="26"/>
      <c r="G61" s="26"/>
      <c r="H61" s="26"/>
      <c r="I61" s="27"/>
      <c r="J61" s="158" t="s">
        <v>29</v>
      </c>
      <c r="K61" s="158"/>
      <c r="L61" s="28">
        <f>SUM(L7:L60)</f>
        <v>42679357</v>
      </c>
    </row>
    <row r="62" spans="1:12" ht="21" customHeight="1">
      <c r="A62" s="19"/>
      <c r="B62" s="19"/>
      <c r="C62" s="19"/>
      <c r="D62" s="19"/>
      <c r="E62" s="26"/>
      <c r="F62" s="26"/>
      <c r="G62" s="26"/>
      <c r="H62" s="26"/>
      <c r="I62" s="27"/>
      <c r="J62" s="159" t="s">
        <v>101</v>
      </c>
      <c r="K62" s="159"/>
      <c r="L62" s="29">
        <f>+L61*2%</f>
        <v>853587.14</v>
      </c>
    </row>
    <row r="63" spans="1:12" ht="21" customHeight="1">
      <c r="A63" s="19">
        <v>3</v>
      </c>
      <c r="B63" s="19"/>
      <c r="C63" s="19"/>
      <c r="D63" s="19"/>
      <c r="E63" s="26"/>
      <c r="F63" s="26"/>
      <c r="G63" s="26"/>
      <c r="H63" s="26"/>
      <c r="I63" s="27"/>
      <c r="J63" s="160" t="s">
        <v>102</v>
      </c>
      <c r="K63" s="160"/>
      <c r="L63" s="28">
        <f>+L61+L62</f>
        <v>43532944.140000001</v>
      </c>
    </row>
    <row r="64" spans="1:12" ht="21" customHeight="1">
      <c r="A64" s="19"/>
      <c r="B64" s="19"/>
      <c r="C64" s="19"/>
      <c r="D64" s="19"/>
      <c r="E64" s="26"/>
      <c r="F64" s="26"/>
      <c r="G64" s="26"/>
      <c r="H64" s="26"/>
      <c r="I64" s="27"/>
      <c r="J64" s="161" t="s">
        <v>103</v>
      </c>
      <c r="K64" s="161"/>
      <c r="L64" s="30">
        <f>+L61/1.19</f>
        <v>35865005.882352941</v>
      </c>
    </row>
    <row r="65" spans="1:12" ht="21" customHeight="1">
      <c r="A65" s="19"/>
      <c r="B65" s="19"/>
      <c r="C65" s="19"/>
      <c r="D65" s="19"/>
      <c r="E65" s="26"/>
      <c r="F65" s="26"/>
      <c r="G65" s="26"/>
      <c r="H65" s="26"/>
      <c r="I65" s="27"/>
      <c r="J65" s="26"/>
      <c r="K65" s="31"/>
      <c r="L65" s="31"/>
    </row>
    <row r="66" spans="1:12" ht="21" customHeight="1">
      <c r="A66" s="19"/>
      <c r="B66" s="19"/>
      <c r="C66" s="19"/>
      <c r="D66" s="19"/>
      <c r="E66" s="26"/>
      <c r="F66" s="26"/>
      <c r="G66" s="26"/>
      <c r="H66" s="26"/>
      <c r="I66" s="27"/>
      <c r="J66" s="26"/>
      <c r="K66" s="31"/>
      <c r="L66" s="31"/>
    </row>
    <row r="67" spans="1:12" ht="21" customHeight="1">
      <c r="A67" s="19"/>
      <c r="B67" s="19"/>
      <c r="C67" s="19"/>
      <c r="D67" s="19"/>
      <c r="E67" s="26"/>
      <c r="F67" s="26"/>
      <c r="G67" s="26"/>
      <c r="H67" s="26"/>
      <c r="I67" s="27"/>
      <c r="J67" s="26"/>
      <c r="K67" s="31"/>
      <c r="L67" s="31"/>
    </row>
  </sheetData>
  <mergeCells count="178">
    <mergeCell ref="J61:K61"/>
    <mergeCell ref="J62:K62"/>
    <mergeCell ref="J63:K63"/>
    <mergeCell ref="J64:K64"/>
    <mergeCell ref="J50:J51"/>
    <mergeCell ref="K50:K51"/>
    <mergeCell ref="L50:L51"/>
    <mergeCell ref="B52:B53"/>
    <mergeCell ref="C52:C53"/>
    <mergeCell ref="D52:D53"/>
    <mergeCell ref="E52:E53"/>
    <mergeCell ref="F52:F53"/>
    <mergeCell ref="G52:G53"/>
    <mergeCell ref="H52:H53"/>
    <mergeCell ref="I52:I53"/>
    <mergeCell ref="J52:J53"/>
    <mergeCell ref="K52:K53"/>
    <mergeCell ref="L52:L53"/>
    <mergeCell ref="A50:A59"/>
    <mergeCell ref="B50:B51"/>
    <mergeCell ref="C50:C51"/>
    <mergeCell ref="D50:D51"/>
    <mergeCell ref="E50:E51"/>
    <mergeCell ref="F50:F51"/>
    <mergeCell ref="G50:G51"/>
    <mergeCell ref="H50:H51"/>
    <mergeCell ref="I50:I51"/>
    <mergeCell ref="I44:I45"/>
    <mergeCell ref="J44:J45"/>
    <mergeCell ref="K44:K45"/>
    <mergeCell ref="L44:L45"/>
    <mergeCell ref="B46:B48"/>
    <mergeCell ref="C46:C48"/>
    <mergeCell ref="D46:D48"/>
    <mergeCell ref="E46:E48"/>
    <mergeCell ref="F46:F48"/>
    <mergeCell ref="G46:G48"/>
    <mergeCell ref="H46:H48"/>
    <mergeCell ref="I46:I48"/>
    <mergeCell ref="J46:J48"/>
    <mergeCell ref="K46:K48"/>
    <mergeCell ref="L46:L48"/>
    <mergeCell ref="J40:J41"/>
    <mergeCell ref="K40:K41"/>
    <mergeCell ref="L40:L41"/>
    <mergeCell ref="B42:B43"/>
    <mergeCell ref="C42:C43"/>
    <mergeCell ref="D42:D43"/>
    <mergeCell ref="E42:E43"/>
    <mergeCell ref="F42:F43"/>
    <mergeCell ref="G42:G43"/>
    <mergeCell ref="H42:H43"/>
    <mergeCell ref="I42:I43"/>
    <mergeCell ref="J42:J43"/>
    <mergeCell ref="K42:K43"/>
    <mergeCell ref="L42:L43"/>
    <mergeCell ref="J34:J36"/>
    <mergeCell ref="K34:K36"/>
    <mergeCell ref="L34:L36"/>
    <mergeCell ref="B38:B39"/>
    <mergeCell ref="C38:C39"/>
    <mergeCell ref="D38:D39"/>
    <mergeCell ref="E38:E39"/>
    <mergeCell ref="F38:F39"/>
    <mergeCell ref="G38:G39"/>
    <mergeCell ref="H38:H39"/>
    <mergeCell ref="I38:I39"/>
    <mergeCell ref="J38:J39"/>
    <mergeCell ref="K38:K39"/>
    <mergeCell ref="L38:L39"/>
    <mergeCell ref="A34:A49"/>
    <mergeCell ref="B34:B36"/>
    <mergeCell ref="C34:C36"/>
    <mergeCell ref="D34:D36"/>
    <mergeCell ref="E34:E36"/>
    <mergeCell ref="F34:F36"/>
    <mergeCell ref="G34:G36"/>
    <mergeCell ref="H34:H36"/>
    <mergeCell ref="I34:I36"/>
    <mergeCell ref="B40:B41"/>
    <mergeCell ref="C40:C41"/>
    <mergeCell ref="D40:D41"/>
    <mergeCell ref="E40:E41"/>
    <mergeCell ref="F40:F41"/>
    <mergeCell ref="G40:G41"/>
    <mergeCell ref="H40:H41"/>
    <mergeCell ref="I40:I41"/>
    <mergeCell ref="B44:B45"/>
    <mergeCell ref="C44:C45"/>
    <mergeCell ref="D44:D45"/>
    <mergeCell ref="E44:E45"/>
    <mergeCell ref="F44:F45"/>
    <mergeCell ref="G44:G45"/>
    <mergeCell ref="H44:H45"/>
    <mergeCell ref="J28:J29"/>
    <mergeCell ref="K28:K29"/>
    <mergeCell ref="L28:L29"/>
    <mergeCell ref="B30:B31"/>
    <mergeCell ref="C30:C31"/>
    <mergeCell ref="D30:D31"/>
    <mergeCell ref="E30:E31"/>
    <mergeCell ref="F30:F31"/>
    <mergeCell ref="G30:G31"/>
    <mergeCell ref="H30:H31"/>
    <mergeCell ref="I30:I31"/>
    <mergeCell ref="J30:J31"/>
    <mergeCell ref="K30:K31"/>
    <mergeCell ref="L30:L31"/>
    <mergeCell ref="A24:A33"/>
    <mergeCell ref="B28:B29"/>
    <mergeCell ref="C28:C29"/>
    <mergeCell ref="D28:D29"/>
    <mergeCell ref="E28:E29"/>
    <mergeCell ref="F28:F29"/>
    <mergeCell ref="G28:G29"/>
    <mergeCell ref="H28:H29"/>
    <mergeCell ref="I28:I29"/>
    <mergeCell ref="J12:J13"/>
    <mergeCell ref="K12:K13"/>
    <mergeCell ref="L12:L13"/>
    <mergeCell ref="B14:B15"/>
    <mergeCell ref="C14:C15"/>
    <mergeCell ref="D14:D15"/>
    <mergeCell ref="E14:E15"/>
    <mergeCell ref="F14:F15"/>
    <mergeCell ref="G14:G15"/>
    <mergeCell ref="H14:H15"/>
    <mergeCell ref="I14:I15"/>
    <mergeCell ref="J14:J15"/>
    <mergeCell ref="K14:K15"/>
    <mergeCell ref="L14:L15"/>
    <mergeCell ref="J7:J8"/>
    <mergeCell ref="K7:K8"/>
    <mergeCell ref="L7:L8"/>
    <mergeCell ref="N7:N8"/>
    <mergeCell ref="B9:B11"/>
    <mergeCell ref="C9:C11"/>
    <mergeCell ref="D9:D11"/>
    <mergeCell ref="E9:E11"/>
    <mergeCell ref="F9:F11"/>
    <mergeCell ref="G9:G11"/>
    <mergeCell ref="H9:H11"/>
    <mergeCell ref="I9:I11"/>
    <mergeCell ref="J9:J11"/>
    <mergeCell ref="K9:K11"/>
    <mergeCell ref="L9:L11"/>
    <mergeCell ref="N9:N11"/>
    <mergeCell ref="A7:A23"/>
    <mergeCell ref="B7:B8"/>
    <mergeCell ref="C7:C8"/>
    <mergeCell ref="D7:D8"/>
    <mergeCell ref="E7:E8"/>
    <mergeCell ref="F7:F8"/>
    <mergeCell ref="G7:G8"/>
    <mergeCell ref="H7:H8"/>
    <mergeCell ref="I7:I8"/>
    <mergeCell ref="B12:B13"/>
    <mergeCell ref="C12:C13"/>
    <mergeCell ref="D12:D13"/>
    <mergeCell ref="E12:E13"/>
    <mergeCell ref="F12:F13"/>
    <mergeCell ref="G12:G13"/>
    <mergeCell ref="H12:H13"/>
    <mergeCell ref="I12:I13"/>
    <mergeCell ref="A1:L1"/>
    <mergeCell ref="A2:L2"/>
    <mergeCell ref="A3:A6"/>
    <mergeCell ref="B3:B6"/>
    <mergeCell ref="C3:C6"/>
    <mergeCell ref="D3:D6"/>
    <mergeCell ref="E3:E6"/>
    <mergeCell ref="F3:F6"/>
    <mergeCell ref="G3:G6"/>
    <mergeCell ref="H3:H6"/>
    <mergeCell ref="I3:I6"/>
    <mergeCell ref="J3:J6"/>
    <mergeCell ref="K3:K6"/>
    <mergeCell ref="L3:L6"/>
  </mergeCells>
  <pageMargins left="0.7" right="0.7" top="0.75" bottom="0.75"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AJ45"/>
  <sheetViews>
    <sheetView topLeftCell="P1" zoomScale="80" zoomScaleNormal="80" workbookViewId="0">
      <pane ySplit="3" topLeftCell="A31" activePane="bottomLeft" state="frozen"/>
      <selection activeCell="O1" sqref="O1"/>
      <selection pane="bottomLeft" activeCell="G14" sqref="G14"/>
    </sheetView>
  </sheetViews>
  <sheetFormatPr baseColWidth="10" defaultColWidth="11.5546875" defaultRowHeight="13.8"/>
  <cols>
    <col min="1" max="1" width="4.88671875" style="32" customWidth="1"/>
    <col min="2" max="3" width="11.5546875" style="32"/>
    <col min="4" max="4" width="28.88671875" style="32" customWidth="1"/>
    <col min="5" max="8" width="11.5546875" style="32"/>
    <col min="9" max="10" width="12.33203125" style="32" bestFit="1" customWidth="1"/>
    <col min="11" max="11" width="12.44140625" style="32" bestFit="1" customWidth="1"/>
    <col min="12" max="12" width="4.88671875" style="32" customWidth="1"/>
    <col min="13" max="13" width="11.5546875" style="32"/>
    <col min="14" max="14" width="31.33203125" style="32" customWidth="1"/>
    <col min="15" max="21" width="11.5546875" style="32"/>
    <col min="22" max="22" width="3" style="32" customWidth="1"/>
    <col min="23" max="23" width="11.5546875" style="32"/>
    <col min="24" max="24" width="28.5546875" style="32" customWidth="1"/>
    <col min="25" max="31" width="11.5546875" style="32"/>
    <col min="32" max="32" width="5.21875" style="32" customWidth="1"/>
    <col min="33" max="33" width="11.5546875" style="32"/>
    <col min="34" max="34" width="12.77734375" style="32" customWidth="1"/>
    <col min="35" max="35" width="15.44140625" style="32" bestFit="1" customWidth="1"/>
    <col min="36" max="16384" width="11.5546875" style="32"/>
  </cols>
  <sheetData>
    <row r="2" spans="2:36" ht="14.25" customHeight="1">
      <c r="B2" s="33"/>
      <c r="C2" s="166" t="s">
        <v>104</v>
      </c>
      <c r="D2" s="167"/>
      <c r="E2" s="167"/>
      <c r="F2" s="167"/>
      <c r="G2" s="167"/>
      <c r="H2" s="167"/>
      <c r="I2" s="167"/>
      <c r="J2" s="167"/>
      <c r="K2" s="168"/>
      <c r="M2" s="169" t="s">
        <v>105</v>
      </c>
      <c r="N2" s="169"/>
      <c r="O2" s="169"/>
      <c r="P2" s="169"/>
      <c r="Q2" s="169"/>
      <c r="R2" s="169"/>
      <c r="S2" s="169"/>
      <c r="T2" s="169"/>
      <c r="U2" s="169"/>
      <c r="W2" s="169" t="s">
        <v>106</v>
      </c>
      <c r="X2" s="169"/>
      <c r="Y2" s="169"/>
      <c r="Z2" s="169"/>
      <c r="AA2" s="169"/>
      <c r="AB2" s="169"/>
      <c r="AC2" s="169"/>
      <c r="AD2" s="169"/>
      <c r="AE2" s="169"/>
    </row>
    <row r="3" spans="2:36" ht="50.25" customHeight="1">
      <c r="B3" s="34" t="s">
        <v>107</v>
      </c>
      <c r="C3" s="164" t="s">
        <v>108</v>
      </c>
      <c r="D3" s="164"/>
      <c r="E3" s="34" t="s">
        <v>109</v>
      </c>
      <c r="F3" s="34" t="s">
        <v>22</v>
      </c>
      <c r="G3" s="107" t="s">
        <v>170</v>
      </c>
      <c r="H3" s="34" t="s">
        <v>110</v>
      </c>
      <c r="I3" s="35" t="s">
        <v>111</v>
      </c>
      <c r="J3" s="36" t="s">
        <v>112</v>
      </c>
      <c r="K3" s="110" t="s">
        <v>171</v>
      </c>
      <c r="M3" s="164" t="s">
        <v>108</v>
      </c>
      <c r="N3" s="164"/>
      <c r="O3" s="34" t="s">
        <v>109</v>
      </c>
      <c r="P3" s="34" t="s">
        <v>22</v>
      </c>
      <c r="Q3" s="107" t="s">
        <v>170</v>
      </c>
      <c r="R3" s="34" t="s">
        <v>110</v>
      </c>
      <c r="S3" s="35" t="s">
        <v>111</v>
      </c>
      <c r="T3" s="36" t="s">
        <v>112</v>
      </c>
      <c r="U3" s="110" t="s">
        <v>171</v>
      </c>
      <c r="W3" s="165" t="s">
        <v>108</v>
      </c>
      <c r="X3" s="165"/>
      <c r="Y3" s="37" t="s">
        <v>109</v>
      </c>
      <c r="Z3" s="37" t="s">
        <v>22</v>
      </c>
      <c r="AA3" s="37" t="s">
        <v>170</v>
      </c>
      <c r="AB3" s="37" t="s">
        <v>110</v>
      </c>
      <c r="AC3" s="110" t="s">
        <v>111</v>
      </c>
      <c r="AD3" s="110" t="s">
        <v>112</v>
      </c>
      <c r="AE3" s="110" t="s">
        <v>171</v>
      </c>
      <c r="AG3" s="111" t="s">
        <v>113</v>
      </c>
      <c r="AH3" s="111" t="s">
        <v>114</v>
      </c>
      <c r="AI3" s="111" t="s">
        <v>115</v>
      </c>
      <c r="AJ3" s="111" t="s">
        <v>116</v>
      </c>
    </row>
    <row r="4" spans="2:36" ht="39" customHeight="1">
      <c r="B4" s="38">
        <v>1</v>
      </c>
      <c r="C4" s="39" t="s">
        <v>32</v>
      </c>
      <c r="D4" s="40" t="s">
        <v>117</v>
      </c>
      <c r="E4" s="41" t="s">
        <v>118</v>
      </c>
      <c r="F4" s="38">
        <v>42</v>
      </c>
      <c r="G4" s="38">
        <v>189</v>
      </c>
      <c r="H4" s="42">
        <v>0.19</v>
      </c>
      <c r="I4" s="114">
        <v>196537.79422879199</v>
      </c>
      <c r="J4" s="115">
        <f>ROUND(I4*(1+H4),0)</f>
        <v>233880</v>
      </c>
      <c r="K4" s="45">
        <f>I4/G4</f>
        <v>1039.8825091470476</v>
      </c>
      <c r="M4" s="39" t="s">
        <v>32</v>
      </c>
      <c r="N4" s="40" t="s">
        <v>117</v>
      </c>
      <c r="O4" s="41" t="s">
        <v>118</v>
      </c>
      <c r="P4" s="38">
        <v>42</v>
      </c>
      <c r="Q4" s="38">
        <v>189</v>
      </c>
      <c r="R4" s="42">
        <v>0.19</v>
      </c>
      <c r="S4" s="46">
        <v>216192</v>
      </c>
      <c r="T4" s="44">
        <v>257268</v>
      </c>
      <c r="U4" s="45">
        <f>S4/Q4</f>
        <v>1143.8730158730159</v>
      </c>
      <c r="W4" s="39" t="s">
        <v>32</v>
      </c>
      <c r="X4" s="40" t="s">
        <v>117</v>
      </c>
      <c r="Y4" s="41" t="s">
        <v>118</v>
      </c>
      <c r="Z4" s="38">
        <v>42</v>
      </c>
      <c r="AA4" s="38">
        <v>189</v>
      </c>
      <c r="AB4" s="42">
        <v>0.19</v>
      </c>
      <c r="AC4" s="43">
        <v>192607</v>
      </c>
      <c r="AD4" s="45">
        <v>229202</v>
      </c>
      <c r="AE4" s="45">
        <f>AC4/AA4</f>
        <v>1019.0846560846561</v>
      </c>
      <c r="AG4" s="45">
        <f>AVERAGE(K4,U4,AE4)</f>
        <v>1067.6133937015732</v>
      </c>
      <c r="AH4" s="45">
        <f>MEDIAN(K4,U4,AE4)</f>
        <v>1039.8825091470476</v>
      </c>
      <c r="AI4" s="44">
        <f>_xlfn.STDEV.S(K4,U4,AE4)</f>
        <v>66.856451844976064</v>
      </c>
      <c r="AJ4" s="47">
        <f t="shared" ref="AJ4:AJ40" si="0">(AI4/AG4)*100</f>
        <v>6.2622342731365412</v>
      </c>
    </row>
    <row r="5" spans="2:36" ht="13.5" customHeight="1">
      <c r="B5" s="38">
        <v>2</v>
      </c>
      <c r="C5" s="48" t="s">
        <v>32</v>
      </c>
      <c r="D5" s="48" t="s">
        <v>34</v>
      </c>
      <c r="E5" s="41" t="s">
        <v>118</v>
      </c>
      <c r="F5" s="38">
        <v>10</v>
      </c>
      <c r="G5" s="38">
        <v>189</v>
      </c>
      <c r="H5" s="42">
        <v>0.19</v>
      </c>
      <c r="I5" s="114">
        <v>211182.61906873379</v>
      </c>
      <c r="J5" s="115">
        <f t="shared" ref="J5:J40" si="1">ROUND(I5*(1+H5),0)</f>
        <v>251307</v>
      </c>
      <c r="K5" s="45">
        <f t="shared" ref="K5:K40" si="2">I5/G5</f>
        <v>1117.3683548610254</v>
      </c>
      <c r="M5" s="48" t="s">
        <v>32</v>
      </c>
      <c r="N5" s="48" t="s">
        <v>34</v>
      </c>
      <c r="O5" s="41" t="s">
        <v>118</v>
      </c>
      <c r="P5" s="38">
        <v>10</v>
      </c>
      <c r="Q5" s="38">
        <v>189</v>
      </c>
      <c r="R5" s="42">
        <v>0.19</v>
      </c>
      <c r="S5" s="46">
        <v>232301</v>
      </c>
      <c r="T5" s="44">
        <v>276438</v>
      </c>
      <c r="U5" s="45">
        <f t="shared" ref="U5:U40" si="3">S5/Q5</f>
        <v>1229.1058201058202</v>
      </c>
      <c r="W5" s="48" t="s">
        <v>32</v>
      </c>
      <c r="X5" s="48" t="s">
        <v>34</v>
      </c>
      <c r="Y5" s="41" t="s">
        <v>118</v>
      </c>
      <c r="Z5" s="38">
        <v>10</v>
      </c>
      <c r="AA5" s="38">
        <v>189</v>
      </c>
      <c r="AB5" s="42">
        <v>0.19</v>
      </c>
      <c r="AC5" s="43">
        <v>206959</v>
      </c>
      <c r="AD5" s="45">
        <v>246281</v>
      </c>
      <c r="AE5" s="45">
        <f t="shared" ref="AE5:AE40" si="4">AC5/AA5</f>
        <v>1095.0211640211639</v>
      </c>
      <c r="AG5" s="45">
        <f t="shared" ref="AG5:AG40" si="5">AVERAGE(K5,U5,AE5)</f>
        <v>1147.165112996003</v>
      </c>
      <c r="AH5" s="45">
        <f t="shared" ref="AH5:AH40" si="6">MEDIAN(K5,U5,AE5)</f>
        <v>1117.3683548610254</v>
      </c>
      <c r="AI5" s="44">
        <f t="shared" ref="AI5:AI40" si="7">_xlfn.STDEV.S(K5,U5,AE5)</f>
        <v>71.837029767738215</v>
      </c>
      <c r="AJ5" s="47">
        <f t="shared" si="0"/>
        <v>6.2621351498499163</v>
      </c>
    </row>
    <row r="6" spans="2:36" ht="13.5" customHeight="1">
      <c r="B6" s="38">
        <v>3</v>
      </c>
      <c r="C6" s="48" t="s">
        <v>32</v>
      </c>
      <c r="D6" s="48" t="s">
        <v>34</v>
      </c>
      <c r="E6" s="41" t="s">
        <v>118</v>
      </c>
      <c r="F6" s="38">
        <v>11</v>
      </c>
      <c r="G6" s="38">
        <v>189</v>
      </c>
      <c r="H6" s="42">
        <v>0.19</v>
      </c>
      <c r="I6" s="114">
        <v>211182.61906873379</v>
      </c>
      <c r="J6" s="115">
        <f t="shared" si="1"/>
        <v>251307</v>
      </c>
      <c r="K6" s="45">
        <f t="shared" si="2"/>
        <v>1117.3683548610254</v>
      </c>
      <c r="M6" s="48" t="s">
        <v>32</v>
      </c>
      <c r="N6" s="48" t="s">
        <v>34</v>
      </c>
      <c r="O6" s="41" t="s">
        <v>118</v>
      </c>
      <c r="P6" s="38">
        <v>11</v>
      </c>
      <c r="Q6" s="38">
        <v>189</v>
      </c>
      <c r="R6" s="42">
        <v>0.19</v>
      </c>
      <c r="S6" s="46">
        <v>232301</v>
      </c>
      <c r="T6" s="44">
        <v>276438</v>
      </c>
      <c r="U6" s="45">
        <f t="shared" si="3"/>
        <v>1229.1058201058202</v>
      </c>
      <c r="W6" s="48" t="s">
        <v>32</v>
      </c>
      <c r="X6" s="48" t="s">
        <v>34</v>
      </c>
      <c r="Y6" s="41" t="s">
        <v>118</v>
      </c>
      <c r="Z6" s="38">
        <v>11</v>
      </c>
      <c r="AA6" s="38">
        <v>189</v>
      </c>
      <c r="AB6" s="42">
        <v>0.19</v>
      </c>
      <c r="AC6" s="43">
        <v>206959</v>
      </c>
      <c r="AD6" s="45">
        <v>246281</v>
      </c>
      <c r="AE6" s="45">
        <f t="shared" si="4"/>
        <v>1095.0211640211639</v>
      </c>
      <c r="AG6" s="45">
        <f t="shared" si="5"/>
        <v>1147.165112996003</v>
      </c>
      <c r="AH6" s="45">
        <f t="shared" si="6"/>
        <v>1117.3683548610254</v>
      </c>
      <c r="AI6" s="44">
        <f t="shared" si="7"/>
        <v>71.837029767738215</v>
      </c>
      <c r="AJ6" s="47">
        <f t="shared" si="0"/>
        <v>6.2621351498499163</v>
      </c>
    </row>
    <row r="7" spans="2:36" ht="26.25" customHeight="1">
      <c r="B7" s="38">
        <v>4</v>
      </c>
      <c r="C7" s="48" t="s">
        <v>35</v>
      </c>
      <c r="D7" s="48" t="s">
        <v>119</v>
      </c>
      <c r="E7" s="41" t="s">
        <v>118</v>
      </c>
      <c r="F7" s="38">
        <v>2</v>
      </c>
      <c r="G7" s="38">
        <v>189</v>
      </c>
      <c r="H7" s="42">
        <v>0.19</v>
      </c>
      <c r="I7" s="114">
        <v>1866684.5574969987</v>
      </c>
      <c r="J7" s="115">
        <f t="shared" si="1"/>
        <v>2221355</v>
      </c>
      <c r="K7" s="45">
        <f t="shared" si="2"/>
        <v>9876.6378703544906</v>
      </c>
      <c r="M7" s="48" t="s">
        <v>35</v>
      </c>
      <c r="N7" s="48" t="s">
        <v>36</v>
      </c>
      <c r="O7" s="41" t="s">
        <v>118</v>
      </c>
      <c r="P7" s="38">
        <v>2</v>
      </c>
      <c r="Q7" s="38">
        <v>189</v>
      </c>
      <c r="R7" s="42">
        <v>0.19</v>
      </c>
      <c r="S7" s="46">
        <v>2053353</v>
      </c>
      <c r="T7" s="44">
        <v>2443490</v>
      </c>
      <c r="U7" s="45">
        <f t="shared" si="3"/>
        <v>10864.301587301587</v>
      </c>
      <c r="W7" s="48" t="s">
        <v>35</v>
      </c>
      <c r="X7" s="48" t="s">
        <v>119</v>
      </c>
      <c r="Y7" s="41" t="s">
        <v>118</v>
      </c>
      <c r="Z7" s="38">
        <v>2</v>
      </c>
      <c r="AA7" s="38">
        <v>189</v>
      </c>
      <c r="AB7" s="42">
        <v>0.19</v>
      </c>
      <c r="AC7" s="43">
        <v>1829351</v>
      </c>
      <c r="AD7" s="45">
        <v>2176928</v>
      </c>
      <c r="AE7" s="45">
        <f t="shared" si="4"/>
        <v>9679.1058201058204</v>
      </c>
      <c r="AG7" s="45">
        <f t="shared" si="5"/>
        <v>10140.0150925873</v>
      </c>
      <c r="AH7" s="45">
        <f t="shared" si="6"/>
        <v>9876.6378703544906</v>
      </c>
      <c r="AI7" s="44">
        <f t="shared" si="7"/>
        <v>634.97867880582646</v>
      </c>
      <c r="AJ7" s="47">
        <f t="shared" si="0"/>
        <v>6.2621078273346713</v>
      </c>
    </row>
    <row r="8" spans="2:36" ht="26.25" customHeight="1">
      <c r="B8" s="38">
        <v>5</v>
      </c>
      <c r="C8" s="48" t="s">
        <v>37</v>
      </c>
      <c r="D8" s="48" t="s">
        <v>38</v>
      </c>
      <c r="E8" s="41" t="s">
        <v>118</v>
      </c>
      <c r="F8" s="38">
        <v>2</v>
      </c>
      <c r="G8" s="38">
        <v>189</v>
      </c>
      <c r="H8" s="42">
        <v>0.19</v>
      </c>
      <c r="I8" s="114">
        <v>853220.22980533645</v>
      </c>
      <c r="J8" s="115">
        <f t="shared" si="1"/>
        <v>1015332</v>
      </c>
      <c r="K8" s="45">
        <f t="shared" si="2"/>
        <v>4514.3927502927854</v>
      </c>
      <c r="M8" s="48" t="s">
        <v>37</v>
      </c>
      <c r="N8" s="48" t="s">
        <v>38</v>
      </c>
      <c r="O8" s="41" t="s">
        <v>118</v>
      </c>
      <c r="P8" s="38">
        <v>2</v>
      </c>
      <c r="Q8" s="38">
        <v>189</v>
      </c>
      <c r="R8" s="42">
        <v>0.19</v>
      </c>
      <c r="S8" s="46">
        <v>938542</v>
      </c>
      <c r="T8" s="44">
        <v>1116865</v>
      </c>
      <c r="U8" s="45">
        <f t="shared" si="3"/>
        <v>4965.8306878306876</v>
      </c>
      <c r="W8" s="48" t="s">
        <v>37</v>
      </c>
      <c r="X8" s="48" t="s">
        <v>38</v>
      </c>
      <c r="Y8" s="41" t="s">
        <v>118</v>
      </c>
      <c r="Z8" s="38">
        <v>2</v>
      </c>
      <c r="AA8" s="38">
        <v>189</v>
      </c>
      <c r="AB8" s="42">
        <v>0.19</v>
      </c>
      <c r="AC8" s="43">
        <v>836156</v>
      </c>
      <c r="AD8" s="45">
        <v>995025</v>
      </c>
      <c r="AE8" s="45">
        <f t="shared" si="4"/>
        <v>4424.1058201058204</v>
      </c>
      <c r="AG8" s="45">
        <f t="shared" si="5"/>
        <v>4634.7764194097645</v>
      </c>
      <c r="AH8" s="45">
        <f t="shared" si="6"/>
        <v>4514.3927502927854</v>
      </c>
      <c r="AI8" s="44">
        <f t="shared" si="7"/>
        <v>290.23374876197795</v>
      </c>
      <c r="AJ8" s="47">
        <f t="shared" si="0"/>
        <v>6.2620873694472419</v>
      </c>
    </row>
    <row r="9" spans="2:36" ht="39" customHeight="1">
      <c r="B9" s="38">
        <v>6</v>
      </c>
      <c r="C9" s="48" t="s">
        <v>39</v>
      </c>
      <c r="D9" s="48" t="s">
        <v>40</v>
      </c>
      <c r="E9" s="41" t="s">
        <v>118</v>
      </c>
      <c r="F9" s="38">
        <v>1</v>
      </c>
      <c r="G9" s="38">
        <v>189</v>
      </c>
      <c r="H9" s="42">
        <v>0.19</v>
      </c>
      <c r="I9" s="114">
        <v>662837.50688608608</v>
      </c>
      <c r="J9" s="115">
        <f t="shared" si="1"/>
        <v>788777</v>
      </c>
      <c r="K9" s="45">
        <f t="shared" si="2"/>
        <v>3507.0767560110376</v>
      </c>
      <c r="M9" s="48" t="s">
        <v>39</v>
      </c>
      <c r="N9" s="48" t="s">
        <v>40</v>
      </c>
      <c r="O9" s="41" t="s">
        <v>118</v>
      </c>
      <c r="P9" s="38">
        <v>1</v>
      </c>
      <c r="Q9" s="38">
        <v>189</v>
      </c>
      <c r="R9" s="42">
        <v>0.19</v>
      </c>
      <c r="S9" s="46">
        <v>729121</v>
      </c>
      <c r="T9" s="44">
        <v>867654</v>
      </c>
      <c r="U9" s="45">
        <f t="shared" si="3"/>
        <v>3857.7830687830688</v>
      </c>
      <c r="W9" s="48" t="s">
        <v>39</v>
      </c>
      <c r="X9" s="48" t="s">
        <v>40</v>
      </c>
      <c r="Y9" s="41" t="s">
        <v>118</v>
      </c>
      <c r="Z9" s="38">
        <v>1</v>
      </c>
      <c r="AA9" s="38">
        <v>189</v>
      </c>
      <c r="AB9" s="42">
        <v>0.19</v>
      </c>
      <c r="AC9" s="43">
        <v>649581</v>
      </c>
      <c r="AD9" s="45">
        <v>773001</v>
      </c>
      <c r="AE9" s="45">
        <f t="shared" si="4"/>
        <v>3436.936507936508</v>
      </c>
      <c r="AG9" s="45">
        <f t="shared" si="5"/>
        <v>3600.5987775768713</v>
      </c>
      <c r="AH9" s="45">
        <f t="shared" si="6"/>
        <v>3507.0767560110376</v>
      </c>
      <c r="AI9" s="44">
        <f t="shared" si="7"/>
        <v>225.47224514874267</v>
      </c>
      <c r="AJ9" s="47">
        <f t="shared" si="0"/>
        <v>6.2620763677668316</v>
      </c>
    </row>
    <row r="10" spans="2:36" ht="13.5" customHeight="1">
      <c r="B10" s="38">
        <v>7</v>
      </c>
      <c r="C10" s="48" t="s">
        <v>41</v>
      </c>
      <c r="D10" s="48" t="s">
        <v>42</v>
      </c>
      <c r="E10" s="41" t="s">
        <v>118</v>
      </c>
      <c r="F10" s="38">
        <v>1</v>
      </c>
      <c r="G10" s="38">
        <v>189</v>
      </c>
      <c r="H10" s="42">
        <v>0.19</v>
      </c>
      <c r="I10" s="114">
        <v>1774570.7316921439</v>
      </c>
      <c r="J10" s="115">
        <f t="shared" si="1"/>
        <v>2111739</v>
      </c>
      <c r="K10" s="45">
        <f t="shared" si="2"/>
        <v>9389.2631306462645</v>
      </c>
      <c r="M10" s="48" t="s">
        <v>41</v>
      </c>
      <c r="N10" s="48" t="s">
        <v>42</v>
      </c>
      <c r="O10" s="41" t="s">
        <v>118</v>
      </c>
      <c r="P10" s="38">
        <v>1</v>
      </c>
      <c r="Q10" s="38">
        <v>189</v>
      </c>
      <c r="R10" s="42">
        <v>0.19</v>
      </c>
      <c r="S10" s="46">
        <v>1952028</v>
      </c>
      <c r="T10" s="44">
        <v>2322913</v>
      </c>
      <c r="U10" s="45">
        <f t="shared" si="3"/>
        <v>10328.190476190477</v>
      </c>
      <c r="W10" s="48" t="s">
        <v>41</v>
      </c>
      <c r="X10" s="48" t="s">
        <v>42</v>
      </c>
      <c r="Y10" s="41" t="s">
        <v>118</v>
      </c>
      <c r="Z10" s="38">
        <v>1</v>
      </c>
      <c r="AA10" s="38">
        <v>189</v>
      </c>
      <c r="AB10" s="42">
        <v>0.19</v>
      </c>
      <c r="AC10" s="43">
        <v>1739079</v>
      </c>
      <c r="AD10" s="45">
        <v>2069504</v>
      </c>
      <c r="AE10" s="45">
        <f t="shared" si="4"/>
        <v>9201.4761904761908</v>
      </c>
      <c r="AG10" s="45">
        <f t="shared" si="5"/>
        <v>9639.6432657709775</v>
      </c>
      <c r="AH10" s="45">
        <f t="shared" si="6"/>
        <v>9389.2631306462645</v>
      </c>
      <c r="AI10" s="44">
        <f t="shared" si="7"/>
        <v>603.6463612554669</v>
      </c>
      <c r="AJ10" s="47">
        <f t="shared" si="0"/>
        <v>6.2621234480629644</v>
      </c>
    </row>
    <row r="11" spans="2:36" ht="13.5" customHeight="1">
      <c r="B11" s="38">
        <v>8</v>
      </c>
      <c r="C11" s="48" t="s">
        <v>41</v>
      </c>
      <c r="D11" s="48" t="s">
        <v>43</v>
      </c>
      <c r="E11" s="41" t="s">
        <v>118</v>
      </c>
      <c r="F11" s="38">
        <v>4</v>
      </c>
      <c r="G11" s="38">
        <v>189</v>
      </c>
      <c r="H11" s="42">
        <v>0.19</v>
      </c>
      <c r="I11" s="114">
        <v>793791.95509252709</v>
      </c>
      <c r="J11" s="115">
        <f t="shared" si="1"/>
        <v>944612</v>
      </c>
      <c r="K11" s="45">
        <f t="shared" si="2"/>
        <v>4199.9574343519953</v>
      </c>
      <c r="M11" s="48" t="s">
        <v>41</v>
      </c>
      <c r="N11" s="48" t="s">
        <v>43</v>
      </c>
      <c r="O11" s="41" t="s">
        <v>118</v>
      </c>
      <c r="P11" s="38">
        <v>4</v>
      </c>
      <c r="Q11" s="38">
        <v>189</v>
      </c>
      <c r="R11" s="42">
        <v>0.19</v>
      </c>
      <c r="S11" s="46">
        <v>873171</v>
      </c>
      <c r="T11" s="44">
        <v>1039074</v>
      </c>
      <c r="U11" s="45">
        <f t="shared" si="3"/>
        <v>4619.9523809523807</v>
      </c>
      <c r="W11" s="48" t="s">
        <v>41</v>
      </c>
      <c r="X11" s="48" t="s">
        <v>43</v>
      </c>
      <c r="Y11" s="41" t="s">
        <v>118</v>
      </c>
      <c r="Z11" s="38">
        <v>4</v>
      </c>
      <c r="AA11" s="38">
        <v>189</v>
      </c>
      <c r="AB11" s="42">
        <v>0.19</v>
      </c>
      <c r="AC11" s="43">
        <v>777916</v>
      </c>
      <c r="AD11" s="45">
        <v>925720</v>
      </c>
      <c r="AE11" s="45">
        <f t="shared" si="4"/>
        <v>4115.9576719576717</v>
      </c>
      <c r="AG11" s="45">
        <f t="shared" si="5"/>
        <v>4311.9558290873492</v>
      </c>
      <c r="AH11" s="45">
        <f t="shared" si="6"/>
        <v>4199.9574343519953</v>
      </c>
      <c r="AI11" s="44">
        <f t="shared" si="7"/>
        <v>270.01925300085082</v>
      </c>
      <c r="AJ11" s="47">
        <f t="shared" si="0"/>
        <v>6.2621061927251223</v>
      </c>
    </row>
    <row r="12" spans="2:36" ht="26.25" customHeight="1">
      <c r="B12" s="38">
        <v>9</v>
      </c>
      <c r="C12" s="48" t="s">
        <v>44</v>
      </c>
      <c r="D12" s="48" t="s">
        <v>45</v>
      </c>
      <c r="E12" s="41" t="s">
        <v>118</v>
      </c>
      <c r="F12" s="38">
        <v>3</v>
      </c>
      <c r="G12" s="38">
        <v>189</v>
      </c>
      <c r="H12" s="42">
        <v>0.19</v>
      </c>
      <c r="I12" s="114">
        <v>1046362.1226219675</v>
      </c>
      <c r="J12" s="115">
        <f t="shared" si="1"/>
        <v>1245171</v>
      </c>
      <c r="K12" s="45">
        <f t="shared" si="2"/>
        <v>5536.3075271003572</v>
      </c>
      <c r="M12" s="48" t="s">
        <v>44</v>
      </c>
      <c r="N12" s="48" t="s">
        <v>45</v>
      </c>
      <c r="O12" s="41" t="s">
        <v>118</v>
      </c>
      <c r="P12" s="38">
        <v>3</v>
      </c>
      <c r="Q12" s="38">
        <v>189</v>
      </c>
      <c r="R12" s="42">
        <v>0.19</v>
      </c>
      <c r="S12" s="46">
        <v>1150998</v>
      </c>
      <c r="T12" s="44">
        <v>1369688</v>
      </c>
      <c r="U12" s="45">
        <f t="shared" si="3"/>
        <v>6089.936507936508</v>
      </c>
      <c r="W12" s="48" t="s">
        <v>44</v>
      </c>
      <c r="X12" s="48" t="s">
        <v>45</v>
      </c>
      <c r="Y12" s="41" t="s">
        <v>118</v>
      </c>
      <c r="Z12" s="38">
        <v>3</v>
      </c>
      <c r="AA12" s="38">
        <v>189</v>
      </c>
      <c r="AB12" s="42">
        <v>0.19</v>
      </c>
      <c r="AC12" s="43">
        <v>1025435</v>
      </c>
      <c r="AD12" s="45">
        <v>1220268</v>
      </c>
      <c r="AE12" s="45">
        <f t="shared" si="4"/>
        <v>5425.5820105820103</v>
      </c>
      <c r="AG12" s="45">
        <f t="shared" si="5"/>
        <v>5683.9420152062921</v>
      </c>
      <c r="AH12" s="45">
        <f t="shared" si="6"/>
        <v>5536.3075271003572</v>
      </c>
      <c r="AI12" s="44">
        <f t="shared" si="7"/>
        <v>355.93353466274124</v>
      </c>
      <c r="AJ12" s="47">
        <f t="shared" si="0"/>
        <v>6.2620894743561708</v>
      </c>
    </row>
    <row r="13" spans="2:36" ht="13.5" customHeight="1">
      <c r="B13" s="38">
        <v>10</v>
      </c>
      <c r="C13" s="48" t="s">
        <v>46</v>
      </c>
      <c r="D13" s="48" t="s">
        <v>47</v>
      </c>
      <c r="E13" s="41" t="s">
        <v>118</v>
      </c>
      <c r="F13" s="38">
        <v>6</v>
      </c>
      <c r="G13" s="38">
        <v>189</v>
      </c>
      <c r="H13" s="42">
        <v>0.19</v>
      </c>
      <c r="I13" s="114">
        <v>2139417.8896611426</v>
      </c>
      <c r="J13" s="115">
        <f t="shared" si="1"/>
        <v>2545907</v>
      </c>
      <c r="K13" s="45">
        <f t="shared" si="2"/>
        <v>11319.671373868479</v>
      </c>
      <c r="M13" s="48" t="s">
        <v>46</v>
      </c>
      <c r="N13" s="48" t="s">
        <v>47</v>
      </c>
      <c r="O13" s="41" t="s">
        <v>118</v>
      </c>
      <c r="P13" s="38">
        <v>6</v>
      </c>
      <c r="Q13" s="38">
        <v>189</v>
      </c>
      <c r="R13" s="42">
        <v>0.19</v>
      </c>
      <c r="S13" s="46">
        <v>2353360</v>
      </c>
      <c r="T13" s="44">
        <v>2800498</v>
      </c>
      <c r="U13" s="45">
        <f t="shared" si="3"/>
        <v>12451.640211640211</v>
      </c>
      <c r="W13" s="48" t="s">
        <v>46</v>
      </c>
      <c r="X13" s="48" t="s">
        <v>47</v>
      </c>
      <c r="Y13" s="41" t="s">
        <v>118</v>
      </c>
      <c r="Z13" s="38">
        <v>6</v>
      </c>
      <c r="AA13" s="38">
        <v>189</v>
      </c>
      <c r="AB13" s="42">
        <v>0.19</v>
      </c>
      <c r="AC13" s="43">
        <v>2096630</v>
      </c>
      <c r="AD13" s="45">
        <v>2494989</v>
      </c>
      <c r="AE13" s="45">
        <f t="shared" si="4"/>
        <v>11093.280423280423</v>
      </c>
      <c r="AG13" s="45">
        <f t="shared" si="5"/>
        <v>11621.530669596372</v>
      </c>
      <c r="AH13" s="45">
        <f t="shared" si="6"/>
        <v>11319.671373868479</v>
      </c>
      <c r="AI13" s="44">
        <f t="shared" si="7"/>
        <v>727.75312055065524</v>
      </c>
      <c r="AJ13" s="47">
        <f t="shared" si="0"/>
        <v>6.2621107429038076</v>
      </c>
    </row>
    <row r="14" spans="2:36" ht="13.5" customHeight="1">
      <c r="B14" s="38">
        <v>11</v>
      </c>
      <c r="C14" s="48" t="s">
        <v>46</v>
      </c>
      <c r="D14" s="48" t="s">
        <v>48</v>
      </c>
      <c r="E14" s="41" t="s">
        <v>118</v>
      </c>
      <c r="F14" s="38">
        <v>1</v>
      </c>
      <c r="G14" s="38">
        <v>189</v>
      </c>
      <c r="H14" s="42">
        <v>0.19</v>
      </c>
      <c r="I14" s="114">
        <v>1196843.0039483313</v>
      </c>
      <c r="J14" s="115">
        <f t="shared" si="1"/>
        <v>1424243</v>
      </c>
      <c r="K14" s="45">
        <f t="shared" si="2"/>
        <v>6332.5026663932877</v>
      </c>
      <c r="M14" s="48" t="s">
        <v>46</v>
      </c>
      <c r="N14" s="48" t="s">
        <v>48</v>
      </c>
      <c r="O14" s="41" t="s">
        <v>118</v>
      </c>
      <c r="P14" s="38">
        <v>1</v>
      </c>
      <c r="Q14" s="38">
        <v>189</v>
      </c>
      <c r="R14" s="42">
        <v>0.19</v>
      </c>
      <c r="S14" s="46">
        <v>1316527</v>
      </c>
      <c r="T14" s="44">
        <v>1566667</v>
      </c>
      <c r="U14" s="45">
        <f t="shared" si="3"/>
        <v>6965.7513227513227</v>
      </c>
      <c r="W14" s="48" t="s">
        <v>46</v>
      </c>
      <c r="X14" s="48" t="s">
        <v>48</v>
      </c>
      <c r="Y14" s="41" t="s">
        <v>118</v>
      </c>
      <c r="Z14" s="38">
        <v>1</v>
      </c>
      <c r="AA14" s="38">
        <v>189</v>
      </c>
      <c r="AB14" s="42">
        <v>0.19</v>
      </c>
      <c r="AC14" s="43">
        <v>1172906</v>
      </c>
      <c r="AD14" s="45">
        <v>1395758</v>
      </c>
      <c r="AE14" s="45">
        <f t="shared" si="4"/>
        <v>6205.8518518518522</v>
      </c>
      <c r="AG14" s="45">
        <f t="shared" si="5"/>
        <v>6501.3686136654869</v>
      </c>
      <c r="AH14" s="45">
        <f t="shared" si="6"/>
        <v>6332.5026663932877</v>
      </c>
      <c r="AI14" s="44">
        <f t="shared" si="7"/>
        <v>407.12231894042225</v>
      </c>
      <c r="AJ14" s="47">
        <f t="shared" si="0"/>
        <v>6.2621017686133884</v>
      </c>
    </row>
    <row r="15" spans="2:36" ht="13.5" customHeight="1">
      <c r="B15" s="38">
        <v>12</v>
      </c>
      <c r="C15" s="48" t="s">
        <v>46</v>
      </c>
      <c r="D15" s="48" t="s">
        <v>49</v>
      </c>
      <c r="E15" s="41" t="s">
        <v>118</v>
      </c>
      <c r="F15" s="38">
        <v>1</v>
      </c>
      <c r="G15" s="38">
        <v>189</v>
      </c>
      <c r="H15" s="42">
        <v>0.19</v>
      </c>
      <c r="I15" s="114">
        <v>1161398.2829589059</v>
      </c>
      <c r="J15" s="115">
        <f t="shared" si="1"/>
        <v>1382064</v>
      </c>
      <c r="K15" s="45">
        <f t="shared" si="2"/>
        <v>6144.9644601000309</v>
      </c>
      <c r="M15" s="48" t="s">
        <v>46</v>
      </c>
      <c r="N15" s="48" t="s">
        <v>49</v>
      </c>
      <c r="O15" s="41" t="s">
        <v>118</v>
      </c>
      <c r="P15" s="38">
        <v>1</v>
      </c>
      <c r="Q15" s="38">
        <v>189</v>
      </c>
      <c r="R15" s="42">
        <v>0.19</v>
      </c>
      <c r="S15" s="46">
        <v>1277538</v>
      </c>
      <c r="T15" s="44">
        <v>1520270</v>
      </c>
      <c r="U15" s="45">
        <f t="shared" si="3"/>
        <v>6759.4603174603171</v>
      </c>
      <c r="W15" s="48" t="s">
        <v>46</v>
      </c>
      <c r="X15" s="48" t="s">
        <v>49</v>
      </c>
      <c r="Y15" s="41" t="s">
        <v>118</v>
      </c>
      <c r="Z15" s="38">
        <v>1</v>
      </c>
      <c r="AA15" s="38">
        <v>189</v>
      </c>
      <c r="AB15" s="42">
        <v>0.19</v>
      </c>
      <c r="AC15" s="43">
        <v>1138170</v>
      </c>
      <c r="AD15" s="45">
        <v>1354423</v>
      </c>
      <c r="AE15" s="45">
        <f t="shared" si="4"/>
        <v>6022.063492063492</v>
      </c>
      <c r="AG15" s="45">
        <f t="shared" si="5"/>
        <v>6308.8294232079461</v>
      </c>
      <c r="AH15" s="45">
        <f t="shared" si="6"/>
        <v>6144.9644601000309</v>
      </c>
      <c r="AI15" s="44">
        <f t="shared" si="7"/>
        <v>395.06621486416412</v>
      </c>
      <c r="AJ15" s="47">
        <f t="shared" si="0"/>
        <v>6.2621159705294236</v>
      </c>
    </row>
    <row r="16" spans="2:36" ht="26.25" customHeight="1">
      <c r="B16" s="38">
        <v>13</v>
      </c>
      <c r="C16" s="48" t="s">
        <v>51</v>
      </c>
      <c r="D16" s="48" t="s">
        <v>52</v>
      </c>
      <c r="E16" s="41" t="s">
        <v>118</v>
      </c>
      <c r="F16" s="38">
        <v>3</v>
      </c>
      <c r="G16" s="38">
        <v>189</v>
      </c>
      <c r="H16" s="42">
        <v>0.19</v>
      </c>
      <c r="I16" s="114">
        <v>188684.77221317019</v>
      </c>
      <c r="J16" s="115">
        <f t="shared" si="1"/>
        <v>224535</v>
      </c>
      <c r="K16" s="45">
        <f t="shared" si="2"/>
        <v>998.33212811201156</v>
      </c>
      <c r="M16" s="48" t="s">
        <v>51</v>
      </c>
      <c r="N16" s="48" t="s">
        <v>52</v>
      </c>
      <c r="O16" s="41" t="s">
        <v>118</v>
      </c>
      <c r="P16" s="38">
        <v>3</v>
      </c>
      <c r="Q16" s="38">
        <v>189</v>
      </c>
      <c r="R16" s="42">
        <v>0.19</v>
      </c>
      <c r="S16" s="46">
        <v>207553</v>
      </c>
      <c r="T16" s="44">
        <v>246988</v>
      </c>
      <c r="U16" s="45">
        <f t="shared" si="3"/>
        <v>1098.1640211640211</v>
      </c>
      <c r="W16" s="48" t="s">
        <v>51</v>
      </c>
      <c r="X16" s="48" t="s">
        <v>52</v>
      </c>
      <c r="Y16" s="41" t="s">
        <v>118</v>
      </c>
      <c r="Z16" s="38">
        <v>3</v>
      </c>
      <c r="AA16" s="38">
        <v>189</v>
      </c>
      <c r="AB16" s="42">
        <v>0.19</v>
      </c>
      <c r="AC16" s="43">
        <v>184911</v>
      </c>
      <c r="AD16" s="45">
        <v>220044</v>
      </c>
      <c r="AE16" s="45">
        <f t="shared" si="4"/>
        <v>978.3650793650794</v>
      </c>
      <c r="AG16" s="45">
        <f t="shared" si="5"/>
        <v>1024.9537428803708</v>
      </c>
      <c r="AH16" s="45">
        <f t="shared" si="6"/>
        <v>998.33212811201156</v>
      </c>
      <c r="AI16" s="44">
        <f t="shared" si="7"/>
        <v>64.183170642254339</v>
      </c>
      <c r="AJ16" s="47">
        <f t="shared" si="0"/>
        <v>6.2620553452377203</v>
      </c>
    </row>
    <row r="17" spans="2:36" ht="13.5" customHeight="1">
      <c r="B17" s="38">
        <v>14</v>
      </c>
      <c r="C17" s="48" t="s">
        <v>53</v>
      </c>
      <c r="D17" s="48" t="s">
        <v>54</v>
      </c>
      <c r="E17" s="41" t="s">
        <v>118</v>
      </c>
      <c r="F17" s="38">
        <v>1</v>
      </c>
      <c r="G17" s="38">
        <v>189</v>
      </c>
      <c r="H17" s="42">
        <v>0.19</v>
      </c>
      <c r="I17" s="114">
        <v>1613689.9022910383</v>
      </c>
      <c r="J17" s="115">
        <f t="shared" si="1"/>
        <v>1920291</v>
      </c>
      <c r="K17" s="45">
        <f t="shared" si="2"/>
        <v>8538.0418110636947</v>
      </c>
      <c r="M17" s="48" t="s">
        <v>53</v>
      </c>
      <c r="N17" s="48" t="s">
        <v>54</v>
      </c>
      <c r="O17" s="41" t="s">
        <v>118</v>
      </c>
      <c r="P17" s="38">
        <v>1</v>
      </c>
      <c r="Q17" s="38">
        <v>189</v>
      </c>
      <c r="R17" s="42">
        <v>0.19</v>
      </c>
      <c r="S17" s="46">
        <v>1775059</v>
      </c>
      <c r="T17" s="44">
        <v>2112320</v>
      </c>
      <c r="U17" s="45">
        <f t="shared" si="3"/>
        <v>9391.8465608465613</v>
      </c>
      <c r="W17" s="48" t="s">
        <v>53</v>
      </c>
      <c r="X17" s="48" t="s">
        <v>54</v>
      </c>
      <c r="Y17" s="41" t="s">
        <v>118</v>
      </c>
      <c r="Z17" s="38">
        <v>1</v>
      </c>
      <c r="AA17" s="38">
        <v>189</v>
      </c>
      <c r="AB17" s="42">
        <v>0.19</v>
      </c>
      <c r="AC17" s="43">
        <v>1581416</v>
      </c>
      <c r="AD17" s="45">
        <v>1881885</v>
      </c>
      <c r="AE17" s="45">
        <f t="shared" si="4"/>
        <v>8367.2804232804228</v>
      </c>
      <c r="AG17" s="45">
        <f t="shared" si="5"/>
        <v>8765.7229317302263</v>
      </c>
      <c r="AH17" s="45">
        <f t="shared" si="6"/>
        <v>8538.0418110636947</v>
      </c>
      <c r="AI17" s="44">
        <f t="shared" si="7"/>
        <v>548.91981390069589</v>
      </c>
      <c r="AJ17" s="47">
        <f t="shared" si="0"/>
        <v>6.2621168633303705</v>
      </c>
    </row>
    <row r="18" spans="2:36" ht="26.25" customHeight="1">
      <c r="B18" s="38">
        <v>15</v>
      </c>
      <c r="C18" s="48" t="s">
        <v>55</v>
      </c>
      <c r="D18" s="48" t="s">
        <v>56</v>
      </c>
      <c r="E18" s="41" t="s">
        <v>118</v>
      </c>
      <c r="F18" s="38">
        <v>13</v>
      </c>
      <c r="G18" s="38">
        <v>189</v>
      </c>
      <c r="H18" s="42">
        <v>0.19</v>
      </c>
      <c r="I18" s="114">
        <v>215427.49583393443</v>
      </c>
      <c r="J18" s="115">
        <f t="shared" si="1"/>
        <v>256359</v>
      </c>
      <c r="K18" s="45">
        <f t="shared" si="2"/>
        <v>1139.8280202853673</v>
      </c>
      <c r="M18" s="48" t="s">
        <v>55</v>
      </c>
      <c r="N18" s="48" t="s">
        <v>56</v>
      </c>
      <c r="O18" s="41" t="s">
        <v>118</v>
      </c>
      <c r="P18" s="38">
        <v>13</v>
      </c>
      <c r="Q18" s="38">
        <v>189</v>
      </c>
      <c r="R18" s="42">
        <v>0.19</v>
      </c>
      <c r="S18" s="46">
        <v>236970</v>
      </c>
      <c r="T18" s="44">
        <v>281995</v>
      </c>
      <c r="U18" s="45">
        <f t="shared" si="3"/>
        <v>1253.8095238095239</v>
      </c>
      <c r="W18" s="48" t="s">
        <v>55</v>
      </c>
      <c r="X18" s="48" t="s">
        <v>56</v>
      </c>
      <c r="Y18" s="41" t="s">
        <v>118</v>
      </c>
      <c r="Z18" s="38">
        <v>13</v>
      </c>
      <c r="AA18" s="38">
        <v>189</v>
      </c>
      <c r="AB18" s="42">
        <v>0.19</v>
      </c>
      <c r="AC18" s="43">
        <v>211119</v>
      </c>
      <c r="AD18" s="45">
        <v>251232</v>
      </c>
      <c r="AE18" s="45">
        <f t="shared" si="4"/>
        <v>1117.031746031746</v>
      </c>
      <c r="AG18" s="45">
        <f t="shared" si="5"/>
        <v>1170.2230967088792</v>
      </c>
      <c r="AH18" s="45">
        <f t="shared" si="6"/>
        <v>1139.8280202853673</v>
      </c>
      <c r="AI18" s="44">
        <f t="shared" si="7"/>
        <v>73.279844613305059</v>
      </c>
      <c r="AJ18" s="47">
        <f t="shared" si="0"/>
        <v>6.2620405305104958</v>
      </c>
    </row>
    <row r="19" spans="2:36" ht="26.25" customHeight="1">
      <c r="B19" s="38">
        <v>16</v>
      </c>
      <c r="C19" s="48" t="s">
        <v>55</v>
      </c>
      <c r="D19" s="48" t="s">
        <v>57</v>
      </c>
      <c r="E19" s="41" t="s">
        <v>118</v>
      </c>
      <c r="F19" s="38">
        <v>3</v>
      </c>
      <c r="G19" s="38">
        <v>189</v>
      </c>
      <c r="H19" s="42">
        <v>0.19</v>
      </c>
      <c r="I19" s="114">
        <v>85109.779142273634</v>
      </c>
      <c r="J19" s="115">
        <f t="shared" si="1"/>
        <v>101281</v>
      </c>
      <c r="K19" s="45">
        <f t="shared" si="2"/>
        <v>450.31629175806154</v>
      </c>
      <c r="M19" s="48" t="s">
        <v>55</v>
      </c>
      <c r="N19" s="48" t="s">
        <v>57</v>
      </c>
      <c r="O19" s="41" t="s">
        <v>118</v>
      </c>
      <c r="P19" s="38">
        <v>3</v>
      </c>
      <c r="Q19" s="38">
        <v>189</v>
      </c>
      <c r="R19" s="42">
        <v>0.19</v>
      </c>
      <c r="S19" s="46">
        <v>93621</v>
      </c>
      <c r="T19" s="44">
        <v>111409</v>
      </c>
      <c r="U19" s="45">
        <f t="shared" si="3"/>
        <v>495.34920634920633</v>
      </c>
      <c r="W19" s="48" t="s">
        <v>55</v>
      </c>
      <c r="X19" s="48" t="s">
        <v>57</v>
      </c>
      <c r="Y19" s="41" t="s">
        <v>118</v>
      </c>
      <c r="Z19" s="38">
        <v>3</v>
      </c>
      <c r="AA19" s="38">
        <v>189</v>
      </c>
      <c r="AB19" s="42">
        <v>0.19</v>
      </c>
      <c r="AC19" s="43">
        <v>83408</v>
      </c>
      <c r="AD19" s="45">
        <v>99255</v>
      </c>
      <c r="AE19" s="45">
        <f t="shared" si="4"/>
        <v>441.31216931216932</v>
      </c>
      <c r="AG19" s="45">
        <f t="shared" si="5"/>
        <v>462.32588913981243</v>
      </c>
      <c r="AH19" s="45">
        <f t="shared" si="6"/>
        <v>450.31629175806154</v>
      </c>
      <c r="AI19" s="44">
        <f t="shared" si="7"/>
        <v>28.951220438685226</v>
      </c>
      <c r="AJ19" s="47">
        <f t="shared" si="0"/>
        <v>6.2620807354203905</v>
      </c>
    </row>
    <row r="20" spans="2:36" ht="26.25" customHeight="1">
      <c r="B20" s="38">
        <v>17</v>
      </c>
      <c r="C20" s="48" t="s">
        <v>58</v>
      </c>
      <c r="D20" s="48" t="s">
        <v>59</v>
      </c>
      <c r="E20" s="41" t="s">
        <v>118</v>
      </c>
      <c r="F20" s="38">
        <v>2</v>
      </c>
      <c r="G20" s="38">
        <v>189</v>
      </c>
      <c r="H20" s="42">
        <v>0.19</v>
      </c>
      <c r="I20" s="114">
        <v>115672.89185171852</v>
      </c>
      <c r="J20" s="115">
        <f t="shared" si="1"/>
        <v>137651</v>
      </c>
      <c r="K20" s="45">
        <f t="shared" si="2"/>
        <v>612.02588281332555</v>
      </c>
      <c r="M20" s="48" t="s">
        <v>58</v>
      </c>
      <c r="N20" s="48" t="s">
        <v>59</v>
      </c>
      <c r="O20" s="41" t="s">
        <v>118</v>
      </c>
      <c r="P20" s="38">
        <v>2</v>
      </c>
      <c r="Q20" s="38">
        <v>189</v>
      </c>
      <c r="R20" s="42">
        <v>0.19</v>
      </c>
      <c r="S20" s="46">
        <v>127240</v>
      </c>
      <c r="T20" s="44">
        <v>151416</v>
      </c>
      <c r="U20" s="45">
        <f t="shared" si="3"/>
        <v>673.22751322751321</v>
      </c>
      <c r="W20" s="48" t="s">
        <v>58</v>
      </c>
      <c r="X20" s="48" t="s">
        <v>59</v>
      </c>
      <c r="Y20" s="41" t="s">
        <v>118</v>
      </c>
      <c r="Z20" s="38">
        <v>2</v>
      </c>
      <c r="AA20" s="38">
        <v>189</v>
      </c>
      <c r="AB20" s="42">
        <v>0.19</v>
      </c>
      <c r="AC20" s="43">
        <v>113359</v>
      </c>
      <c r="AD20" s="45">
        <v>134898</v>
      </c>
      <c r="AE20" s="45">
        <f t="shared" si="4"/>
        <v>599.78306878306876</v>
      </c>
      <c r="AG20" s="45">
        <f t="shared" si="5"/>
        <v>628.34548827463584</v>
      </c>
      <c r="AH20" s="45">
        <f t="shared" si="6"/>
        <v>612.02588281332555</v>
      </c>
      <c r="AI20" s="44">
        <f t="shared" si="7"/>
        <v>39.348046288829813</v>
      </c>
      <c r="AJ20" s="47">
        <f t="shared" si="0"/>
        <v>6.2621673940677134</v>
      </c>
    </row>
    <row r="21" spans="2:36" ht="26.25" customHeight="1">
      <c r="B21" s="38">
        <v>18</v>
      </c>
      <c r="C21" s="48" t="s">
        <v>58</v>
      </c>
      <c r="D21" s="48" t="s">
        <v>60</v>
      </c>
      <c r="E21" s="41" t="s">
        <v>118</v>
      </c>
      <c r="F21" s="38">
        <v>1</v>
      </c>
      <c r="G21" s="38">
        <v>189</v>
      </c>
      <c r="H21" s="42">
        <v>0.19</v>
      </c>
      <c r="I21" s="114">
        <v>624421.37216101983</v>
      </c>
      <c r="J21" s="115">
        <f t="shared" si="1"/>
        <v>743061</v>
      </c>
      <c r="K21" s="45">
        <f t="shared" si="2"/>
        <v>3303.8167839207399</v>
      </c>
      <c r="M21" s="48" t="s">
        <v>58</v>
      </c>
      <c r="N21" s="48" t="s">
        <v>60</v>
      </c>
      <c r="O21" s="41" t="s">
        <v>118</v>
      </c>
      <c r="P21" s="38">
        <v>1</v>
      </c>
      <c r="Q21" s="38">
        <v>189</v>
      </c>
      <c r="R21" s="42">
        <v>0.19</v>
      </c>
      <c r="S21" s="46">
        <v>686864</v>
      </c>
      <c r="T21" s="44">
        <v>817368</v>
      </c>
      <c r="U21" s="45">
        <f t="shared" si="3"/>
        <v>3634.201058201058</v>
      </c>
      <c r="W21" s="48" t="s">
        <v>58</v>
      </c>
      <c r="X21" s="48" t="s">
        <v>60</v>
      </c>
      <c r="Y21" s="41" t="s">
        <v>118</v>
      </c>
      <c r="Z21" s="38">
        <v>1</v>
      </c>
      <c r="AA21" s="38">
        <v>189</v>
      </c>
      <c r="AB21" s="42">
        <v>0.19</v>
      </c>
      <c r="AC21" s="43">
        <v>611933</v>
      </c>
      <c r="AD21" s="45">
        <v>728200</v>
      </c>
      <c r="AE21" s="45">
        <f t="shared" si="4"/>
        <v>3237.7407407407409</v>
      </c>
      <c r="AG21" s="45">
        <f t="shared" si="5"/>
        <v>3391.9195276208461</v>
      </c>
      <c r="AH21" s="45">
        <f t="shared" si="6"/>
        <v>3303.8167839207399</v>
      </c>
      <c r="AI21" s="44">
        <f t="shared" si="7"/>
        <v>212.40707595510759</v>
      </c>
      <c r="AJ21" s="47">
        <f t="shared" si="0"/>
        <v>6.2621496242893997</v>
      </c>
    </row>
    <row r="22" spans="2:36" ht="26.25" customHeight="1">
      <c r="B22" s="38">
        <v>19</v>
      </c>
      <c r="C22" s="48" t="s">
        <v>61</v>
      </c>
      <c r="D22" s="48" t="s">
        <v>62</v>
      </c>
      <c r="E22" s="41" t="s">
        <v>118</v>
      </c>
      <c r="F22" s="38">
        <v>3</v>
      </c>
      <c r="G22" s="38">
        <v>189</v>
      </c>
      <c r="H22" s="42">
        <v>0.19</v>
      </c>
      <c r="I22" s="114">
        <v>666021.1644599865</v>
      </c>
      <c r="J22" s="115">
        <f t="shared" si="1"/>
        <v>792565</v>
      </c>
      <c r="K22" s="45">
        <f t="shared" si="2"/>
        <v>3523.9215050792936</v>
      </c>
      <c r="M22" s="48" t="s">
        <v>61</v>
      </c>
      <c r="N22" s="48" t="s">
        <v>62</v>
      </c>
      <c r="O22" s="41" t="s">
        <v>118</v>
      </c>
      <c r="P22" s="38">
        <v>3</v>
      </c>
      <c r="Q22" s="38">
        <v>189</v>
      </c>
      <c r="R22" s="42">
        <v>0.19</v>
      </c>
      <c r="S22" s="46">
        <v>732623</v>
      </c>
      <c r="T22" s="44">
        <v>871822</v>
      </c>
      <c r="U22" s="45">
        <f t="shared" si="3"/>
        <v>3876.3121693121693</v>
      </c>
      <c r="W22" s="48" t="s">
        <v>61</v>
      </c>
      <c r="X22" s="48" t="s">
        <v>62</v>
      </c>
      <c r="Y22" s="41" t="s">
        <v>118</v>
      </c>
      <c r="Z22" s="38">
        <v>3</v>
      </c>
      <c r="AA22" s="38">
        <v>189</v>
      </c>
      <c r="AB22" s="42">
        <v>0.19</v>
      </c>
      <c r="AC22" s="43">
        <v>652701</v>
      </c>
      <c r="AD22" s="45">
        <v>776714</v>
      </c>
      <c r="AE22" s="45">
        <f t="shared" si="4"/>
        <v>3453.4444444444443</v>
      </c>
      <c r="AG22" s="45">
        <f t="shared" si="5"/>
        <v>3617.8927062786356</v>
      </c>
      <c r="AH22" s="45">
        <f t="shared" si="6"/>
        <v>3523.9215050792936</v>
      </c>
      <c r="AI22" s="44">
        <f t="shared" si="7"/>
        <v>226.55511067913901</v>
      </c>
      <c r="AJ22" s="47">
        <f t="shared" si="0"/>
        <v>6.2620737836134897</v>
      </c>
    </row>
    <row r="23" spans="2:36" ht="26.25" customHeight="1">
      <c r="B23" s="38">
        <v>20</v>
      </c>
      <c r="C23" s="48" t="s">
        <v>63</v>
      </c>
      <c r="D23" s="48" t="s">
        <v>64</v>
      </c>
      <c r="E23" s="41" t="s">
        <v>118</v>
      </c>
      <c r="F23" s="38">
        <v>2</v>
      </c>
      <c r="G23" s="38">
        <v>189</v>
      </c>
      <c r="H23" s="42">
        <v>0.19</v>
      </c>
      <c r="I23" s="114">
        <v>957644.1982292732</v>
      </c>
      <c r="J23" s="115">
        <f t="shared" si="1"/>
        <v>1139597</v>
      </c>
      <c r="K23" s="45">
        <f t="shared" si="2"/>
        <v>5066.9005197316046</v>
      </c>
      <c r="M23" s="48" t="s">
        <v>63</v>
      </c>
      <c r="N23" s="48" t="s">
        <v>64</v>
      </c>
      <c r="O23" s="41" t="s">
        <v>118</v>
      </c>
      <c r="P23" s="38">
        <v>2</v>
      </c>
      <c r="Q23" s="38">
        <v>189</v>
      </c>
      <c r="R23" s="42">
        <v>0.19</v>
      </c>
      <c r="S23" s="46">
        <v>1053409</v>
      </c>
      <c r="T23" s="44">
        <v>1253556</v>
      </c>
      <c r="U23" s="45">
        <f t="shared" si="3"/>
        <v>5573.5925925925922</v>
      </c>
      <c r="W23" s="48" t="s">
        <v>63</v>
      </c>
      <c r="X23" s="48" t="s">
        <v>64</v>
      </c>
      <c r="Y23" s="41" t="s">
        <v>118</v>
      </c>
      <c r="Z23" s="38">
        <v>2</v>
      </c>
      <c r="AA23" s="38">
        <v>189</v>
      </c>
      <c r="AB23" s="42">
        <v>0.19</v>
      </c>
      <c r="AC23" s="43">
        <v>938491</v>
      </c>
      <c r="AD23" s="45">
        <v>1116805</v>
      </c>
      <c r="AE23" s="45">
        <f t="shared" si="4"/>
        <v>4965.5608465608466</v>
      </c>
      <c r="AG23" s="45">
        <f t="shared" si="5"/>
        <v>5202.0179862950145</v>
      </c>
      <c r="AH23" s="45">
        <f t="shared" si="6"/>
        <v>5066.9005197316046</v>
      </c>
      <c r="AI23" s="44">
        <f t="shared" si="7"/>
        <v>325.75788305655618</v>
      </c>
      <c r="AJ23" s="47">
        <f t="shared" si="0"/>
        <v>6.2621444969006674</v>
      </c>
    </row>
    <row r="24" spans="2:36" ht="26.25" customHeight="1">
      <c r="B24" s="38">
        <v>21</v>
      </c>
      <c r="C24" s="48" t="s">
        <v>66</v>
      </c>
      <c r="D24" s="48" t="s">
        <v>67</v>
      </c>
      <c r="E24" s="41" t="s">
        <v>118</v>
      </c>
      <c r="F24" s="38">
        <v>2</v>
      </c>
      <c r="G24" s="38">
        <v>189</v>
      </c>
      <c r="H24" s="42">
        <v>0.19</v>
      </c>
      <c r="I24" s="114">
        <v>999243.99052823987</v>
      </c>
      <c r="J24" s="115">
        <f t="shared" si="1"/>
        <v>1189100</v>
      </c>
      <c r="K24" s="45">
        <f t="shared" si="2"/>
        <v>5287.0052408901583</v>
      </c>
      <c r="M24" s="48" t="s">
        <v>66</v>
      </c>
      <c r="N24" s="48" t="s">
        <v>67</v>
      </c>
      <c r="O24" s="41" t="s">
        <v>118</v>
      </c>
      <c r="P24" s="38">
        <v>2</v>
      </c>
      <c r="Q24" s="38">
        <v>189</v>
      </c>
      <c r="R24" s="42">
        <v>0.19</v>
      </c>
      <c r="S24" s="46">
        <v>1099168</v>
      </c>
      <c r="T24" s="44">
        <v>1308010</v>
      </c>
      <c r="U24" s="45">
        <f t="shared" si="3"/>
        <v>5815.7037037037035</v>
      </c>
      <c r="W24" s="48" t="s">
        <v>66</v>
      </c>
      <c r="X24" s="48" t="s">
        <v>67</v>
      </c>
      <c r="Y24" s="41" t="s">
        <v>118</v>
      </c>
      <c r="Z24" s="38">
        <v>2</v>
      </c>
      <c r="AA24" s="38">
        <v>189</v>
      </c>
      <c r="AB24" s="42">
        <v>0.19</v>
      </c>
      <c r="AC24" s="43">
        <v>979259</v>
      </c>
      <c r="AD24" s="45">
        <v>1165318</v>
      </c>
      <c r="AE24" s="45">
        <f t="shared" si="4"/>
        <v>5181.2645502645501</v>
      </c>
      <c r="AG24" s="45">
        <f t="shared" si="5"/>
        <v>5427.991164952804</v>
      </c>
      <c r="AH24" s="45">
        <f t="shared" si="6"/>
        <v>5287.0052408901583</v>
      </c>
      <c r="AI24" s="44">
        <f t="shared" si="7"/>
        <v>339.90591778019393</v>
      </c>
      <c r="AJ24" s="47">
        <f t="shared" si="0"/>
        <v>6.262094160633171</v>
      </c>
    </row>
    <row r="25" spans="2:36" ht="13.5" customHeight="1">
      <c r="B25" s="38">
        <v>22</v>
      </c>
      <c r="C25" s="48" t="s">
        <v>68</v>
      </c>
      <c r="D25" s="48" t="s">
        <v>69</v>
      </c>
      <c r="E25" s="41" t="s">
        <v>118</v>
      </c>
      <c r="F25" s="38">
        <v>3</v>
      </c>
      <c r="G25" s="38">
        <v>189</v>
      </c>
      <c r="H25" s="42">
        <v>0.19</v>
      </c>
      <c r="I25" s="114">
        <v>100391.33549699605</v>
      </c>
      <c r="J25" s="115">
        <f t="shared" si="1"/>
        <v>119466</v>
      </c>
      <c r="K25" s="45">
        <f t="shared" si="2"/>
        <v>531.17108728569337</v>
      </c>
      <c r="M25" s="48" t="s">
        <v>68</v>
      </c>
      <c r="N25" s="48" t="s">
        <v>69</v>
      </c>
      <c r="O25" s="41" t="s">
        <v>118</v>
      </c>
      <c r="P25" s="38">
        <v>3</v>
      </c>
      <c r="Q25" s="38">
        <v>189</v>
      </c>
      <c r="R25" s="42">
        <v>0.19</v>
      </c>
      <c r="S25" s="46">
        <v>110430</v>
      </c>
      <c r="T25" s="44">
        <v>131412</v>
      </c>
      <c r="U25" s="45">
        <f t="shared" si="3"/>
        <v>584.28571428571433</v>
      </c>
      <c r="W25" s="48" t="s">
        <v>68</v>
      </c>
      <c r="X25" s="48" t="s">
        <v>69</v>
      </c>
      <c r="Y25" s="41" t="s">
        <v>118</v>
      </c>
      <c r="Z25" s="38">
        <v>3</v>
      </c>
      <c r="AA25" s="38">
        <v>189</v>
      </c>
      <c r="AB25" s="42">
        <v>0.19</v>
      </c>
      <c r="AC25" s="43">
        <v>98384</v>
      </c>
      <c r="AD25" s="45">
        <v>117076</v>
      </c>
      <c r="AE25" s="45">
        <f t="shared" si="4"/>
        <v>520.5502645502645</v>
      </c>
      <c r="AG25" s="45">
        <f t="shared" si="5"/>
        <v>545.33568870722399</v>
      </c>
      <c r="AH25" s="45">
        <f t="shared" si="6"/>
        <v>531.17108728569337</v>
      </c>
      <c r="AI25" s="44">
        <f t="shared" si="7"/>
        <v>34.147164425734317</v>
      </c>
      <c r="AJ25" s="47">
        <f t="shared" si="0"/>
        <v>6.261677922947567</v>
      </c>
    </row>
    <row r="26" spans="2:36" ht="39" customHeight="1">
      <c r="B26" s="38">
        <v>23</v>
      </c>
      <c r="C26" s="48" t="s">
        <v>70</v>
      </c>
      <c r="D26" s="49" t="s">
        <v>71</v>
      </c>
      <c r="E26" s="41" t="s">
        <v>118</v>
      </c>
      <c r="F26" s="38">
        <v>3</v>
      </c>
      <c r="G26" s="38">
        <v>189</v>
      </c>
      <c r="H26" s="42">
        <v>0.19</v>
      </c>
      <c r="I26" s="114">
        <v>126497.32760298024</v>
      </c>
      <c r="J26" s="115">
        <f t="shared" si="1"/>
        <v>150532</v>
      </c>
      <c r="K26" s="45">
        <f t="shared" si="2"/>
        <v>669.29802964539806</v>
      </c>
      <c r="M26" s="48" t="s">
        <v>70</v>
      </c>
      <c r="N26" s="49" t="s">
        <v>71</v>
      </c>
      <c r="O26" s="41" t="s">
        <v>118</v>
      </c>
      <c r="P26" s="38">
        <v>3</v>
      </c>
      <c r="Q26" s="38">
        <v>189</v>
      </c>
      <c r="R26" s="42">
        <v>0.19</v>
      </c>
      <c r="S26" s="46">
        <v>139147</v>
      </c>
      <c r="T26" s="44">
        <v>165585</v>
      </c>
      <c r="U26" s="45">
        <f t="shared" si="3"/>
        <v>736.22751322751321</v>
      </c>
      <c r="W26" s="48" t="s">
        <v>70</v>
      </c>
      <c r="X26" s="49" t="s">
        <v>71</v>
      </c>
      <c r="Y26" s="41" t="s">
        <v>118</v>
      </c>
      <c r="Z26" s="38">
        <v>3</v>
      </c>
      <c r="AA26" s="38">
        <v>189</v>
      </c>
      <c r="AB26" s="42">
        <v>0.19</v>
      </c>
      <c r="AC26" s="43">
        <v>123967</v>
      </c>
      <c r="AD26" s="45">
        <v>147521</v>
      </c>
      <c r="AE26" s="45">
        <f t="shared" si="4"/>
        <v>655.91005291005285</v>
      </c>
      <c r="AG26" s="45">
        <f t="shared" si="5"/>
        <v>687.1451985943213</v>
      </c>
      <c r="AH26" s="45">
        <f t="shared" si="6"/>
        <v>669.29802964539806</v>
      </c>
      <c r="AI26" s="44">
        <f t="shared" si="7"/>
        <v>43.030392603138822</v>
      </c>
      <c r="AJ26" s="47">
        <f t="shared" si="0"/>
        <v>6.2621979592035579</v>
      </c>
    </row>
    <row r="27" spans="2:36" ht="26.25" customHeight="1">
      <c r="B27" s="38">
        <v>24</v>
      </c>
      <c r="C27" s="48" t="s">
        <v>72</v>
      </c>
      <c r="D27" s="48" t="s">
        <v>73</v>
      </c>
      <c r="E27" s="41" t="s">
        <v>118</v>
      </c>
      <c r="F27" s="38">
        <v>1</v>
      </c>
      <c r="G27" s="38">
        <v>189</v>
      </c>
      <c r="H27" s="42">
        <v>0.19</v>
      </c>
      <c r="I27" s="114">
        <v>3608145.2504205774</v>
      </c>
      <c r="J27" s="115">
        <f t="shared" si="1"/>
        <v>4293693</v>
      </c>
      <c r="K27" s="45">
        <f t="shared" si="2"/>
        <v>19090.715610690884</v>
      </c>
      <c r="M27" s="48" t="s">
        <v>72</v>
      </c>
      <c r="N27" s="48" t="s">
        <v>73</v>
      </c>
      <c r="O27" s="41" t="s">
        <v>118</v>
      </c>
      <c r="P27" s="38">
        <v>1</v>
      </c>
      <c r="Q27" s="38">
        <v>189</v>
      </c>
      <c r="R27" s="42">
        <v>0.19</v>
      </c>
      <c r="S27" s="46">
        <v>3968960</v>
      </c>
      <c r="T27" s="44">
        <v>4723062</v>
      </c>
      <c r="U27" s="45">
        <f t="shared" si="3"/>
        <v>20999.788359788359</v>
      </c>
      <c r="W27" s="48" t="s">
        <v>72</v>
      </c>
      <c r="X27" s="48" t="s">
        <v>73</v>
      </c>
      <c r="Y27" s="41" t="s">
        <v>118</v>
      </c>
      <c r="Z27" s="38">
        <v>1</v>
      </c>
      <c r="AA27" s="38">
        <v>189</v>
      </c>
      <c r="AB27" s="42">
        <v>0.19</v>
      </c>
      <c r="AC27" s="43">
        <v>3535982</v>
      </c>
      <c r="AD27" s="45">
        <v>4207819</v>
      </c>
      <c r="AE27" s="45">
        <f t="shared" si="4"/>
        <v>18708.899470899472</v>
      </c>
      <c r="AG27" s="45">
        <f t="shared" si="5"/>
        <v>19599.80114712624</v>
      </c>
      <c r="AH27" s="45">
        <f t="shared" si="6"/>
        <v>19090.715610690884</v>
      </c>
      <c r="AI27" s="44">
        <f t="shared" si="7"/>
        <v>1227.3626350286188</v>
      </c>
      <c r="AJ27" s="47">
        <f t="shared" si="0"/>
        <v>6.2621177930092271</v>
      </c>
    </row>
    <row r="28" spans="2:36" ht="39" customHeight="1">
      <c r="B28" s="38">
        <v>25</v>
      </c>
      <c r="C28" s="48" t="s">
        <v>74</v>
      </c>
      <c r="D28" s="48" t="s">
        <v>75</v>
      </c>
      <c r="E28" s="41" t="s">
        <v>118</v>
      </c>
      <c r="F28" s="38">
        <v>10</v>
      </c>
      <c r="G28" s="38">
        <v>189</v>
      </c>
      <c r="H28" s="42">
        <v>0.19</v>
      </c>
      <c r="I28" s="114">
        <v>77681.244803172434</v>
      </c>
      <c r="J28" s="115">
        <f t="shared" si="1"/>
        <v>92441</v>
      </c>
      <c r="K28" s="45">
        <f t="shared" si="2"/>
        <v>411.0118772654626</v>
      </c>
      <c r="M28" s="48" t="s">
        <v>74</v>
      </c>
      <c r="N28" s="48" t="s">
        <v>75</v>
      </c>
      <c r="O28" s="41" t="s">
        <v>118</v>
      </c>
      <c r="P28" s="38">
        <v>10</v>
      </c>
      <c r="Q28" s="38">
        <v>189</v>
      </c>
      <c r="R28" s="42">
        <v>0.19</v>
      </c>
      <c r="S28" s="46">
        <v>85449</v>
      </c>
      <c r="T28" s="44">
        <v>101685</v>
      </c>
      <c r="U28" s="45">
        <f t="shared" si="3"/>
        <v>452.11111111111109</v>
      </c>
      <c r="W28" s="48" t="s">
        <v>74</v>
      </c>
      <c r="X28" s="48" t="s">
        <v>75</v>
      </c>
      <c r="Y28" s="41" t="s">
        <v>118</v>
      </c>
      <c r="Z28" s="38">
        <v>10</v>
      </c>
      <c r="AA28" s="38">
        <v>189</v>
      </c>
      <c r="AB28" s="42">
        <v>0.19</v>
      </c>
      <c r="AC28" s="43">
        <v>76128</v>
      </c>
      <c r="AD28" s="45">
        <v>90592</v>
      </c>
      <c r="AE28" s="45">
        <f t="shared" si="4"/>
        <v>402.79365079365078</v>
      </c>
      <c r="AG28" s="45">
        <f t="shared" si="5"/>
        <v>421.97221305674151</v>
      </c>
      <c r="AH28" s="45">
        <f t="shared" si="6"/>
        <v>411.0118772654626</v>
      </c>
      <c r="AI28" s="44">
        <f t="shared" si="7"/>
        <v>26.422522467286495</v>
      </c>
      <c r="AJ28" s="47">
        <f t="shared" si="0"/>
        <v>6.2616735533089534</v>
      </c>
    </row>
    <row r="29" spans="2:36" ht="39" customHeight="1">
      <c r="B29" s="38">
        <v>26</v>
      </c>
      <c r="C29" s="48" t="s">
        <v>76</v>
      </c>
      <c r="D29" s="48" t="s">
        <v>77</v>
      </c>
      <c r="E29" s="41" t="s">
        <v>118</v>
      </c>
      <c r="F29" s="38">
        <v>5</v>
      </c>
      <c r="G29" s="38">
        <v>189</v>
      </c>
      <c r="H29" s="42">
        <v>0.19</v>
      </c>
      <c r="I29" s="114">
        <v>127134.05911776035</v>
      </c>
      <c r="J29" s="115">
        <f t="shared" si="1"/>
        <v>151290</v>
      </c>
      <c r="K29" s="45">
        <f t="shared" si="2"/>
        <v>672.66697945904946</v>
      </c>
      <c r="M29" s="48" t="s">
        <v>76</v>
      </c>
      <c r="N29" s="48" t="s">
        <v>77</v>
      </c>
      <c r="O29" s="41" t="s">
        <v>118</v>
      </c>
      <c r="P29" s="38">
        <v>5</v>
      </c>
      <c r="Q29" s="38">
        <v>189</v>
      </c>
      <c r="R29" s="42">
        <v>0.19</v>
      </c>
      <c r="S29" s="46">
        <v>139847</v>
      </c>
      <c r="T29" s="44">
        <v>166418</v>
      </c>
      <c r="U29" s="45">
        <f t="shared" si="3"/>
        <v>739.93121693121691</v>
      </c>
      <c r="W29" s="48" t="s">
        <v>76</v>
      </c>
      <c r="X29" s="48" t="s">
        <v>77</v>
      </c>
      <c r="Y29" s="41" t="s">
        <v>118</v>
      </c>
      <c r="Z29" s="38">
        <v>5</v>
      </c>
      <c r="AA29" s="38">
        <v>189</v>
      </c>
      <c r="AB29" s="42">
        <v>0.19</v>
      </c>
      <c r="AC29" s="43">
        <v>124591</v>
      </c>
      <c r="AD29" s="45">
        <v>148264</v>
      </c>
      <c r="AE29" s="45">
        <f t="shared" si="4"/>
        <v>659.2116402116402</v>
      </c>
      <c r="AG29" s="45">
        <f t="shared" si="5"/>
        <v>690.60327886730227</v>
      </c>
      <c r="AH29" s="45">
        <f t="shared" si="6"/>
        <v>672.66697945904946</v>
      </c>
      <c r="AI29" s="44">
        <f t="shared" si="7"/>
        <v>43.245758679826316</v>
      </c>
      <c r="AJ29" s="47">
        <f t="shared" si="0"/>
        <v>6.2620262606856061</v>
      </c>
    </row>
    <row r="30" spans="2:36" ht="105" customHeight="1">
      <c r="B30" s="38">
        <v>27</v>
      </c>
      <c r="C30" s="40" t="s">
        <v>120</v>
      </c>
      <c r="D30" s="50" t="s">
        <v>79</v>
      </c>
      <c r="E30" s="41" t="s">
        <v>118</v>
      </c>
      <c r="F30" s="38">
        <v>10</v>
      </c>
      <c r="G30" s="38">
        <v>189</v>
      </c>
      <c r="H30" s="42">
        <v>0.19</v>
      </c>
      <c r="I30" s="114">
        <v>1680000</v>
      </c>
      <c r="J30" s="115">
        <f t="shared" si="1"/>
        <v>1999200</v>
      </c>
      <c r="K30" s="45">
        <f t="shared" si="2"/>
        <v>8888.8888888888887</v>
      </c>
      <c r="M30" s="40" t="s">
        <v>120</v>
      </c>
      <c r="N30" s="50" t="s">
        <v>79</v>
      </c>
      <c r="O30" s="41" t="s">
        <v>118</v>
      </c>
      <c r="P30" s="38">
        <v>10</v>
      </c>
      <c r="Q30" s="38">
        <v>189</v>
      </c>
      <c r="R30" s="42">
        <v>0.19</v>
      </c>
      <c r="S30" s="46">
        <v>1848000</v>
      </c>
      <c r="T30" s="44">
        <v>2199120</v>
      </c>
      <c r="U30" s="45">
        <f t="shared" si="3"/>
        <v>9777.7777777777774</v>
      </c>
      <c r="W30" s="40" t="s">
        <v>120</v>
      </c>
      <c r="X30" s="50" t="s">
        <v>79</v>
      </c>
      <c r="Y30" s="41" t="s">
        <v>118</v>
      </c>
      <c r="Z30" s="38">
        <v>10</v>
      </c>
      <c r="AA30" s="38">
        <v>189</v>
      </c>
      <c r="AB30" s="42">
        <v>0.19</v>
      </c>
      <c r="AC30" s="43">
        <v>1646400</v>
      </c>
      <c r="AD30" s="45">
        <v>1959216</v>
      </c>
      <c r="AE30" s="45">
        <f t="shared" si="4"/>
        <v>8711.1111111111113</v>
      </c>
      <c r="AG30" s="45">
        <f t="shared" si="5"/>
        <v>9125.9259259259252</v>
      </c>
      <c r="AH30" s="45">
        <f t="shared" si="6"/>
        <v>8888.8888888888887</v>
      </c>
      <c r="AI30" s="44">
        <f t="shared" si="7"/>
        <v>571.47560065143409</v>
      </c>
      <c r="AJ30" s="47">
        <f t="shared" si="0"/>
        <v>6.2621108837616566</v>
      </c>
    </row>
    <row r="31" spans="2:36" ht="26.25" customHeight="1">
      <c r="B31" s="38">
        <v>28</v>
      </c>
      <c r="C31" s="48" t="s">
        <v>80</v>
      </c>
      <c r="D31" s="48" t="s">
        <v>81</v>
      </c>
      <c r="E31" s="41" t="s">
        <v>118</v>
      </c>
      <c r="F31" s="38">
        <v>1</v>
      </c>
      <c r="G31" s="38">
        <v>189</v>
      </c>
      <c r="H31" s="42">
        <v>0.19</v>
      </c>
      <c r="I31" s="114">
        <v>888240.4631182421</v>
      </c>
      <c r="J31" s="115">
        <f t="shared" si="1"/>
        <v>1057006</v>
      </c>
      <c r="K31" s="45">
        <f t="shared" si="2"/>
        <v>4699.6849900436091</v>
      </c>
      <c r="M31" s="48" t="s">
        <v>80</v>
      </c>
      <c r="N31" s="48" t="s">
        <v>81</v>
      </c>
      <c r="O31" s="41" t="s">
        <v>118</v>
      </c>
      <c r="P31" s="38">
        <v>1</v>
      </c>
      <c r="Q31" s="38">
        <v>189</v>
      </c>
      <c r="R31" s="42">
        <v>0.19</v>
      </c>
      <c r="S31" s="46">
        <v>977065</v>
      </c>
      <c r="T31" s="44">
        <v>1162707</v>
      </c>
      <c r="U31" s="45">
        <f t="shared" si="3"/>
        <v>5169.6560846560842</v>
      </c>
      <c r="W31" s="48" t="s">
        <v>80</v>
      </c>
      <c r="X31" s="48" t="s">
        <v>81</v>
      </c>
      <c r="Y31" s="41" t="s">
        <v>118</v>
      </c>
      <c r="Z31" s="38">
        <v>1</v>
      </c>
      <c r="AA31" s="38">
        <v>189</v>
      </c>
      <c r="AB31" s="42">
        <v>0.19</v>
      </c>
      <c r="AC31" s="43">
        <v>870476</v>
      </c>
      <c r="AD31" s="45">
        <v>1035866</v>
      </c>
      <c r="AE31" s="45">
        <f t="shared" si="4"/>
        <v>4605.6931216931216</v>
      </c>
      <c r="AG31" s="45">
        <f t="shared" si="5"/>
        <v>4825.0113987976047</v>
      </c>
      <c r="AH31" s="45">
        <f t="shared" si="6"/>
        <v>4699.6849900436091</v>
      </c>
      <c r="AI31" s="44">
        <f t="shared" si="7"/>
        <v>302.14828718175983</v>
      </c>
      <c r="AJ31" s="47">
        <f t="shared" si="0"/>
        <v>6.2621258730508975</v>
      </c>
    </row>
    <row r="32" spans="2:36" ht="13.5" customHeight="1">
      <c r="B32" s="38">
        <v>29</v>
      </c>
      <c r="C32" s="48" t="s">
        <v>83</v>
      </c>
      <c r="D32" s="48" t="s">
        <v>84</v>
      </c>
      <c r="E32" s="41" t="s">
        <v>118</v>
      </c>
      <c r="F32" s="38">
        <v>1</v>
      </c>
      <c r="G32" s="38">
        <v>189</v>
      </c>
      <c r="H32" s="42">
        <v>0.19</v>
      </c>
      <c r="I32" s="114">
        <v>6106042.9829029171</v>
      </c>
      <c r="J32" s="115">
        <f t="shared" si="1"/>
        <v>7266191</v>
      </c>
      <c r="K32" s="45">
        <f t="shared" si="2"/>
        <v>32307.105729645064</v>
      </c>
      <c r="M32" s="48" t="s">
        <v>83</v>
      </c>
      <c r="N32" s="48" t="s">
        <v>84</v>
      </c>
      <c r="O32" s="41" t="s">
        <v>118</v>
      </c>
      <c r="P32" s="38">
        <v>1</v>
      </c>
      <c r="Q32" s="38">
        <v>189</v>
      </c>
      <c r="R32" s="42">
        <v>0.19</v>
      </c>
      <c r="S32" s="46">
        <v>2316647</v>
      </c>
      <c r="T32" s="44">
        <v>2756810</v>
      </c>
      <c r="U32" s="45">
        <f t="shared" si="3"/>
        <v>12257.391534391534</v>
      </c>
      <c r="W32" s="48" t="s">
        <v>83</v>
      </c>
      <c r="X32" s="48" t="s">
        <v>84</v>
      </c>
      <c r="Y32" s="41" t="s">
        <v>118</v>
      </c>
      <c r="Z32" s="38">
        <v>1</v>
      </c>
      <c r="AA32" s="38">
        <v>189</v>
      </c>
      <c r="AB32" s="42">
        <v>0.19</v>
      </c>
      <c r="AC32" s="43">
        <v>2063922</v>
      </c>
      <c r="AD32" s="45">
        <v>2456067</v>
      </c>
      <c r="AE32" s="45">
        <f t="shared" si="4"/>
        <v>10920.222222222223</v>
      </c>
      <c r="AG32" s="45">
        <f t="shared" si="5"/>
        <v>18494.906495419607</v>
      </c>
      <c r="AH32" s="45">
        <f t="shared" si="6"/>
        <v>12257.391534391534</v>
      </c>
      <c r="AI32" s="44">
        <f t="shared" si="7"/>
        <v>11980.385686896956</v>
      </c>
      <c r="AJ32" s="47">
        <f t="shared" si="0"/>
        <v>64.776676161428455</v>
      </c>
    </row>
    <row r="33" spans="2:36" ht="39" customHeight="1">
      <c r="B33" s="38">
        <v>30</v>
      </c>
      <c r="C33" s="40" t="s">
        <v>121</v>
      </c>
      <c r="D33" s="39" t="s">
        <v>86</v>
      </c>
      <c r="E33" s="41" t="s">
        <v>118</v>
      </c>
      <c r="F33" s="38">
        <v>1</v>
      </c>
      <c r="G33" s="38">
        <v>189</v>
      </c>
      <c r="H33" s="42">
        <v>0.19</v>
      </c>
      <c r="I33" s="114">
        <v>4795225.0378089473</v>
      </c>
      <c r="J33" s="115">
        <f t="shared" si="1"/>
        <v>5706318</v>
      </c>
      <c r="K33" s="45">
        <f t="shared" si="2"/>
        <v>25371.561046608185</v>
      </c>
      <c r="M33" s="40" t="s">
        <v>121</v>
      </c>
      <c r="N33" s="39" t="s">
        <v>86</v>
      </c>
      <c r="O33" s="41" t="s">
        <v>118</v>
      </c>
      <c r="P33" s="38">
        <v>1</v>
      </c>
      <c r="Q33" s="38">
        <v>189</v>
      </c>
      <c r="R33" s="42">
        <v>0.19</v>
      </c>
      <c r="S33" s="46">
        <v>1974748</v>
      </c>
      <c r="T33" s="44">
        <v>2349950</v>
      </c>
      <c r="U33" s="45">
        <f t="shared" si="3"/>
        <v>10448.402116402116</v>
      </c>
      <c r="W33" s="40" t="s">
        <v>121</v>
      </c>
      <c r="X33" s="39" t="s">
        <v>86</v>
      </c>
      <c r="Y33" s="41" t="s">
        <v>118</v>
      </c>
      <c r="Z33" s="38">
        <v>1</v>
      </c>
      <c r="AA33" s="38">
        <v>189</v>
      </c>
      <c r="AB33" s="42">
        <v>0.19</v>
      </c>
      <c r="AC33" s="43">
        <v>1759321</v>
      </c>
      <c r="AD33" s="45">
        <v>2093591</v>
      </c>
      <c r="AE33" s="45">
        <f t="shared" si="4"/>
        <v>9308.5767195767203</v>
      </c>
      <c r="AG33" s="45">
        <f t="shared" si="5"/>
        <v>15042.846627529007</v>
      </c>
      <c r="AH33" s="45">
        <f t="shared" si="6"/>
        <v>10448.402116402116</v>
      </c>
      <c r="AI33" s="44">
        <f t="shared" si="7"/>
        <v>8963.0662525155203</v>
      </c>
      <c r="AJ33" s="47">
        <f t="shared" si="0"/>
        <v>59.583577991899176</v>
      </c>
    </row>
    <row r="34" spans="2:36" ht="39" customHeight="1">
      <c r="B34" s="38">
        <v>31</v>
      </c>
      <c r="C34" s="48" t="s">
        <v>87</v>
      </c>
      <c r="D34" s="48" t="s">
        <v>88</v>
      </c>
      <c r="E34" s="41" t="s">
        <v>118</v>
      </c>
      <c r="F34" s="38">
        <v>1</v>
      </c>
      <c r="G34" s="38">
        <v>189</v>
      </c>
      <c r="H34" s="42">
        <v>0.19</v>
      </c>
      <c r="I34" s="114">
        <v>596829.67318721546</v>
      </c>
      <c r="J34" s="115">
        <f t="shared" si="1"/>
        <v>710227</v>
      </c>
      <c r="K34" s="45">
        <f t="shared" si="2"/>
        <v>3157.8289586625156</v>
      </c>
      <c r="M34" s="48" t="s">
        <v>87</v>
      </c>
      <c r="N34" s="48" t="s">
        <v>88</v>
      </c>
      <c r="O34" s="41" t="s">
        <v>118</v>
      </c>
      <c r="P34" s="38">
        <v>1</v>
      </c>
      <c r="Q34" s="38">
        <v>189</v>
      </c>
      <c r="R34" s="42">
        <v>0.19</v>
      </c>
      <c r="S34" s="46">
        <v>656513</v>
      </c>
      <c r="T34" s="44">
        <v>781250</v>
      </c>
      <c r="U34" s="45">
        <f t="shared" si="3"/>
        <v>3473.6137566137568</v>
      </c>
      <c r="W34" s="48" t="s">
        <v>87</v>
      </c>
      <c r="X34" s="48" t="s">
        <v>88</v>
      </c>
      <c r="Y34" s="41" t="s">
        <v>118</v>
      </c>
      <c r="Z34" s="38">
        <v>1</v>
      </c>
      <c r="AA34" s="38">
        <v>189</v>
      </c>
      <c r="AB34" s="42">
        <v>0.19</v>
      </c>
      <c r="AC34" s="43">
        <v>584893</v>
      </c>
      <c r="AD34" s="45">
        <v>696023</v>
      </c>
      <c r="AE34" s="45">
        <f t="shared" si="4"/>
        <v>3094.6719576719579</v>
      </c>
      <c r="AG34" s="45">
        <f t="shared" si="5"/>
        <v>3242.038224316077</v>
      </c>
      <c r="AH34" s="45">
        <f t="shared" si="6"/>
        <v>3157.8289586625156</v>
      </c>
      <c r="AI34" s="44">
        <f t="shared" si="7"/>
        <v>203.0212354970428</v>
      </c>
      <c r="AJ34" s="47">
        <f t="shared" si="0"/>
        <v>6.2621481133175436</v>
      </c>
    </row>
    <row r="35" spans="2:36" ht="39" customHeight="1">
      <c r="B35" s="38">
        <v>32</v>
      </c>
      <c r="C35" s="48" t="s">
        <v>89</v>
      </c>
      <c r="D35" s="39" t="s">
        <v>90</v>
      </c>
      <c r="E35" s="41" t="s">
        <v>118</v>
      </c>
      <c r="F35" s="38">
        <v>1</v>
      </c>
      <c r="G35" s="38">
        <v>189</v>
      </c>
      <c r="H35" s="42">
        <v>0.19</v>
      </c>
      <c r="I35" s="114">
        <v>610625.5226741177</v>
      </c>
      <c r="J35" s="115">
        <f t="shared" si="1"/>
        <v>726644</v>
      </c>
      <c r="K35" s="45">
        <f t="shared" si="2"/>
        <v>3230.822871291628</v>
      </c>
      <c r="M35" s="48" t="s">
        <v>89</v>
      </c>
      <c r="N35" s="39" t="s">
        <v>90</v>
      </c>
      <c r="O35" s="41" t="s">
        <v>118</v>
      </c>
      <c r="P35" s="38">
        <v>1</v>
      </c>
      <c r="Q35" s="38">
        <v>189</v>
      </c>
      <c r="R35" s="42">
        <v>0.19</v>
      </c>
      <c r="S35" s="46">
        <v>671688</v>
      </c>
      <c r="T35" s="44">
        <v>799309</v>
      </c>
      <c r="U35" s="45">
        <f t="shared" si="3"/>
        <v>3553.9047619047619</v>
      </c>
      <c r="W35" s="48" t="s">
        <v>89</v>
      </c>
      <c r="X35" s="39" t="s">
        <v>90</v>
      </c>
      <c r="Y35" s="41" t="s">
        <v>118</v>
      </c>
      <c r="Z35" s="38">
        <v>1</v>
      </c>
      <c r="AA35" s="38">
        <v>189</v>
      </c>
      <c r="AB35" s="42">
        <v>0.19</v>
      </c>
      <c r="AC35" s="43">
        <v>598413</v>
      </c>
      <c r="AD35" s="45">
        <v>712111</v>
      </c>
      <c r="AE35" s="45">
        <f t="shared" si="4"/>
        <v>3166.2063492063494</v>
      </c>
      <c r="AG35" s="45">
        <f t="shared" si="5"/>
        <v>3316.9779941342463</v>
      </c>
      <c r="AH35" s="45">
        <f t="shared" si="6"/>
        <v>3230.822871291628</v>
      </c>
      <c r="AI35" s="44">
        <f t="shared" si="7"/>
        <v>207.71264693378004</v>
      </c>
      <c r="AJ35" s="47">
        <f t="shared" si="0"/>
        <v>6.2621050637387308</v>
      </c>
    </row>
    <row r="36" spans="2:36" ht="39" customHeight="1">
      <c r="B36" s="38">
        <v>33</v>
      </c>
      <c r="C36" s="48" t="s">
        <v>91</v>
      </c>
      <c r="D36" s="48" t="s">
        <v>92</v>
      </c>
      <c r="E36" s="41" t="s">
        <v>118</v>
      </c>
      <c r="F36" s="38">
        <v>1</v>
      </c>
      <c r="G36" s="38">
        <v>189</v>
      </c>
      <c r="H36" s="42">
        <v>0.19</v>
      </c>
      <c r="I36" s="114">
        <v>208211.20533309333</v>
      </c>
      <c r="J36" s="115">
        <f t="shared" si="1"/>
        <v>247771</v>
      </c>
      <c r="K36" s="45">
        <f t="shared" si="2"/>
        <v>1101.6465890639859</v>
      </c>
      <c r="M36" s="48" t="s">
        <v>91</v>
      </c>
      <c r="N36" s="48" t="s">
        <v>92</v>
      </c>
      <c r="O36" s="41" t="s">
        <v>118</v>
      </c>
      <c r="P36" s="38">
        <v>1</v>
      </c>
      <c r="Q36" s="38">
        <v>189</v>
      </c>
      <c r="R36" s="42">
        <v>0.19</v>
      </c>
      <c r="S36" s="46">
        <v>229032</v>
      </c>
      <c r="T36" s="44">
        <v>272548</v>
      </c>
      <c r="U36" s="45">
        <f t="shared" si="3"/>
        <v>1211.8095238095239</v>
      </c>
      <c r="W36" s="48" t="s">
        <v>91</v>
      </c>
      <c r="X36" s="48" t="s">
        <v>92</v>
      </c>
      <c r="Y36" s="41" t="s">
        <v>118</v>
      </c>
      <c r="Z36" s="38">
        <v>1</v>
      </c>
      <c r="AA36" s="38">
        <v>189</v>
      </c>
      <c r="AB36" s="42">
        <v>0.19</v>
      </c>
      <c r="AC36" s="43">
        <v>204047</v>
      </c>
      <c r="AD36" s="45">
        <v>242816</v>
      </c>
      <c r="AE36" s="45">
        <f t="shared" si="4"/>
        <v>1079.6137566137565</v>
      </c>
      <c r="AG36" s="45">
        <f t="shared" si="5"/>
        <v>1131.0232898290888</v>
      </c>
      <c r="AH36" s="45">
        <f t="shared" si="6"/>
        <v>1101.6465890639859</v>
      </c>
      <c r="AI36" s="44">
        <f t="shared" si="7"/>
        <v>70.824947066702236</v>
      </c>
      <c r="AJ36" s="47">
        <f t="shared" si="0"/>
        <v>6.2620237534988989</v>
      </c>
    </row>
    <row r="37" spans="2:36" ht="66" customHeight="1">
      <c r="B37" s="38">
        <v>34</v>
      </c>
      <c r="C37" s="51" t="s">
        <v>93</v>
      </c>
      <c r="D37" s="39" t="s">
        <v>122</v>
      </c>
      <c r="E37" s="41" t="s">
        <v>118</v>
      </c>
      <c r="F37" s="38">
        <v>1</v>
      </c>
      <c r="G37" s="38">
        <v>189</v>
      </c>
      <c r="H37" s="42">
        <v>0.19</v>
      </c>
      <c r="I37" s="114">
        <v>73610832.473021492</v>
      </c>
      <c r="J37" s="115">
        <f t="shared" si="1"/>
        <v>87596891</v>
      </c>
      <c r="K37" s="45">
        <f t="shared" si="2"/>
        <v>389475.30409006082</v>
      </c>
      <c r="M37" s="51" t="s">
        <v>93</v>
      </c>
      <c r="N37" s="39" t="s">
        <v>122</v>
      </c>
      <c r="O37" s="41" t="s">
        <v>118</v>
      </c>
      <c r="P37" s="38">
        <v>1</v>
      </c>
      <c r="Q37" s="38">
        <v>189</v>
      </c>
      <c r="R37" s="42">
        <v>0.19</v>
      </c>
      <c r="S37" s="46">
        <v>671916</v>
      </c>
      <c r="T37" s="44">
        <v>799580</v>
      </c>
      <c r="U37" s="45">
        <f t="shared" si="3"/>
        <v>3555.1111111111113</v>
      </c>
      <c r="W37" s="51" t="s">
        <v>93</v>
      </c>
      <c r="X37" s="39" t="s">
        <v>122</v>
      </c>
      <c r="Y37" s="41" t="s">
        <v>118</v>
      </c>
      <c r="Z37" s="38">
        <v>1</v>
      </c>
      <c r="AA37" s="38">
        <v>189</v>
      </c>
      <c r="AB37" s="42">
        <v>0.19</v>
      </c>
      <c r="AC37" s="43">
        <v>598616</v>
      </c>
      <c r="AD37" s="45">
        <v>712353</v>
      </c>
      <c r="AE37" s="45">
        <f t="shared" si="4"/>
        <v>3167.2804232804233</v>
      </c>
      <c r="AG37" s="45">
        <f t="shared" si="5"/>
        <v>132065.89854148412</v>
      </c>
      <c r="AH37" s="45">
        <f t="shared" si="6"/>
        <v>3555.1111111111113</v>
      </c>
      <c r="AI37" s="44">
        <f t="shared" si="7"/>
        <v>222923.16871921215</v>
      </c>
      <c r="AJ37" s="47">
        <f t="shared" si="0"/>
        <v>168.7969197053456</v>
      </c>
    </row>
    <row r="38" spans="2:36" ht="26.25" customHeight="1">
      <c r="B38" s="38">
        <v>35</v>
      </c>
      <c r="C38" s="48" t="s">
        <v>123</v>
      </c>
      <c r="D38" s="48" t="s">
        <v>96</v>
      </c>
      <c r="E38" s="41" t="s">
        <v>118</v>
      </c>
      <c r="F38" s="38">
        <v>2</v>
      </c>
      <c r="G38" s="38">
        <v>189</v>
      </c>
      <c r="H38" s="42">
        <v>0.19</v>
      </c>
      <c r="I38" s="114">
        <v>3022564.5006611431</v>
      </c>
      <c r="J38" s="115">
        <f t="shared" si="1"/>
        <v>3596852</v>
      </c>
      <c r="K38" s="45">
        <f t="shared" si="2"/>
        <v>15992.404765402873</v>
      </c>
      <c r="M38" s="48" t="s">
        <v>123</v>
      </c>
      <c r="N38" s="48" t="s">
        <v>96</v>
      </c>
      <c r="O38" s="41" t="s">
        <v>118</v>
      </c>
      <c r="P38" s="38">
        <v>2</v>
      </c>
      <c r="Q38" s="38">
        <v>189</v>
      </c>
      <c r="R38" s="42">
        <v>0.19</v>
      </c>
      <c r="S38" s="46">
        <v>3324821</v>
      </c>
      <c r="T38" s="44">
        <v>3956537</v>
      </c>
      <c r="U38" s="45">
        <f t="shared" si="3"/>
        <v>17591.645502645504</v>
      </c>
      <c r="W38" s="48" t="s">
        <v>123</v>
      </c>
      <c r="X38" s="48" t="s">
        <v>96</v>
      </c>
      <c r="Y38" s="41" t="s">
        <v>118</v>
      </c>
      <c r="Z38" s="38">
        <v>2</v>
      </c>
      <c r="AA38" s="38">
        <v>189</v>
      </c>
      <c r="AB38" s="42">
        <v>0.19</v>
      </c>
      <c r="AC38" s="43">
        <v>2962113</v>
      </c>
      <c r="AD38" s="45">
        <v>3524915</v>
      </c>
      <c r="AE38" s="45">
        <f t="shared" si="4"/>
        <v>15672.555555555555</v>
      </c>
      <c r="AG38" s="45">
        <f t="shared" si="5"/>
        <v>16418.868607867978</v>
      </c>
      <c r="AH38" s="45">
        <f t="shared" si="6"/>
        <v>15992.404765402873</v>
      </c>
      <c r="AI38" s="44">
        <f t="shared" si="7"/>
        <v>1028.1683290945127</v>
      </c>
      <c r="AJ38" s="47">
        <f t="shared" si="0"/>
        <v>6.2621143615328707</v>
      </c>
    </row>
    <row r="39" spans="2:36" ht="26.25" customHeight="1">
      <c r="B39" s="38">
        <v>36</v>
      </c>
      <c r="C39" s="48" t="s">
        <v>97</v>
      </c>
      <c r="D39" s="48" t="s">
        <v>124</v>
      </c>
      <c r="E39" s="41" t="s">
        <v>118</v>
      </c>
      <c r="F39" s="38">
        <v>1</v>
      </c>
      <c r="G39" s="38">
        <v>189</v>
      </c>
      <c r="H39" s="42">
        <v>0.19</v>
      </c>
      <c r="I39" s="114">
        <v>2522518.0177205033</v>
      </c>
      <c r="J39" s="115">
        <f t="shared" si="1"/>
        <v>3001796</v>
      </c>
      <c r="K39" s="45">
        <f t="shared" si="2"/>
        <v>13346.656178415362</v>
      </c>
      <c r="M39" s="48" t="s">
        <v>97</v>
      </c>
      <c r="N39" s="48" t="s">
        <v>124</v>
      </c>
      <c r="O39" s="41" t="s">
        <v>118</v>
      </c>
      <c r="P39" s="38">
        <v>1</v>
      </c>
      <c r="Q39" s="38">
        <v>189</v>
      </c>
      <c r="R39" s="42">
        <v>0.19</v>
      </c>
      <c r="S39" s="46">
        <v>2774770</v>
      </c>
      <c r="T39" s="44">
        <v>3301976</v>
      </c>
      <c r="U39" s="45">
        <f t="shared" si="3"/>
        <v>14681.322751322752</v>
      </c>
      <c r="W39" s="48" t="s">
        <v>97</v>
      </c>
      <c r="X39" s="48" t="s">
        <v>124</v>
      </c>
      <c r="Y39" s="41" t="s">
        <v>118</v>
      </c>
      <c r="Z39" s="38">
        <v>1</v>
      </c>
      <c r="AA39" s="38">
        <v>189</v>
      </c>
      <c r="AB39" s="42">
        <v>0.19</v>
      </c>
      <c r="AC39" s="43">
        <v>2472068</v>
      </c>
      <c r="AD39" s="45">
        <v>2941761</v>
      </c>
      <c r="AE39" s="45">
        <f t="shared" si="4"/>
        <v>13079.724867724868</v>
      </c>
      <c r="AG39" s="45">
        <f t="shared" si="5"/>
        <v>13702.56793248766</v>
      </c>
      <c r="AH39" s="45">
        <f t="shared" si="6"/>
        <v>13346.656178415362</v>
      </c>
      <c r="AI39" s="44">
        <f t="shared" si="7"/>
        <v>858.06982682146599</v>
      </c>
      <c r="AJ39" s="47">
        <f t="shared" si="0"/>
        <v>6.2621096355746069</v>
      </c>
    </row>
    <row r="40" spans="2:36" ht="52.5" customHeight="1">
      <c r="B40" s="38">
        <v>37</v>
      </c>
      <c r="C40" s="40" t="s">
        <v>125</v>
      </c>
      <c r="D40" s="39" t="s">
        <v>100</v>
      </c>
      <c r="E40" s="41" t="s">
        <v>118</v>
      </c>
      <c r="F40" s="38">
        <v>1</v>
      </c>
      <c r="G40" s="38">
        <v>189</v>
      </c>
      <c r="H40" s="42">
        <v>0.19</v>
      </c>
      <c r="I40" s="114">
        <v>5188300.6262665307</v>
      </c>
      <c r="J40" s="115">
        <f t="shared" si="1"/>
        <v>6174078</v>
      </c>
      <c r="K40" s="45">
        <f t="shared" si="2"/>
        <v>27451.326064902278</v>
      </c>
      <c r="M40" s="40" t="s">
        <v>125</v>
      </c>
      <c r="N40" s="39" t="s">
        <v>100</v>
      </c>
      <c r="O40" s="41" t="s">
        <v>118</v>
      </c>
      <c r="P40" s="38">
        <v>1</v>
      </c>
      <c r="Q40" s="38">
        <v>189</v>
      </c>
      <c r="R40" s="42">
        <v>0.19</v>
      </c>
      <c r="S40" s="46">
        <v>5707131</v>
      </c>
      <c r="T40" s="44">
        <v>6791486</v>
      </c>
      <c r="U40" s="45">
        <f t="shared" si="3"/>
        <v>30196.460317460318</v>
      </c>
      <c r="W40" s="40" t="s">
        <v>125</v>
      </c>
      <c r="X40" s="39" t="s">
        <v>100</v>
      </c>
      <c r="Y40" s="41" t="s">
        <v>118</v>
      </c>
      <c r="Z40" s="38">
        <v>1</v>
      </c>
      <c r="AA40" s="38">
        <v>189</v>
      </c>
      <c r="AB40" s="42">
        <v>0.19</v>
      </c>
      <c r="AC40" s="43">
        <v>5084535</v>
      </c>
      <c r="AD40" s="45">
        <v>6050596</v>
      </c>
      <c r="AE40" s="45">
        <f t="shared" si="4"/>
        <v>26902.301587301587</v>
      </c>
      <c r="AG40" s="45">
        <f t="shared" si="5"/>
        <v>28183.362656554727</v>
      </c>
      <c r="AH40" s="45">
        <f t="shared" si="6"/>
        <v>27451.326064902278</v>
      </c>
      <c r="AI40" s="44">
        <f t="shared" si="7"/>
        <v>1764.8735403730343</v>
      </c>
      <c r="AJ40" s="47">
        <f t="shared" si="0"/>
        <v>6.2621113097111918</v>
      </c>
    </row>
    <row r="41" spans="2:36" ht="14.25" customHeight="1">
      <c r="I41" s="52">
        <f>SUM(I4:I40)</f>
        <v>120849184.59937604</v>
      </c>
      <c r="J41" s="52">
        <f>SUM(J4:J40)</f>
        <v>143810530</v>
      </c>
      <c r="K41" s="52">
        <f>SUM(K4:K40)</f>
        <v>639413.67512897379</v>
      </c>
      <c r="S41" s="52">
        <f>SUM(S4:S40)</f>
        <v>44934103</v>
      </c>
      <c r="T41" s="52">
        <f>SUM(T4:T40)</f>
        <v>53471582</v>
      </c>
      <c r="U41" s="52">
        <f>SUM(U4:U40)</f>
        <v>237746.5767195767</v>
      </c>
      <c r="AC41" s="52">
        <f>SUM(AC4:AC40)</f>
        <v>40032202</v>
      </c>
      <c r="AD41" s="52">
        <f>SUM(AD4:AD40)</f>
        <v>47638318</v>
      </c>
      <c r="AE41" s="52">
        <f>SUM(AE4:AE40)</f>
        <v>211810.59259259267</v>
      </c>
      <c r="AG41" s="116">
        <f>SUM(AG4:AG40)</f>
        <v>362990.28148038103</v>
      </c>
      <c r="AH41" s="117">
        <f>SUM(AH4:AH40)</f>
        <v>218520.6090245645</v>
      </c>
    </row>
    <row r="42" spans="2:36">
      <c r="AH42" s="109"/>
      <c r="AI42" s="52"/>
    </row>
    <row r="43" spans="2:36" ht="31.2" customHeight="1">
      <c r="S43" s="101"/>
      <c r="AG43" s="163" t="s">
        <v>172</v>
      </c>
      <c r="AH43" s="163"/>
      <c r="AI43" s="112">
        <v>218520.6</v>
      </c>
    </row>
    <row r="44" spans="2:36">
      <c r="S44" s="108"/>
      <c r="AH44" s="108"/>
    </row>
    <row r="45" spans="2:36">
      <c r="AH45" s="108"/>
    </row>
  </sheetData>
  <mergeCells count="7">
    <mergeCell ref="AG43:AH43"/>
    <mergeCell ref="C3:D3"/>
    <mergeCell ref="M3:N3"/>
    <mergeCell ref="W3:X3"/>
    <mergeCell ref="C2:K2"/>
    <mergeCell ref="M2:U2"/>
    <mergeCell ref="W2:AE2"/>
  </mergeCells>
  <pageMargins left="0.7" right="0.7" top="0.75" bottom="0.75" header="0.511811023622047" footer="0.511811023622047"/>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W12"/>
  <sheetViews>
    <sheetView zoomScale="70" zoomScaleNormal="70" workbookViewId="0">
      <selection activeCell="J4" sqref="J4"/>
    </sheetView>
  </sheetViews>
  <sheetFormatPr baseColWidth="10" defaultColWidth="11.5546875" defaultRowHeight="13.8"/>
  <cols>
    <col min="1" max="1" width="11.6640625" style="32" customWidth="1"/>
    <col min="2" max="2" width="11.5546875" style="32"/>
    <col min="3" max="3" width="44.5546875" style="32" customWidth="1"/>
    <col min="4" max="4" width="11.5546875" style="32"/>
    <col min="5" max="5" width="14.77734375" style="32" customWidth="1"/>
    <col min="6" max="7" width="11.6640625" style="32" customWidth="1"/>
    <col min="8" max="8" width="14.33203125" style="32" customWidth="1"/>
    <col min="9" max="9" width="37.77734375" style="32" customWidth="1"/>
    <col min="10" max="10" width="11.5546875" style="32"/>
    <col min="11" max="11" width="19.21875" style="32" customWidth="1"/>
    <col min="12" max="13" width="11.6640625" style="32" customWidth="1"/>
    <col min="14" max="14" width="12.33203125" style="32" customWidth="1"/>
    <col min="15" max="15" width="29.77734375" style="32" customWidth="1"/>
    <col min="16" max="20" width="11.5546875" style="32"/>
    <col min="21" max="21" width="17.44140625" style="32" customWidth="1"/>
    <col min="22" max="22" width="13.88671875" style="32" customWidth="1"/>
    <col min="23" max="16384" width="11.5546875" style="32"/>
  </cols>
  <sheetData>
    <row r="2" spans="1:23" ht="14.25" customHeight="1">
      <c r="C2" s="170" t="s">
        <v>126</v>
      </c>
      <c r="D2" s="170"/>
      <c r="E2" s="170"/>
      <c r="F2" s="170"/>
      <c r="G2" s="170"/>
      <c r="H2" s="170"/>
      <c r="I2" s="170" t="s">
        <v>127</v>
      </c>
      <c r="J2" s="170"/>
      <c r="K2" s="170"/>
      <c r="L2" s="170"/>
      <c r="M2" s="170"/>
      <c r="N2" s="170"/>
      <c r="O2" s="170" t="s">
        <v>128</v>
      </c>
      <c r="P2" s="170"/>
      <c r="Q2" s="170"/>
      <c r="R2" s="170"/>
      <c r="S2" s="170"/>
      <c r="T2" s="170"/>
    </row>
    <row r="3" spans="1:23" ht="50.25" customHeight="1">
      <c r="A3" s="53" t="s">
        <v>107</v>
      </c>
      <c r="B3" s="171" t="s">
        <v>108</v>
      </c>
      <c r="C3" s="171"/>
      <c r="D3" s="53" t="s">
        <v>109</v>
      </c>
      <c r="E3" s="54" t="s">
        <v>129</v>
      </c>
      <c r="F3" s="53" t="s">
        <v>110</v>
      </c>
      <c r="G3" s="54" t="s">
        <v>130</v>
      </c>
      <c r="H3" s="54" t="s">
        <v>131</v>
      </c>
      <c r="I3" s="53"/>
      <c r="J3" s="53" t="s">
        <v>109</v>
      </c>
      <c r="K3" s="54" t="s">
        <v>129</v>
      </c>
      <c r="L3" s="53" t="s">
        <v>110</v>
      </c>
      <c r="M3" s="54" t="s">
        <v>130</v>
      </c>
      <c r="N3" s="54" t="s">
        <v>131</v>
      </c>
      <c r="O3" s="53"/>
      <c r="P3" s="53" t="s">
        <v>109</v>
      </c>
      <c r="Q3" s="54" t="s">
        <v>129</v>
      </c>
      <c r="R3" s="53" t="s">
        <v>110</v>
      </c>
      <c r="S3" s="54" t="s">
        <v>130</v>
      </c>
      <c r="T3" s="54" t="s">
        <v>131</v>
      </c>
      <c r="U3" s="55" t="s">
        <v>113</v>
      </c>
      <c r="V3" s="55" t="s">
        <v>114</v>
      </c>
      <c r="W3" s="54"/>
    </row>
    <row r="4" spans="1:23" ht="264" customHeight="1">
      <c r="A4" s="56">
        <v>38</v>
      </c>
      <c r="B4" s="56" t="s">
        <v>132</v>
      </c>
      <c r="C4" s="57" t="s">
        <v>133</v>
      </c>
      <c r="D4" s="56" t="s">
        <v>134</v>
      </c>
      <c r="E4" s="56">
        <v>1</v>
      </c>
      <c r="F4" s="58">
        <v>0.19</v>
      </c>
      <c r="G4" s="59">
        <v>1500</v>
      </c>
      <c r="H4" s="60">
        <f t="shared" ref="H4:H9" si="0">ROUND(G4*(1+F4),0)</f>
        <v>1785</v>
      </c>
      <c r="I4" s="57" t="s">
        <v>133</v>
      </c>
      <c r="J4" s="56" t="s">
        <v>135</v>
      </c>
      <c r="K4" s="56">
        <v>1</v>
      </c>
      <c r="L4" s="58">
        <v>0.19</v>
      </c>
      <c r="M4" s="59">
        <v>1500</v>
      </c>
      <c r="N4" s="60">
        <v>1785</v>
      </c>
      <c r="O4" s="57" t="s">
        <v>133</v>
      </c>
      <c r="P4" s="56" t="s">
        <v>135</v>
      </c>
      <c r="Q4" s="56">
        <v>1</v>
      </c>
      <c r="R4" s="58">
        <v>0.19</v>
      </c>
      <c r="S4" s="59">
        <v>3600</v>
      </c>
      <c r="T4" s="60">
        <v>4284</v>
      </c>
      <c r="U4" s="60">
        <f t="shared" ref="U4:U9" si="1">AVERAGE(H4,N4,T4)</f>
        <v>2618</v>
      </c>
      <c r="V4" s="61">
        <f t="shared" ref="V4:V9" si="2">MEDIAN(H4,N4,T4)</f>
        <v>1785</v>
      </c>
    </row>
    <row r="5" spans="1:23" ht="239.25" customHeight="1">
      <c r="A5" s="56">
        <v>39</v>
      </c>
      <c r="B5" s="56" t="s">
        <v>132</v>
      </c>
      <c r="C5" s="57" t="s">
        <v>136</v>
      </c>
      <c r="D5" s="56" t="s">
        <v>134</v>
      </c>
      <c r="E5" s="56">
        <v>1</v>
      </c>
      <c r="F5" s="58">
        <v>0.19</v>
      </c>
      <c r="G5" s="59">
        <v>1500</v>
      </c>
      <c r="H5" s="60">
        <f t="shared" si="0"/>
        <v>1785</v>
      </c>
      <c r="I5" s="57" t="s">
        <v>136</v>
      </c>
      <c r="J5" s="56" t="s">
        <v>135</v>
      </c>
      <c r="K5" s="56">
        <v>1</v>
      </c>
      <c r="L5" s="58">
        <v>0.19</v>
      </c>
      <c r="M5" s="59">
        <v>1000</v>
      </c>
      <c r="N5" s="60">
        <v>1190</v>
      </c>
      <c r="O5" s="57" t="s">
        <v>136</v>
      </c>
      <c r="P5" s="56" t="s">
        <v>135</v>
      </c>
      <c r="Q5" s="56">
        <v>1</v>
      </c>
      <c r="R5" s="58">
        <v>0.19</v>
      </c>
      <c r="S5" s="59">
        <v>2400</v>
      </c>
      <c r="T5" s="60">
        <v>2856</v>
      </c>
      <c r="U5" s="60">
        <f t="shared" si="1"/>
        <v>1943.6666666666667</v>
      </c>
      <c r="V5" s="61">
        <f t="shared" si="2"/>
        <v>1785</v>
      </c>
    </row>
    <row r="6" spans="1:23" ht="264" customHeight="1">
      <c r="A6" s="56">
        <v>40</v>
      </c>
      <c r="B6" s="56" t="s">
        <v>132</v>
      </c>
      <c r="C6" s="57" t="s">
        <v>137</v>
      </c>
      <c r="D6" s="56" t="s">
        <v>134</v>
      </c>
      <c r="E6" s="56">
        <v>1</v>
      </c>
      <c r="F6" s="58">
        <v>0.19</v>
      </c>
      <c r="G6" s="59">
        <v>1500</v>
      </c>
      <c r="H6" s="60">
        <f t="shared" si="0"/>
        <v>1785</v>
      </c>
      <c r="I6" s="57" t="s">
        <v>137</v>
      </c>
      <c r="J6" s="56" t="s">
        <v>135</v>
      </c>
      <c r="K6" s="56">
        <v>1</v>
      </c>
      <c r="L6" s="58">
        <v>0.19</v>
      </c>
      <c r="M6" s="59">
        <v>1000</v>
      </c>
      <c r="N6" s="60">
        <v>1190</v>
      </c>
      <c r="O6" s="57" t="s">
        <v>137</v>
      </c>
      <c r="P6" s="56" t="s">
        <v>135</v>
      </c>
      <c r="Q6" s="56">
        <v>1</v>
      </c>
      <c r="R6" s="58">
        <v>0.19</v>
      </c>
      <c r="S6" s="59">
        <v>2400</v>
      </c>
      <c r="T6" s="60">
        <v>2856</v>
      </c>
      <c r="U6" s="60">
        <f t="shared" si="1"/>
        <v>1943.6666666666667</v>
      </c>
      <c r="V6" s="61">
        <f t="shared" si="2"/>
        <v>1785</v>
      </c>
    </row>
    <row r="7" spans="1:23" ht="264" customHeight="1">
      <c r="A7" s="56">
        <v>41</v>
      </c>
      <c r="B7" s="56" t="s">
        <v>132</v>
      </c>
      <c r="C7" s="57" t="s">
        <v>138</v>
      </c>
      <c r="D7" s="56" t="s">
        <v>134</v>
      </c>
      <c r="E7" s="56">
        <v>1</v>
      </c>
      <c r="F7" s="58">
        <v>0.19</v>
      </c>
      <c r="G7" s="59">
        <v>1500</v>
      </c>
      <c r="H7" s="60">
        <f t="shared" si="0"/>
        <v>1785</v>
      </c>
      <c r="I7" s="57" t="s">
        <v>138</v>
      </c>
      <c r="J7" s="56" t="s">
        <v>135</v>
      </c>
      <c r="K7" s="56">
        <v>1</v>
      </c>
      <c r="L7" s="58">
        <v>0.19</v>
      </c>
      <c r="M7" s="59">
        <v>1500</v>
      </c>
      <c r="N7" s="60">
        <v>1785</v>
      </c>
      <c r="O7" s="57" t="s">
        <v>138</v>
      </c>
      <c r="P7" s="56" t="s">
        <v>135</v>
      </c>
      <c r="Q7" s="56">
        <v>1</v>
      </c>
      <c r="R7" s="58">
        <v>0.19</v>
      </c>
      <c r="S7" s="59">
        <v>3600</v>
      </c>
      <c r="T7" s="60">
        <v>4284</v>
      </c>
      <c r="U7" s="60">
        <f t="shared" si="1"/>
        <v>2618</v>
      </c>
      <c r="V7" s="61">
        <f t="shared" si="2"/>
        <v>1785</v>
      </c>
    </row>
    <row r="8" spans="1:23" ht="239.25" customHeight="1">
      <c r="A8" s="56">
        <v>42</v>
      </c>
      <c r="B8" s="56" t="s">
        <v>132</v>
      </c>
      <c r="C8" s="57" t="s">
        <v>139</v>
      </c>
      <c r="D8" s="56" t="s">
        <v>134</v>
      </c>
      <c r="E8" s="56">
        <v>1</v>
      </c>
      <c r="F8" s="58">
        <v>0.19</v>
      </c>
      <c r="G8" s="59">
        <v>1500</v>
      </c>
      <c r="H8" s="60">
        <f t="shared" si="0"/>
        <v>1785</v>
      </c>
      <c r="I8" s="57" t="s">
        <v>139</v>
      </c>
      <c r="J8" s="56" t="s">
        <v>135</v>
      </c>
      <c r="K8" s="56">
        <v>1</v>
      </c>
      <c r="L8" s="58">
        <v>0.19</v>
      </c>
      <c r="M8" s="59">
        <v>1500</v>
      </c>
      <c r="N8" s="60">
        <v>1785</v>
      </c>
      <c r="O8" s="57" t="s">
        <v>139</v>
      </c>
      <c r="P8" s="56" t="s">
        <v>135</v>
      </c>
      <c r="Q8" s="56">
        <v>1</v>
      </c>
      <c r="R8" s="58">
        <v>0.19</v>
      </c>
      <c r="S8" s="59">
        <v>3600</v>
      </c>
      <c r="T8" s="60">
        <v>4284</v>
      </c>
      <c r="U8" s="60">
        <f t="shared" si="1"/>
        <v>2618</v>
      </c>
      <c r="V8" s="61">
        <f t="shared" si="2"/>
        <v>1785</v>
      </c>
    </row>
    <row r="9" spans="1:23" ht="264" customHeight="1">
      <c r="A9" s="56">
        <v>43</v>
      </c>
      <c r="B9" s="56" t="s">
        <v>132</v>
      </c>
      <c r="C9" s="57" t="s">
        <v>140</v>
      </c>
      <c r="D9" s="56" t="s">
        <v>134</v>
      </c>
      <c r="E9" s="56">
        <v>1</v>
      </c>
      <c r="F9" s="58">
        <v>0.19</v>
      </c>
      <c r="G9" s="59">
        <v>1500</v>
      </c>
      <c r="H9" s="60">
        <f t="shared" si="0"/>
        <v>1785</v>
      </c>
      <c r="I9" s="57" t="s">
        <v>140</v>
      </c>
      <c r="J9" s="56" t="s">
        <v>135</v>
      </c>
      <c r="K9" s="56">
        <v>1</v>
      </c>
      <c r="L9" s="58">
        <v>0.19</v>
      </c>
      <c r="M9" s="59">
        <v>1000</v>
      </c>
      <c r="N9" s="60">
        <v>1190</v>
      </c>
      <c r="O9" s="57" t="s">
        <v>140</v>
      </c>
      <c r="P9" s="56" t="s">
        <v>135</v>
      </c>
      <c r="Q9" s="56">
        <v>1</v>
      </c>
      <c r="R9" s="58">
        <v>0.19</v>
      </c>
      <c r="S9" s="59">
        <v>2400</v>
      </c>
      <c r="T9" s="60">
        <v>2856</v>
      </c>
      <c r="U9" s="60">
        <f t="shared" si="1"/>
        <v>1943.6666666666667</v>
      </c>
      <c r="V9" s="61">
        <f t="shared" si="2"/>
        <v>1785</v>
      </c>
    </row>
    <row r="10" spans="1:23">
      <c r="U10" s="52">
        <f>AVERAGE(U4:U9)</f>
        <v>2280.8333333333335</v>
      </c>
    </row>
    <row r="11" spans="1:23" ht="33" customHeight="1"/>
    <row r="12" spans="1:23" ht="64.2" customHeight="1">
      <c r="T12" s="172" t="s">
        <v>173</v>
      </c>
      <c r="U12" s="172"/>
      <c r="V12" s="113">
        <v>2280.8333333333335</v>
      </c>
    </row>
  </sheetData>
  <mergeCells count="5">
    <mergeCell ref="C2:H2"/>
    <mergeCell ref="I2:N2"/>
    <mergeCell ref="O2:T2"/>
    <mergeCell ref="B3:C3"/>
    <mergeCell ref="T12:U12"/>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Presupuesto Ajustado</vt:lpstr>
      <vt:lpstr>Perisfericos</vt:lpstr>
      <vt:lpstr>Medios Tecnológicos</vt:lpstr>
      <vt:lpstr>Seguros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 Andres Acevedo Rincon</dc:creator>
  <dc:description/>
  <cp:lastModifiedBy>OMAR AUGUSTO MUÑOZ REYES</cp:lastModifiedBy>
  <cp:revision>0</cp:revision>
  <cp:lastPrinted>2026-05-19T15:55:39Z</cp:lastPrinted>
  <dcterms:created xsi:type="dcterms:W3CDTF">2023-03-31T18:09:22Z</dcterms:created>
  <dcterms:modified xsi:type="dcterms:W3CDTF">2026-05-21T18:08:40Z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0x0101008DF383ADBEBC694E95630045AAFF3652</vt:lpwstr>
  </property>
  <property fmtid="{D5CDD505-2E9C-101B-9397-08002B2CF9AE}" pid="3" name="MediaServiceImageTags">
    <vt:lpwstr/>
  </property>
</Properties>
</file>