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10"/>
  <workbookPr/>
  <mc:AlternateContent xmlns:mc="http://schemas.openxmlformats.org/markup-compatibility/2006">
    <mc:Choice Requires="x15">
      <x15ac:absPath xmlns:x15ac="http://schemas.microsoft.com/office/spreadsheetml/2010/11/ac" url="C:\Users\lrcampo\Documents\ESTUDIO_MERCADO_VIGILANCIA_JUDICIAL\2026\"/>
    </mc:Choice>
  </mc:AlternateContent>
  <xr:revisionPtr revIDLastSave="0" documentId="11_546F72E1912859FE5D3874C14CC10DDCB9DBE325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ESTUDIO_VIG_JUDI_2026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9" i="1" l="1"/>
  <c r="E59" i="1"/>
  <c r="H54" i="1"/>
  <c r="H53" i="1"/>
  <c r="H52" i="1"/>
  <c r="G52" i="1"/>
  <c r="I52" i="1"/>
  <c r="F40" i="1"/>
  <c r="D40" i="1"/>
  <c r="E42" i="1"/>
  <c r="E41" i="1"/>
  <c r="E40" i="1"/>
  <c r="P32" i="1"/>
  <c r="O32" i="1"/>
  <c r="N32" i="1"/>
  <c r="H32" i="1"/>
  <c r="J32" i="1"/>
  <c r="I34" i="1"/>
  <c r="I33" i="1"/>
  <c r="I32" i="1"/>
  <c r="L32" i="1" l="1"/>
  <c r="K32" i="1"/>
  <c r="K59" i="1" l="1"/>
  <c r="J40" i="1"/>
  <c r="C68" i="1" l="1"/>
  <c r="B68" i="1"/>
  <c r="B70" i="1" s="1"/>
  <c r="C70" i="1" l="1"/>
  <c r="B71" i="1" l="1"/>
  <c r="C75" i="1" s="1"/>
  <c r="F52" i="1" l="1"/>
  <c r="F54" i="1"/>
  <c r="F53" i="1"/>
  <c r="J47" i="1"/>
  <c r="K47" i="1" s="1"/>
  <c r="F32" i="1"/>
  <c r="G32" i="1" s="1"/>
  <c r="F34" i="1"/>
  <c r="G34" i="1" s="1"/>
  <c r="F33" i="1"/>
  <c r="G33" i="1" s="1"/>
  <c r="M52" i="1" l="1"/>
  <c r="N52" i="1" s="1"/>
  <c r="F59" i="1"/>
  <c r="I59" i="1"/>
  <c r="H59" i="1"/>
  <c r="F61" i="1"/>
  <c r="F60" i="1"/>
  <c r="G40" i="1"/>
  <c r="H40" i="1"/>
  <c r="K52" i="1" l="1"/>
  <c r="J52" i="1"/>
  <c r="J27" i="1" l="1"/>
  <c r="K27" i="1" s="1"/>
</calcChain>
</file>

<file path=xl/sharedStrings.xml><?xml version="1.0" encoding="utf-8"?>
<sst xmlns="http://schemas.openxmlformats.org/spreadsheetml/2006/main" count="132" uniqueCount="53">
  <si>
    <t xml:space="preserve">VIGILANCIA DE PROCESOS </t>
  </si>
  <si>
    <t>CONTRATISTA /AÑO</t>
  </si>
  <si>
    <t>No. DE CONTRATO</t>
  </si>
  <si>
    <t xml:space="preserve">AÑO </t>
  </si>
  <si>
    <t xml:space="preserve">MES DEL CONTRATO </t>
  </si>
  <si>
    <t xml:space="preserve">VALOR HISTÓRICO: VALOR UNITARIO CONTRATADO (IVA INCLUIDO)  </t>
  </si>
  <si>
    <t xml:space="preserve">No. DE PROCESOS ACTUAL </t>
  </si>
  <si>
    <t>TIEMPO</t>
  </si>
  <si>
    <t>IPC FINAL</t>
  </si>
  <si>
    <t xml:space="preserve">IPC INCIAL </t>
  </si>
  <si>
    <t>INDEXACIÓN (IPCF/ICPI)</t>
  </si>
  <si>
    <t>VALOR UNITARIO ACTUALIZADO (VH*INDEXACIÓN)</t>
  </si>
  <si>
    <t>DIESTRO_PD</t>
  </si>
  <si>
    <t>Agosto</t>
  </si>
  <si>
    <t xml:space="preserve">9 MESES </t>
  </si>
  <si>
    <t>COTIZANTE/CONTRATISTA</t>
  </si>
  <si>
    <t xml:space="preserve">VALOR UNITARIO (IVA INCLUIDO) </t>
  </si>
  <si>
    <t xml:space="preserve">VALOR MENSUAL </t>
  </si>
  <si>
    <t xml:space="preserve">VALOR TOTAL </t>
  </si>
  <si>
    <t>PROMEDIO SIMPLE</t>
  </si>
  <si>
    <t xml:space="preserve">VARIACIÓN </t>
  </si>
  <si>
    <t xml:space="preserve">DESVIACIÓN ESTÁNDAR </t>
  </si>
  <si>
    <t>LIMITE  INFERIOR</t>
  </si>
  <si>
    <t xml:space="preserve">LIMITE SUPERIOR </t>
  </si>
  <si>
    <t xml:space="preserve"> DATOS DESCARTADOS  </t>
  </si>
  <si>
    <t xml:space="preserve">PROMEDIO CON TUNEL ESTADÍSTICO </t>
  </si>
  <si>
    <t>VALOR MENSUAL</t>
  </si>
  <si>
    <t>VALOR UNITARIO</t>
  </si>
  <si>
    <t xml:space="preserve">COTIZANTE 1 </t>
  </si>
  <si>
    <t>LUPA JURIDICA S.A.S</t>
  </si>
  <si>
    <t xml:space="preserve">7 MESES </t>
  </si>
  <si>
    <t>SI</t>
  </si>
  <si>
    <t xml:space="preserve">COTIZANTE 2 </t>
  </si>
  <si>
    <t>LITIGAR PUNTO COM S.A.S</t>
  </si>
  <si>
    <t>NO</t>
  </si>
  <si>
    <t>VH 2025</t>
  </si>
  <si>
    <t>VIGILANCIA DE PROCESOS</t>
  </si>
  <si>
    <t xml:space="preserve">LIMITE INFERIOR  </t>
  </si>
  <si>
    <t xml:space="preserve">DIGITALIZACIONES </t>
  </si>
  <si>
    <t xml:space="preserve">No. DE DIGITALIZACIONES REQUERIDAS ACTUAL </t>
  </si>
  <si>
    <t>2000 COPIAS durante la ejecución del contrato</t>
  </si>
  <si>
    <t>DETALLE</t>
  </si>
  <si>
    <t>VALOR UNITARIO VIGILANCIA DE PROCESOS INCLUIDO IVA</t>
  </si>
  <si>
    <t xml:space="preserve">VALOR UNITARIO DIGITALIZACIONES INCLUIDO IVA </t>
  </si>
  <si>
    <t>VALOR TECHO</t>
  </si>
  <si>
    <t xml:space="preserve">CANTIDADES </t>
  </si>
  <si>
    <t>SUBTOTAL</t>
  </si>
  <si>
    <t>2000 copias (Durante la ejecución del contrato)</t>
  </si>
  <si>
    <t xml:space="preserve">TOTAL </t>
  </si>
  <si>
    <t xml:space="preserve">TOTAL PRESUPUESTO </t>
  </si>
  <si>
    <t>PRESUPUESTO TOTAL PROYECTADO  (IVA INCLUIDO)</t>
  </si>
  <si>
    <t>PLAZO DEL CONTRATO</t>
  </si>
  <si>
    <t xml:space="preserve">PRESUPUESTO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</si>
</sst>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&quot;$&quot;\ #,##0;[Red]\-&quot;$&quot;\ #,##0"/>
    <numFmt numFmtId="165" formatCode="&quot;$&quot;\ #,##0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8"/>
      <color rgb="FF000000"/>
      <name val="Arial"/>
      <family val="2"/>
    </font>
    <font>
      <sz val="9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99CC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29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65" fontId="3" fillId="0" borderId="11" xfId="0" applyNumberFormat="1" applyFont="1" applyBorder="1" applyAlignment="1">
      <alignment horizontal="center" vertical="center" wrapText="1"/>
    </xf>
    <xf numFmtId="9" fontId="3" fillId="0" borderId="3" xfId="0" applyNumberFormat="1" applyFont="1" applyBorder="1" applyAlignment="1">
      <alignment horizontal="center" vertical="center" wrapText="1"/>
    </xf>
    <xf numFmtId="9" fontId="3" fillId="0" borderId="11" xfId="1" applyFont="1" applyBorder="1" applyAlignment="1">
      <alignment horizontal="center" vertical="center" wrapText="1"/>
    </xf>
    <xf numFmtId="9" fontId="0" fillId="0" borderId="0" xfId="1" applyFont="1"/>
    <xf numFmtId="0" fontId="2" fillId="2" borderId="8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43" fontId="0" fillId="0" borderId="0" xfId="2" applyFont="1"/>
    <xf numFmtId="0" fontId="7" fillId="0" borderId="10" xfId="0" applyFont="1" applyBorder="1" applyAlignment="1">
      <alignment vertical="center" wrapText="1"/>
    </xf>
    <xf numFmtId="164" fontId="7" fillId="0" borderId="7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164" fontId="8" fillId="0" borderId="7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3" fillId="0" borderId="1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vertical="center" wrapText="1"/>
    </xf>
    <xf numFmtId="0" fontId="4" fillId="0" borderId="1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9" fontId="3" fillId="0" borderId="15" xfId="1" applyFont="1" applyFill="1" applyBorder="1" applyAlignment="1">
      <alignment horizontal="left" vertical="center" wrapText="1"/>
    </xf>
    <xf numFmtId="165" fontId="3" fillId="0" borderId="15" xfId="0" applyNumberFormat="1" applyFont="1" applyBorder="1" applyAlignment="1">
      <alignment horizontal="center" vertical="center" wrapText="1"/>
    </xf>
    <xf numFmtId="9" fontId="3" fillId="0" borderId="15" xfId="0" applyNumberFormat="1" applyFont="1" applyBorder="1" applyAlignment="1">
      <alignment horizontal="center" vertical="center" wrapText="1"/>
    </xf>
    <xf numFmtId="9" fontId="3" fillId="0" borderId="15" xfId="1" applyFont="1" applyFill="1" applyBorder="1" applyAlignment="1">
      <alignment horizontal="center" vertical="center" wrapText="1"/>
    </xf>
    <xf numFmtId="0" fontId="0" fillId="0" borderId="1" xfId="0" applyBorder="1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1" fontId="4" fillId="0" borderId="0" xfId="0" applyNumberFormat="1" applyFont="1" applyAlignment="1">
      <alignment vertical="center"/>
    </xf>
    <xf numFmtId="0" fontId="4" fillId="5" borderId="15" xfId="0" applyFont="1" applyFill="1" applyBorder="1" applyAlignment="1">
      <alignment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164" fontId="4" fillId="5" borderId="15" xfId="0" applyNumberFormat="1" applyFont="1" applyFill="1" applyBorder="1" applyAlignment="1">
      <alignment horizontal="center" vertical="center"/>
    </xf>
    <xf numFmtId="1" fontId="4" fillId="5" borderId="15" xfId="0" applyNumberFormat="1" applyFont="1" applyFill="1" applyBorder="1" applyAlignment="1">
      <alignment horizontal="center" vertical="center"/>
    </xf>
    <xf numFmtId="2" fontId="4" fillId="5" borderId="15" xfId="0" applyNumberFormat="1" applyFont="1" applyFill="1" applyBorder="1" applyAlignment="1">
      <alignment horizontal="center" vertical="center"/>
    </xf>
    <xf numFmtId="164" fontId="4" fillId="5" borderId="15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9" fontId="3" fillId="0" borderId="15" xfId="1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9" fontId="3" fillId="7" borderId="15" xfId="1" applyFont="1" applyFill="1" applyBorder="1" applyAlignment="1">
      <alignment horizontal="left" vertical="center" wrapText="1"/>
    </xf>
    <xf numFmtId="165" fontId="3" fillId="7" borderId="15" xfId="0" applyNumberFormat="1" applyFont="1" applyFill="1" applyBorder="1" applyAlignment="1">
      <alignment horizontal="center" vertical="center" wrapText="1"/>
    </xf>
    <xf numFmtId="0" fontId="4" fillId="7" borderId="15" xfId="0" applyFont="1" applyFill="1" applyBorder="1" applyAlignment="1">
      <alignment vertical="center" wrapText="1"/>
    </xf>
    <xf numFmtId="0" fontId="3" fillId="7" borderId="15" xfId="0" applyFont="1" applyFill="1" applyBorder="1" applyAlignment="1">
      <alignment horizontal="center" vertical="center" wrapText="1"/>
    </xf>
    <xf numFmtId="165" fontId="4" fillId="7" borderId="0" xfId="0" applyNumberFormat="1" applyFont="1" applyFill="1" applyAlignment="1">
      <alignment horizontal="center" vertical="center" wrapText="1"/>
    </xf>
    <xf numFmtId="9" fontId="3" fillId="7" borderId="11" xfId="1" applyFont="1" applyFill="1" applyBorder="1" applyAlignment="1">
      <alignment horizontal="left" vertical="center" wrapText="1"/>
    </xf>
    <xf numFmtId="165" fontId="3" fillId="7" borderId="11" xfId="0" applyNumberFormat="1" applyFont="1" applyFill="1" applyBorder="1" applyAlignment="1">
      <alignment horizontal="center" vertical="center" wrapText="1"/>
    </xf>
    <xf numFmtId="9" fontId="3" fillId="6" borderId="15" xfId="0" applyNumberFormat="1" applyFont="1" applyFill="1" applyBorder="1" applyAlignment="1">
      <alignment horizontal="center" vertical="center" wrapText="1"/>
    </xf>
    <xf numFmtId="0" fontId="7" fillId="8" borderId="3" xfId="0" applyFont="1" applyFill="1" applyBorder="1" applyAlignment="1">
      <alignment horizontal="center" vertical="center" wrapText="1"/>
    </xf>
    <xf numFmtId="0" fontId="7" fillId="8" borderId="8" xfId="0" applyFont="1" applyFill="1" applyBorder="1" applyAlignment="1">
      <alignment horizontal="center" vertical="center" wrapText="1"/>
    </xf>
    <xf numFmtId="0" fontId="8" fillId="8" borderId="7" xfId="0" applyFont="1" applyFill="1" applyBorder="1" applyAlignment="1">
      <alignment horizontal="center" vertical="center" wrapText="1"/>
    </xf>
    <xf numFmtId="164" fontId="7" fillId="8" borderId="6" xfId="0" applyNumberFormat="1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vertical="center"/>
    </xf>
    <xf numFmtId="0" fontId="2" fillId="8" borderId="12" xfId="0" applyFont="1" applyFill="1" applyBorder="1" applyAlignment="1">
      <alignment vertical="center"/>
    </xf>
    <xf numFmtId="0" fontId="2" fillId="8" borderId="8" xfId="0" applyFont="1" applyFill="1" applyBorder="1" applyAlignment="1">
      <alignment vertical="center"/>
    </xf>
    <xf numFmtId="165" fontId="0" fillId="0" borderId="0" xfId="0" applyNumberFormat="1"/>
    <xf numFmtId="9" fontId="11" fillId="0" borderId="15" xfId="1" applyFont="1" applyFill="1" applyBorder="1" applyAlignment="1">
      <alignment horizontal="center"/>
    </xf>
    <xf numFmtId="9" fontId="3" fillId="9" borderId="15" xfId="1" applyFont="1" applyFill="1" applyBorder="1" applyAlignment="1">
      <alignment horizontal="center" vertical="center" wrapText="1"/>
    </xf>
    <xf numFmtId="9" fontId="3" fillId="9" borderId="15" xfId="1" applyFont="1" applyFill="1" applyBorder="1" applyAlignment="1">
      <alignment horizontal="left" vertical="center" wrapText="1"/>
    </xf>
    <xf numFmtId="165" fontId="3" fillId="9" borderId="15" xfId="0" applyNumberFormat="1" applyFont="1" applyFill="1" applyBorder="1" applyAlignment="1">
      <alignment horizontal="center" vertical="center" wrapText="1"/>
    </xf>
    <xf numFmtId="9" fontId="0" fillId="9" borderId="15" xfId="1" applyFont="1" applyFill="1" applyBorder="1" applyAlignment="1">
      <alignment horizontal="center"/>
    </xf>
    <xf numFmtId="9" fontId="10" fillId="9" borderId="15" xfId="1" applyFont="1" applyFill="1" applyBorder="1" applyAlignment="1">
      <alignment horizontal="center" vertical="center" wrapText="1"/>
    </xf>
    <xf numFmtId="0" fontId="0" fillId="9" borderId="0" xfId="0" applyFill="1"/>
    <xf numFmtId="9" fontId="3" fillId="9" borderId="15" xfId="0" applyNumberFormat="1" applyFont="1" applyFill="1" applyBorder="1" applyAlignment="1">
      <alignment horizontal="center" vertical="center" wrapText="1"/>
    </xf>
    <xf numFmtId="0" fontId="2" fillId="9" borderId="15" xfId="0" applyFont="1" applyFill="1" applyBorder="1" applyAlignment="1">
      <alignment horizontal="center" vertical="center" wrapText="1"/>
    </xf>
    <xf numFmtId="43" fontId="0" fillId="9" borderId="0" xfId="2" applyFont="1" applyFill="1" applyBorder="1"/>
    <xf numFmtId="0" fontId="4" fillId="10" borderId="15" xfId="0" applyFont="1" applyFill="1" applyBorder="1" applyAlignment="1">
      <alignment vertical="center" wrapText="1"/>
    </xf>
    <xf numFmtId="0" fontId="3" fillId="10" borderId="15" xfId="0" applyFont="1" applyFill="1" applyBorder="1" applyAlignment="1">
      <alignment horizontal="center" vertical="center" wrapText="1"/>
    </xf>
    <xf numFmtId="0" fontId="4" fillId="10" borderId="15" xfId="0" applyFont="1" applyFill="1" applyBorder="1" applyAlignment="1">
      <alignment horizontal="center" vertical="center" wrapText="1"/>
    </xf>
    <xf numFmtId="164" fontId="4" fillId="10" borderId="15" xfId="0" applyNumberFormat="1" applyFont="1" applyFill="1" applyBorder="1" applyAlignment="1">
      <alignment horizontal="center" vertical="center"/>
    </xf>
    <xf numFmtId="1" fontId="4" fillId="10" borderId="15" xfId="0" applyNumberFormat="1" applyFont="1" applyFill="1" applyBorder="1" applyAlignment="1">
      <alignment horizontal="center" vertical="center" wrapText="1"/>
    </xf>
    <xf numFmtId="2" fontId="4" fillId="10" borderId="15" xfId="0" applyNumberFormat="1" applyFont="1" applyFill="1" applyBorder="1" applyAlignment="1">
      <alignment horizontal="center" vertical="center"/>
    </xf>
    <xf numFmtId="164" fontId="4" fillId="10" borderId="15" xfId="0" applyNumberFormat="1" applyFont="1" applyFill="1" applyBorder="1" applyAlignment="1">
      <alignment horizontal="center" vertical="center" wrapText="1"/>
    </xf>
    <xf numFmtId="0" fontId="3" fillId="9" borderId="11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vertical="center" wrapText="1"/>
    </xf>
    <xf numFmtId="164" fontId="4" fillId="9" borderId="23" xfId="0" applyNumberFormat="1" applyFont="1" applyFill="1" applyBorder="1" applyAlignment="1">
      <alignment horizontal="center" vertical="center"/>
    </xf>
    <xf numFmtId="165" fontId="3" fillId="9" borderId="11" xfId="0" applyNumberFormat="1" applyFont="1" applyFill="1" applyBorder="1" applyAlignment="1">
      <alignment horizontal="center" vertical="center" wrapText="1"/>
    </xf>
    <xf numFmtId="9" fontId="3" fillId="9" borderId="3" xfId="0" applyNumberFormat="1" applyFont="1" applyFill="1" applyBorder="1" applyAlignment="1">
      <alignment horizontal="center" vertical="center" wrapText="1"/>
    </xf>
    <xf numFmtId="0" fontId="9" fillId="9" borderId="3" xfId="0" applyFont="1" applyFill="1" applyBorder="1" applyAlignment="1">
      <alignment horizontal="center" vertical="center" wrapText="1"/>
    </xf>
    <xf numFmtId="0" fontId="3" fillId="9" borderId="15" xfId="0" applyFont="1" applyFill="1" applyBorder="1" applyAlignment="1">
      <alignment horizontal="center" vertical="center" wrapText="1"/>
    </xf>
    <xf numFmtId="0" fontId="4" fillId="9" borderId="15" xfId="0" applyFont="1" applyFill="1" applyBorder="1" applyAlignment="1">
      <alignment vertical="center" wrapText="1"/>
    </xf>
    <xf numFmtId="164" fontId="4" fillId="9" borderId="15" xfId="0" applyNumberFormat="1" applyFont="1" applyFill="1" applyBorder="1" applyAlignment="1">
      <alignment horizontal="center" vertical="center"/>
    </xf>
    <xf numFmtId="0" fontId="9" fillId="9" borderId="15" xfId="0" applyFont="1" applyFill="1" applyBorder="1" applyAlignment="1">
      <alignment horizontal="center" vertical="center" wrapText="1"/>
    </xf>
    <xf numFmtId="0" fontId="0" fillId="10" borderId="16" xfId="0" applyFill="1" applyBorder="1"/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64" fontId="7" fillId="0" borderId="15" xfId="0" applyNumberFormat="1" applyFont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10" borderId="22" xfId="0" applyFont="1" applyFill="1" applyBorder="1" applyAlignment="1">
      <alignment horizontal="center" vertical="center"/>
    </xf>
    <xf numFmtId="0" fontId="2" fillId="10" borderId="12" xfId="0" applyFont="1" applyFill="1" applyBorder="1" applyAlignment="1">
      <alignment horizontal="center" vertical="center"/>
    </xf>
    <xf numFmtId="0" fontId="2" fillId="10" borderId="8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165" fontId="3" fillId="0" borderId="15" xfId="0" applyNumberFormat="1" applyFont="1" applyBorder="1" applyAlignment="1">
      <alignment horizontal="center" vertical="center" wrapText="1"/>
    </xf>
    <xf numFmtId="165" fontId="3" fillId="3" borderId="15" xfId="0" applyNumberFormat="1" applyFont="1" applyFill="1" applyBorder="1" applyAlignment="1">
      <alignment horizontal="center" vertical="center" wrapText="1"/>
    </xf>
    <xf numFmtId="165" fontId="3" fillId="0" borderId="9" xfId="0" applyNumberFormat="1" applyFont="1" applyBorder="1" applyAlignment="1">
      <alignment horizontal="center" vertical="center" wrapText="1"/>
    </xf>
    <xf numFmtId="165" fontId="3" fillId="0" borderId="10" xfId="0" applyNumberFormat="1" applyFont="1" applyBorder="1" applyAlignment="1">
      <alignment horizontal="center" vertical="center" wrapText="1"/>
    </xf>
    <xf numFmtId="165" fontId="3" fillId="3" borderId="4" xfId="0" applyNumberFormat="1" applyFont="1" applyFill="1" applyBorder="1" applyAlignment="1">
      <alignment horizontal="center" vertical="center" wrapText="1"/>
    </xf>
    <xf numFmtId="165" fontId="3" fillId="3" borderId="9" xfId="0" applyNumberFormat="1" applyFont="1" applyFill="1" applyBorder="1" applyAlignment="1">
      <alignment horizontal="center" vertical="center" wrapText="1"/>
    </xf>
    <xf numFmtId="165" fontId="3" fillId="3" borderId="10" xfId="0" applyNumberFormat="1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2" fillId="7" borderId="11" xfId="0" applyFont="1" applyFill="1" applyBorder="1" applyAlignment="1">
      <alignment horizontal="center" vertical="center" wrapText="1"/>
    </xf>
    <xf numFmtId="0" fontId="2" fillId="7" borderId="12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165" fontId="2" fillId="7" borderId="11" xfId="0" applyNumberFormat="1" applyFont="1" applyFill="1" applyBorder="1" applyAlignment="1">
      <alignment horizontal="center" vertical="center" wrapText="1"/>
    </xf>
    <xf numFmtId="165" fontId="2" fillId="7" borderId="12" xfId="0" applyNumberFormat="1" applyFont="1" applyFill="1" applyBorder="1" applyAlignment="1">
      <alignment horizontal="center" vertical="center" wrapText="1"/>
    </xf>
    <xf numFmtId="165" fontId="2" fillId="7" borderId="8" xfId="0" applyNumberFormat="1" applyFont="1" applyFill="1" applyBorder="1" applyAlignment="1">
      <alignment horizontal="center" vertical="center" wrapText="1"/>
    </xf>
    <xf numFmtId="165" fontId="3" fillId="0" borderId="4" xfId="0" applyNumberFormat="1" applyFont="1" applyBorder="1" applyAlignment="1">
      <alignment horizontal="center" vertical="center" wrapText="1"/>
    </xf>
    <xf numFmtId="165" fontId="3" fillId="0" borderId="25" xfId="0" applyNumberFormat="1" applyFont="1" applyBorder="1" applyAlignment="1">
      <alignment horizontal="center" vertical="center" wrapText="1"/>
    </xf>
    <xf numFmtId="165" fontId="3" fillId="0" borderId="26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</cellXfs>
  <cellStyles count="3">
    <cellStyle name="Millares" xfId="2" builtinId="3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FF99CC"/>
      <color rgb="FFCC99FF"/>
      <color rgb="FFCCFF99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31750</xdr:colOff>
      <xdr:row>0</xdr:row>
      <xdr:rowOff>52918</xdr:rowOff>
    </xdr:from>
    <xdr:to>
      <xdr:col>8</xdr:col>
      <xdr:colOff>522552</xdr:colOff>
      <xdr:row>23</xdr:row>
      <xdr:rowOff>74083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50" y="52918"/>
          <a:ext cx="10297583" cy="477308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P76"/>
  <sheetViews>
    <sheetView tabSelected="1" topLeftCell="A53" zoomScale="80" zoomScaleNormal="80" workbookViewId="0">
      <selection activeCell="O59" sqref="O59"/>
    </sheetView>
  </sheetViews>
  <sheetFormatPr defaultColWidth="11.42578125" defaultRowHeight="15"/>
  <cols>
    <col min="1" max="1" width="18.140625" customWidth="1"/>
    <col min="2" max="2" width="27.85546875" customWidth="1"/>
    <col min="3" max="3" width="19" customWidth="1"/>
    <col min="4" max="4" width="17.140625" customWidth="1"/>
    <col min="5" max="5" width="19.5703125" customWidth="1"/>
    <col min="6" max="6" width="13.42578125" customWidth="1"/>
    <col min="7" max="7" width="14.42578125" customWidth="1"/>
    <col min="8" max="8" width="17.28515625" customWidth="1"/>
    <col min="9" max="9" width="20.5703125" customWidth="1"/>
    <col min="10" max="10" width="19" customWidth="1"/>
    <col min="11" max="11" width="17" customWidth="1"/>
    <col min="12" max="12" width="20.140625" customWidth="1"/>
    <col min="13" max="13" width="19" customWidth="1"/>
    <col min="14" max="14" width="17.5703125" customWidth="1"/>
    <col min="15" max="15" width="14.85546875" bestFit="1" customWidth="1"/>
  </cols>
  <sheetData>
    <row r="5" ht="12" customHeight="1"/>
    <row r="14" ht="14.25" customHeight="1"/>
    <row r="16" ht="13.5" customHeight="1"/>
    <row r="22" spans="1:16" ht="50.25" customHeight="1"/>
    <row r="25" spans="1:16">
      <c r="A25" s="114" t="s">
        <v>0</v>
      </c>
      <c r="B25" s="114"/>
      <c r="C25" s="114"/>
      <c r="D25" s="114"/>
      <c r="E25" s="114"/>
      <c r="F25" s="114"/>
      <c r="G25" s="114"/>
      <c r="H25" s="114"/>
      <c r="I25" s="114"/>
      <c r="J25" s="114"/>
      <c r="K25" s="114"/>
    </row>
    <row r="26" spans="1:16" ht="48">
      <c r="A26" s="21" t="s">
        <v>1</v>
      </c>
      <c r="B26" s="22" t="s">
        <v>2</v>
      </c>
      <c r="C26" s="22" t="s">
        <v>3</v>
      </c>
      <c r="D26" s="21" t="s">
        <v>4</v>
      </c>
      <c r="E26" s="21" t="s">
        <v>5</v>
      </c>
      <c r="F26" s="21" t="s">
        <v>6</v>
      </c>
      <c r="G26" s="21" t="s">
        <v>7</v>
      </c>
      <c r="H26" s="21" t="s">
        <v>8</v>
      </c>
      <c r="I26" s="21" t="s">
        <v>9</v>
      </c>
      <c r="J26" s="21" t="s">
        <v>10</v>
      </c>
      <c r="K26" s="21" t="s">
        <v>11</v>
      </c>
    </row>
    <row r="27" spans="1:16" ht="62.25" customHeight="1">
      <c r="A27" s="36" t="s">
        <v>12</v>
      </c>
      <c r="B27" s="37">
        <v>8122068</v>
      </c>
      <c r="C27" s="38">
        <v>2025</v>
      </c>
      <c r="D27" s="38" t="s">
        <v>13</v>
      </c>
      <c r="E27" s="39">
        <v>2000</v>
      </c>
      <c r="F27" s="40">
        <v>360</v>
      </c>
      <c r="G27" s="40" t="s">
        <v>14</v>
      </c>
      <c r="H27" s="41">
        <v>155.72999999999999</v>
      </c>
      <c r="I27" s="38">
        <v>150.99</v>
      </c>
      <c r="J27" s="38">
        <f>(H27/I27)</f>
        <v>1.0313928074706933</v>
      </c>
      <c r="K27" s="42">
        <f>E27*J27</f>
        <v>2062.7856149413865</v>
      </c>
    </row>
    <row r="28" spans="1:16">
      <c r="F28" s="35"/>
      <c r="G28" s="35"/>
    </row>
    <row r="29" spans="1:16" ht="16.5" customHeight="1" thickBot="1">
      <c r="F29" s="35"/>
      <c r="G29" s="35"/>
    </row>
    <row r="30" spans="1:16" ht="15.75" thickBot="1">
      <c r="B30" s="97" t="s">
        <v>0</v>
      </c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9"/>
    </row>
    <row r="31" spans="1:16" ht="57.75" customHeight="1">
      <c r="B31" s="2" t="s">
        <v>15</v>
      </c>
      <c r="C31" s="2" t="s">
        <v>16</v>
      </c>
      <c r="D31" s="43" t="s">
        <v>6</v>
      </c>
      <c r="E31" s="44" t="s">
        <v>7</v>
      </c>
      <c r="F31" s="44" t="s">
        <v>17</v>
      </c>
      <c r="G31" s="4" t="s">
        <v>18</v>
      </c>
      <c r="H31" s="2" t="s">
        <v>19</v>
      </c>
      <c r="I31" s="2" t="s">
        <v>20</v>
      </c>
      <c r="J31" s="43" t="s">
        <v>21</v>
      </c>
      <c r="K31" s="44" t="s">
        <v>22</v>
      </c>
      <c r="L31" s="43" t="s">
        <v>23</v>
      </c>
      <c r="M31" s="4" t="s">
        <v>24</v>
      </c>
      <c r="N31" s="2" t="s">
        <v>25</v>
      </c>
      <c r="O31" s="45" t="s">
        <v>26</v>
      </c>
      <c r="P31" s="46" t="s">
        <v>27</v>
      </c>
    </row>
    <row r="32" spans="1:16" s="72" customFormat="1" ht="24.75" customHeight="1">
      <c r="A32" s="67" t="s">
        <v>28</v>
      </c>
      <c r="B32" s="68" t="s">
        <v>29</v>
      </c>
      <c r="C32" s="69">
        <v>4150</v>
      </c>
      <c r="D32" s="115">
        <v>356</v>
      </c>
      <c r="E32" s="115" t="s">
        <v>30</v>
      </c>
      <c r="F32" s="69">
        <f>C32*D32</f>
        <v>1477400</v>
      </c>
      <c r="G32" s="69">
        <f>F32*7</f>
        <v>10341800</v>
      </c>
      <c r="H32" s="107">
        <f>AVERAGE(C33,C34,C32)</f>
        <v>3078.3333333333335</v>
      </c>
      <c r="I32" s="70">
        <f>(1-(C32/(AVERAGE(C32,C33,C34))))*100%</f>
        <v>-0.34813210611802914</v>
      </c>
      <c r="J32" s="107">
        <f>STDEV(C33,C34,C32)</f>
        <v>1044.6398103333674</v>
      </c>
      <c r="K32" s="107">
        <f>H32-J32</f>
        <v>2033.693522999966</v>
      </c>
      <c r="L32" s="107">
        <f>H32+J32</f>
        <v>4122.9731436667007</v>
      </c>
      <c r="M32" s="71" t="s">
        <v>31</v>
      </c>
      <c r="N32" s="107">
        <f>+ROUND(AVERAGE(C33,C34,C32),0)</f>
        <v>3078</v>
      </c>
      <c r="O32" s="107">
        <f>+ROUND(AVERAGE(C33,C34),0)*D32</f>
        <v>905308</v>
      </c>
      <c r="P32" s="108">
        <f>+ROUND(AVERAGE(C33,C34),0)</f>
        <v>2543</v>
      </c>
    </row>
    <row r="33" spans="1:16" ht="31.5" customHeight="1">
      <c r="A33" s="47" t="s">
        <v>32</v>
      </c>
      <c r="B33" s="50" t="s">
        <v>33</v>
      </c>
      <c r="C33" s="51">
        <v>3022</v>
      </c>
      <c r="D33" s="115"/>
      <c r="E33" s="115"/>
      <c r="F33" s="27">
        <f>C33*D32</f>
        <v>1075832</v>
      </c>
      <c r="G33" s="27">
        <f>F33*7</f>
        <v>7530824</v>
      </c>
      <c r="H33" s="107"/>
      <c r="I33" s="66">
        <f>(1-(C33/(AVERAGE(C33,C34,C32))))*100%</f>
        <v>1.8299945858148425E-2</v>
      </c>
      <c r="J33" s="107"/>
      <c r="K33" s="107"/>
      <c r="L33" s="107"/>
      <c r="M33" s="47" t="s">
        <v>34</v>
      </c>
      <c r="N33" s="107"/>
      <c r="O33" s="107"/>
      <c r="P33" s="108"/>
    </row>
    <row r="34" spans="1:16" s="8" customFormat="1" ht="26.25" customHeight="1">
      <c r="A34" s="53" t="s">
        <v>35</v>
      </c>
      <c r="B34" s="52" t="s">
        <v>12</v>
      </c>
      <c r="C34" s="51">
        <v>2063</v>
      </c>
      <c r="D34" s="115"/>
      <c r="E34" s="115"/>
      <c r="F34" s="27">
        <f>C34*D32</f>
        <v>734428</v>
      </c>
      <c r="G34" s="27">
        <f>F34*7</f>
        <v>5140996</v>
      </c>
      <c r="H34" s="107"/>
      <c r="I34" s="66">
        <f>(1-(C34/(AVERAGE(C34,C32,C33))))*100%</f>
        <v>0.32983216025988094</v>
      </c>
      <c r="J34" s="107"/>
      <c r="K34" s="107"/>
      <c r="L34" s="107"/>
      <c r="M34" s="20" t="s">
        <v>34</v>
      </c>
      <c r="N34" s="107"/>
      <c r="O34" s="107"/>
      <c r="P34" s="108"/>
    </row>
    <row r="37" spans="1:16" ht="15.75" thickBot="1">
      <c r="M37" s="65"/>
      <c r="N37" s="8"/>
      <c r="P37" s="65"/>
    </row>
    <row r="38" spans="1:16" ht="15.75" thickBot="1">
      <c r="A38" s="97" t="s">
        <v>36</v>
      </c>
      <c r="B38" s="98"/>
      <c r="C38" s="98"/>
      <c r="D38" s="98"/>
      <c r="E38" s="98"/>
      <c r="F38" s="98"/>
      <c r="G38" s="98"/>
      <c r="H38" s="98"/>
      <c r="I38" s="98"/>
      <c r="J38" s="99"/>
    </row>
    <row r="39" spans="1:16" ht="24">
      <c r="A39" s="30"/>
      <c r="B39" s="31" t="s">
        <v>15</v>
      </c>
      <c r="C39" s="32" t="s">
        <v>16</v>
      </c>
      <c r="D39" s="32" t="s">
        <v>19</v>
      </c>
      <c r="E39" s="32" t="s">
        <v>20</v>
      </c>
      <c r="F39" s="32" t="s">
        <v>21</v>
      </c>
      <c r="G39" s="32" t="s">
        <v>23</v>
      </c>
      <c r="H39" s="32" t="s">
        <v>37</v>
      </c>
      <c r="I39" s="32" t="s">
        <v>24</v>
      </c>
      <c r="J39" s="48" t="s">
        <v>25</v>
      </c>
      <c r="O39" s="13"/>
    </row>
    <row r="40" spans="1:16" s="72" customFormat="1">
      <c r="A40" s="67" t="s">
        <v>28</v>
      </c>
      <c r="B40" s="68" t="s">
        <v>29</v>
      </c>
      <c r="C40" s="69">
        <v>4150</v>
      </c>
      <c r="D40" s="107">
        <f>+ROUND(AVERAGE(C41,C42, C40),0)</f>
        <v>3078</v>
      </c>
      <c r="E40" s="73">
        <f>(1-(C40/(AVERAGE(C40,C41,C42))))*100%</f>
        <v>-0.34813210611802914</v>
      </c>
      <c r="F40" s="107">
        <f>STDEV(C41,C42,C40)</f>
        <v>1044.6398103333674</v>
      </c>
      <c r="G40" s="107">
        <f>D40+F40</f>
        <v>4122.6398103333677</v>
      </c>
      <c r="H40" s="107">
        <f>D40-F40</f>
        <v>2033.3601896666326</v>
      </c>
      <c r="I40" s="74" t="s">
        <v>31</v>
      </c>
      <c r="J40" s="108">
        <f>+ROUND(AVERAGE(C41,C42),0)</f>
        <v>2543</v>
      </c>
      <c r="O40" s="75"/>
    </row>
    <row r="41" spans="1:16">
      <c r="A41" s="29" t="s">
        <v>32</v>
      </c>
      <c r="B41" s="26" t="s">
        <v>33</v>
      </c>
      <c r="C41" s="27">
        <v>3022</v>
      </c>
      <c r="D41" s="107"/>
      <c r="E41" s="57">
        <f>(1-(C41/(AVERAGE(C41,C42,C40))))*100%</f>
        <v>1.8299945858148425E-2</v>
      </c>
      <c r="F41" s="107"/>
      <c r="G41" s="107"/>
      <c r="H41" s="107"/>
      <c r="I41" s="20" t="s">
        <v>34</v>
      </c>
      <c r="J41" s="108"/>
      <c r="L41" s="65"/>
    </row>
    <row r="42" spans="1:16">
      <c r="A42" s="20" t="s">
        <v>35</v>
      </c>
      <c r="B42" s="23" t="s">
        <v>12</v>
      </c>
      <c r="C42" s="27">
        <v>2063</v>
      </c>
      <c r="D42" s="107"/>
      <c r="E42" s="57">
        <f>(1-(C42/(AVERAGE(C42,C40,C41))))*100%</f>
        <v>0.32983216025988094</v>
      </c>
      <c r="F42" s="107"/>
      <c r="G42" s="107"/>
      <c r="H42" s="107"/>
      <c r="I42" s="20" t="s">
        <v>34</v>
      </c>
      <c r="J42" s="108"/>
    </row>
    <row r="45" spans="1:16">
      <c r="A45" s="100" t="s">
        <v>38</v>
      </c>
      <c r="B45" s="101"/>
      <c r="C45" s="101"/>
      <c r="D45" s="101"/>
      <c r="E45" s="101"/>
      <c r="F45" s="101"/>
      <c r="G45" s="101"/>
      <c r="H45" s="101"/>
      <c r="I45" s="101"/>
      <c r="J45" s="102"/>
      <c r="K45" s="34"/>
    </row>
    <row r="46" spans="1:16" ht="48">
      <c r="A46" s="21" t="s">
        <v>1</v>
      </c>
      <c r="B46" s="22" t="s">
        <v>2</v>
      </c>
      <c r="C46" s="22" t="s">
        <v>3</v>
      </c>
      <c r="D46" s="21" t="s">
        <v>4</v>
      </c>
      <c r="E46" s="21" t="s">
        <v>5</v>
      </c>
      <c r="F46" s="25" t="s">
        <v>39</v>
      </c>
      <c r="G46" s="21" t="s">
        <v>7</v>
      </c>
      <c r="H46" s="21" t="s">
        <v>8</v>
      </c>
      <c r="I46" s="21" t="s">
        <v>9</v>
      </c>
      <c r="J46" s="21" t="s">
        <v>10</v>
      </c>
      <c r="K46" s="21" t="s">
        <v>11</v>
      </c>
    </row>
    <row r="47" spans="1:16" ht="37.5" customHeight="1">
      <c r="A47" s="76" t="s">
        <v>12</v>
      </c>
      <c r="B47" s="77">
        <v>8122068</v>
      </c>
      <c r="C47" s="78">
        <v>2025</v>
      </c>
      <c r="D47" s="78" t="s">
        <v>13</v>
      </c>
      <c r="E47" s="79">
        <v>50</v>
      </c>
      <c r="F47" s="80"/>
      <c r="G47" s="78"/>
      <c r="H47" s="81">
        <v>155.72999999999999</v>
      </c>
      <c r="I47" s="78">
        <v>150.99</v>
      </c>
      <c r="J47" s="78">
        <f>(H47/I47)</f>
        <v>1.0313928074706933</v>
      </c>
      <c r="K47" s="82">
        <f>E47*J47</f>
        <v>51.569640373534668</v>
      </c>
    </row>
    <row r="49" spans="1:14" ht="15.75" thickBot="1"/>
    <row r="50" spans="1:14" ht="15.75" thickBot="1">
      <c r="B50" s="106" t="s">
        <v>38</v>
      </c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5"/>
    </row>
    <row r="51" spans="1:14" ht="70.5" customHeight="1" thickBot="1">
      <c r="B51" s="1" t="s">
        <v>15</v>
      </c>
      <c r="C51" s="3" t="s">
        <v>16</v>
      </c>
      <c r="D51" s="49" t="s">
        <v>39</v>
      </c>
      <c r="E51" s="3" t="s">
        <v>7</v>
      </c>
      <c r="F51" s="3" t="s">
        <v>18</v>
      </c>
      <c r="G51" s="3" t="s">
        <v>19</v>
      </c>
      <c r="H51" s="3" t="s">
        <v>20</v>
      </c>
      <c r="I51" s="1" t="s">
        <v>21</v>
      </c>
      <c r="J51" s="3" t="s">
        <v>23</v>
      </c>
      <c r="K51" s="1" t="s">
        <v>37</v>
      </c>
      <c r="L51" s="9" t="s">
        <v>24</v>
      </c>
      <c r="M51" s="3" t="s">
        <v>25</v>
      </c>
      <c r="N51" s="12" t="s">
        <v>27</v>
      </c>
    </row>
    <row r="52" spans="1:14" ht="15.75" thickBot="1">
      <c r="A52" s="7" t="s">
        <v>28</v>
      </c>
      <c r="B52" s="55" t="s">
        <v>29</v>
      </c>
      <c r="C52" s="56">
        <v>300</v>
      </c>
      <c r="D52" s="115">
        <v>2000</v>
      </c>
      <c r="E52" s="127" t="s">
        <v>40</v>
      </c>
      <c r="F52" s="5">
        <f>C52*D52</f>
        <v>600000</v>
      </c>
      <c r="G52" s="122">
        <f>AVERAGE(C53,C54,C52)</f>
        <v>229</v>
      </c>
      <c r="H52" s="6">
        <f>(1-(C52/(AVERAGE(C52,C53,C54))))*100%</f>
        <v>-0.31004366812227069</v>
      </c>
      <c r="I52" s="122">
        <f>STDEV(C53,C54,C52)</f>
        <v>154.28220895488889</v>
      </c>
      <c r="J52" s="109">
        <f>G52+I52</f>
        <v>383.28220895488892</v>
      </c>
      <c r="K52" s="109">
        <f>G52-I52</f>
        <v>74.717791045111113</v>
      </c>
      <c r="L52" s="10" t="s">
        <v>34</v>
      </c>
      <c r="M52" s="109">
        <f>+ROUND(AVERAGE(F52,F53),0)</f>
        <v>635000</v>
      </c>
      <c r="N52" s="111">
        <f>M52/2000</f>
        <v>317.5</v>
      </c>
    </row>
    <row r="53" spans="1:14" ht="42" customHeight="1" thickBot="1">
      <c r="A53" s="7" t="s">
        <v>32</v>
      </c>
      <c r="B53" s="55" t="s">
        <v>33</v>
      </c>
      <c r="C53" s="56">
        <v>335</v>
      </c>
      <c r="D53" s="115"/>
      <c r="E53" s="127"/>
      <c r="F53" s="5">
        <f>C53*D52</f>
        <v>670000</v>
      </c>
      <c r="G53" s="109"/>
      <c r="H53" s="6">
        <f>(1-(C53/(AVERAGE(C53,C54,C52))))*100%</f>
        <v>-0.46288209606986896</v>
      </c>
      <c r="I53" s="109"/>
      <c r="J53" s="109"/>
      <c r="K53" s="109"/>
      <c r="L53" s="11" t="s">
        <v>34</v>
      </c>
      <c r="M53" s="109"/>
      <c r="N53" s="112"/>
    </row>
    <row r="54" spans="1:14" s="72" customFormat="1" ht="49.5" customHeight="1" thickBot="1">
      <c r="A54" s="83" t="s">
        <v>35</v>
      </c>
      <c r="B54" s="84" t="s">
        <v>12</v>
      </c>
      <c r="C54" s="85">
        <v>52</v>
      </c>
      <c r="D54" s="126"/>
      <c r="E54" s="128"/>
      <c r="F54" s="86">
        <f>C54*D52</f>
        <v>104000</v>
      </c>
      <c r="G54" s="110"/>
      <c r="H54" s="87">
        <f>(1-(C54/(AVERAGE(C54,C52,C53))))*100%</f>
        <v>0.77292576419213976</v>
      </c>
      <c r="I54" s="110"/>
      <c r="J54" s="110"/>
      <c r="K54" s="110"/>
      <c r="L54" s="88" t="s">
        <v>31</v>
      </c>
      <c r="M54" s="110"/>
      <c r="N54" s="113"/>
    </row>
    <row r="55" spans="1:14" ht="15.75" customHeight="1"/>
    <row r="56" spans="1:14" ht="15.75" thickBot="1"/>
    <row r="57" spans="1:14" ht="15.75" thickBot="1">
      <c r="B57" s="93"/>
      <c r="C57" s="103" t="s">
        <v>38</v>
      </c>
      <c r="D57" s="104"/>
      <c r="E57" s="104"/>
      <c r="F57" s="104"/>
      <c r="G57" s="104"/>
      <c r="H57" s="104"/>
      <c r="I57" s="104"/>
      <c r="J57" s="104"/>
      <c r="K57" s="105"/>
    </row>
    <row r="58" spans="1:14" ht="36">
      <c r="B58" s="30"/>
      <c r="C58" s="32" t="s">
        <v>15</v>
      </c>
      <c r="D58" s="32" t="s">
        <v>16</v>
      </c>
      <c r="E58" s="32" t="s">
        <v>19</v>
      </c>
      <c r="F58" s="32" t="s">
        <v>20</v>
      </c>
      <c r="G58" s="32" t="s">
        <v>21</v>
      </c>
      <c r="H58" s="32" t="s">
        <v>23</v>
      </c>
      <c r="I58" s="32" t="s">
        <v>37</v>
      </c>
      <c r="J58" s="32" t="s">
        <v>24</v>
      </c>
      <c r="K58" s="48" t="s">
        <v>25</v>
      </c>
    </row>
    <row r="59" spans="1:14" ht="36" customHeight="1">
      <c r="B59" s="29" t="s">
        <v>28</v>
      </c>
      <c r="C59" s="26" t="s">
        <v>29</v>
      </c>
      <c r="D59" s="27">
        <v>300</v>
      </c>
      <c r="E59" s="107">
        <f>AVERAGE(D60,D61,D59)</f>
        <v>229</v>
      </c>
      <c r="F59" s="28">
        <f>1-(D59/E59)*100%</f>
        <v>-0.31004366812227069</v>
      </c>
      <c r="G59" s="107">
        <f>STDEV(D59:D60,D61)</f>
        <v>154.28220895488889</v>
      </c>
      <c r="H59" s="107">
        <f>E59+G59</f>
        <v>383.28220895488892</v>
      </c>
      <c r="I59" s="123">
        <f>E59-G59</f>
        <v>74.717791045111113</v>
      </c>
      <c r="J59" s="24" t="s">
        <v>34</v>
      </c>
      <c r="K59" s="108">
        <f>+ROUND(AVERAGE(D59,D60),0)</f>
        <v>318</v>
      </c>
    </row>
    <row r="60" spans="1:14" ht="24">
      <c r="B60" s="29" t="s">
        <v>32</v>
      </c>
      <c r="C60" s="26" t="s">
        <v>33</v>
      </c>
      <c r="D60" s="27">
        <v>335</v>
      </c>
      <c r="E60" s="107"/>
      <c r="F60" s="28">
        <f>1-(D60/E59)*100%</f>
        <v>-0.46288209606986896</v>
      </c>
      <c r="G60" s="107"/>
      <c r="H60" s="107"/>
      <c r="I60" s="124"/>
      <c r="J60" s="33" t="s">
        <v>34</v>
      </c>
      <c r="K60" s="108"/>
    </row>
    <row r="61" spans="1:14" s="72" customFormat="1" ht="35.25" customHeight="1">
      <c r="B61" s="89" t="s">
        <v>35</v>
      </c>
      <c r="C61" s="90" t="s">
        <v>12</v>
      </c>
      <c r="D61" s="91">
        <v>52</v>
      </c>
      <c r="E61" s="107"/>
      <c r="F61" s="73">
        <f>1-(D61/E59)*100%</f>
        <v>0.77292576419213976</v>
      </c>
      <c r="G61" s="107"/>
      <c r="H61" s="107"/>
      <c r="I61" s="125"/>
      <c r="J61" s="92" t="s">
        <v>31</v>
      </c>
      <c r="K61" s="108"/>
    </row>
    <row r="64" spans="1:14" ht="15.75" thickBot="1"/>
    <row r="65" spans="1:5" ht="39" thickBot="1">
      <c r="A65" s="58" t="s">
        <v>41</v>
      </c>
      <c r="B65" s="59" t="s">
        <v>42</v>
      </c>
      <c r="C65" s="59" t="s">
        <v>43</v>
      </c>
    </row>
    <row r="66" spans="1:5" ht="15.75" thickBot="1">
      <c r="A66" s="14" t="s">
        <v>44</v>
      </c>
      <c r="B66" s="15">
        <v>2543</v>
      </c>
      <c r="C66" s="15">
        <v>318</v>
      </c>
    </row>
    <row r="67" spans="1:5" ht="15.75" thickBot="1">
      <c r="A67" s="14" t="s">
        <v>45</v>
      </c>
      <c r="B67" s="60">
        <v>356</v>
      </c>
      <c r="C67" s="60">
        <v>2000</v>
      </c>
    </row>
    <row r="68" spans="1:5" ht="15.75" thickBot="1">
      <c r="A68" s="14" t="s">
        <v>46</v>
      </c>
      <c r="B68" s="17">
        <f>+B67*B66</f>
        <v>905308</v>
      </c>
      <c r="C68" s="17">
        <f>+C67*C66</f>
        <v>636000</v>
      </c>
    </row>
    <row r="69" spans="1:5" ht="39" thickBot="1">
      <c r="A69" s="14" t="s">
        <v>7</v>
      </c>
      <c r="B69" s="16" t="s">
        <v>30</v>
      </c>
      <c r="C69" s="16" t="s">
        <v>47</v>
      </c>
    </row>
    <row r="70" spans="1:5">
      <c r="A70" s="18" t="s">
        <v>48</v>
      </c>
      <c r="B70" s="61">
        <f>B68*7</f>
        <v>6337156</v>
      </c>
      <c r="C70" s="61">
        <f>C68</f>
        <v>636000</v>
      </c>
    </row>
    <row r="71" spans="1:5" ht="68.25" customHeight="1">
      <c r="A71" s="19" t="s">
        <v>49</v>
      </c>
      <c r="B71" s="96">
        <f>B70+C70</f>
        <v>6973156</v>
      </c>
      <c r="C71" s="96"/>
    </row>
    <row r="72" spans="1:5" ht="51.75" customHeight="1" thickBot="1"/>
    <row r="73" spans="1:5" ht="15.75" thickBot="1">
      <c r="A73" s="62" t="s">
        <v>50</v>
      </c>
      <c r="B73" s="63"/>
      <c r="C73" s="63"/>
      <c r="D73" s="63"/>
      <c r="E73" s="64"/>
    </row>
    <row r="74" spans="1:5" ht="40.5" customHeight="1" thickBot="1">
      <c r="A74" s="94" t="s">
        <v>51</v>
      </c>
      <c r="B74" s="95"/>
      <c r="C74" s="116" t="s">
        <v>30</v>
      </c>
      <c r="D74" s="117"/>
      <c r="E74" s="118"/>
    </row>
    <row r="75" spans="1:5" ht="15.75" thickBot="1">
      <c r="A75" s="94" t="s">
        <v>52</v>
      </c>
      <c r="B75" s="95"/>
      <c r="C75" s="119">
        <f>+B71</f>
        <v>6973156</v>
      </c>
      <c r="D75" s="120"/>
      <c r="E75" s="121"/>
    </row>
    <row r="76" spans="1:5">
      <c r="D76" s="54"/>
      <c r="E76" s="54"/>
    </row>
  </sheetData>
  <mergeCells count="38">
    <mergeCell ref="C74:E74"/>
    <mergeCell ref="C75:E75"/>
    <mergeCell ref="I52:I54"/>
    <mergeCell ref="J52:J54"/>
    <mergeCell ref="K59:K61"/>
    <mergeCell ref="E59:E61"/>
    <mergeCell ref="G59:G61"/>
    <mergeCell ref="H59:H61"/>
    <mergeCell ref="I59:I61"/>
    <mergeCell ref="D52:D54"/>
    <mergeCell ref="E52:E54"/>
    <mergeCell ref="G52:G54"/>
    <mergeCell ref="A25:K25"/>
    <mergeCell ref="L32:L34"/>
    <mergeCell ref="P32:P34"/>
    <mergeCell ref="N32:N34"/>
    <mergeCell ref="O32:O34"/>
    <mergeCell ref="D32:D34"/>
    <mergeCell ref="E32:E34"/>
    <mergeCell ref="H32:H34"/>
    <mergeCell ref="J32:J34"/>
    <mergeCell ref="K32:K34"/>
    <mergeCell ref="A75:B75"/>
    <mergeCell ref="B71:C71"/>
    <mergeCell ref="A74:B74"/>
    <mergeCell ref="B30:P30"/>
    <mergeCell ref="A45:J45"/>
    <mergeCell ref="A38:J38"/>
    <mergeCell ref="C57:K57"/>
    <mergeCell ref="B50:N50"/>
    <mergeCell ref="D40:D42"/>
    <mergeCell ref="F40:F42"/>
    <mergeCell ref="G40:G42"/>
    <mergeCell ref="H40:H42"/>
    <mergeCell ref="J40:J42"/>
    <mergeCell ref="K52:K54"/>
    <mergeCell ref="M52:M54"/>
    <mergeCell ref="N52:N54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bc6087-baa3-427d-a9c0-02e9f166c831" xsi:nil="true"/>
    <lcf76f155ced4ddcb4097134ff3c332f xmlns="24f1fbff-facd-4dff-ad26-d6512eda2950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0D8795E9652764F8AFFE024CFD8CD1B" ma:contentTypeVersion="12" ma:contentTypeDescription="Crear nuevo documento." ma:contentTypeScope="" ma:versionID="4bce5b236107ff926e18f40c25b82162">
  <xsd:schema xmlns:xsd="http://www.w3.org/2001/XMLSchema" xmlns:xs="http://www.w3.org/2001/XMLSchema" xmlns:p="http://schemas.microsoft.com/office/2006/metadata/properties" xmlns:ns2="24f1fbff-facd-4dff-ad26-d6512eda2950" xmlns:ns3="c1bc6087-baa3-427d-a9c0-02e9f166c831" targetNamespace="http://schemas.microsoft.com/office/2006/metadata/properties" ma:root="true" ma:fieldsID="ad33f288670e4222731bc0fb45f11b9f" ns2:_="" ns3:_="">
    <xsd:import namespace="24f1fbff-facd-4dff-ad26-d6512eda2950"/>
    <xsd:import namespace="c1bc6087-baa3-427d-a9c0-02e9f166c83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f1fbff-facd-4dff-ad26-d6512eda295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00797eea-8358-47d8-b969-3b387de3c5f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bc6087-baa3-427d-a9c0-02e9f166c831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b4a7ac9f-51eb-45f3-a35c-ded31a7b0fb9}" ma:internalName="TaxCatchAll" ma:showField="CatchAllData" ma:web="c1bc6087-baa3-427d-a9c0-02e9f166c83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7C6395-AE99-44D4-B7A8-A5F700774256}"/>
</file>

<file path=customXml/itemProps2.xml><?xml version="1.0" encoding="utf-8"?>
<ds:datastoreItem xmlns:ds="http://schemas.openxmlformats.org/officeDocument/2006/customXml" ds:itemID="{77B11109-461C-459E-B8C6-2ACFAF08FB66}"/>
</file>

<file path=customXml/itemProps3.xml><?xml version="1.0" encoding="utf-8"?>
<ds:datastoreItem xmlns:ds="http://schemas.openxmlformats.org/officeDocument/2006/customXml" ds:itemID="{C9BE7F2B-C7B7-42CA-B85D-547392E3A0D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Campo Rodriguez, Linda Rosa</dc:creator>
  <cp:keywords/>
  <dc:description/>
  <cp:lastModifiedBy>Nilson Jairsihno, Mariño Mariño</cp:lastModifiedBy>
  <cp:revision/>
  <dcterms:created xsi:type="dcterms:W3CDTF">2026-03-17T19:08:16Z</dcterms:created>
  <dcterms:modified xsi:type="dcterms:W3CDTF">2026-05-19T17:02:18Z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0x01010000D8795E9652764F8AFFE024CFD8CD1B</vt:lpwstr>
  </property>
  <property fmtid="{D5CDD505-2E9C-101B-9397-08002B2CF9AE}" pid="3" name="MediaServiceImageTags">
    <vt:lpwstr/>
  </property>
</Properties>
</file>