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threadedComments/threadedComment1.xml" ContentType="application/vnd.ms-excel.threadedcomments+xml"/>
  <Override PartName="/xl/persons/person.xml" ContentType="application/vnd.ms-excel.person+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628"/>
  <workbookPr defaultThemeVersion="166925"/>
  <mc:AlternateContent xmlns:mc="http://schemas.openxmlformats.org/markup-compatibility/2006">
    <mc:Choice Requires="x15">
      <x15ac:absPath xmlns:x15ac="http://schemas.microsoft.com/office/spreadsheetml/2010/11/ac" url="C:\Users\mauricio.novoa\Desktop\MAURICIO.NOVOA\Desktop\copia\Escritorio\CONTRATOS 2025\CONTRATO CARGA 3778-2025\PAGOS\PAGO 7 ABRIL 2026\"/>
    </mc:Choice>
  </mc:AlternateContent>
  <xr:revisionPtr revIDLastSave="0" documentId="8_{4C6F7CE9-0F37-4248-89F7-47B35DEC9124}" xr6:coauthVersionLast="47" xr6:coauthVersionMax="47" xr10:uidLastSave="{00000000-0000-0000-0000-000000000000}"/>
  <bookViews>
    <workbookView xWindow="-120" yWindow="-120" windowWidth="29040" windowHeight="15720" activeTab="5" xr2:uid="{DC2EDF17-7DAE-DC48-994A-A8DF45F2B3D0}"/>
  </bookViews>
  <sheets>
    <sheet name="02 DE ABRIL" sheetId="156" r:id="rId1"/>
    <sheet name="05 DE ABRIL" sheetId="157" r:id="rId2"/>
    <sheet name="12 DE ABRIL" sheetId="158" r:id="rId3"/>
    <sheet name="19 DE ABRIL" sheetId="159" r:id="rId4"/>
    <sheet name="26 DE ABRIL" sheetId="160" r:id="rId5"/>
    <sheet name="INFORME ABRIL" sheetId="8" r:id="rId6"/>
    <sheet name="PLANTILLA " sheetId="10" state="hidden" r:id="rId7"/>
    <sheet name="HUGO " sheetId="117" state="hidden" r:id="rId8"/>
    <sheet name="SALDOS POR PROYECTO" sheetId="9" r:id="rId9"/>
  </sheets>
  <externalReferences>
    <externalReference r:id="rId10"/>
    <externalReference r:id="rId11"/>
    <externalReference r:id="rId12"/>
    <externalReference r:id="rId13"/>
    <externalReference r:id="rId14"/>
    <externalReference r:id="rId15"/>
    <externalReference r:id="rId16"/>
    <externalReference r:id="rId17"/>
  </externalReferences>
  <definedNames>
    <definedName name="_xlnm._FilterDatabase" localSheetId="5" hidden="1">'INFORME ABRIL'!$G$82:$G$219</definedName>
    <definedName name="_xlnm.Print_Area" localSheetId="0">'02 DE ABRIL'!$A$1:$Y$91</definedName>
    <definedName name="_xlnm.Print_Area" localSheetId="1">'05 DE ABRIL'!$A$1:$Y$91</definedName>
    <definedName name="_xlnm.Print_Area" localSheetId="2">'12 DE ABRIL'!$A$1:$Y$91</definedName>
    <definedName name="_xlnm.Print_Area" localSheetId="3">'19 DE ABRIL'!$A$1:$Y$94</definedName>
    <definedName name="_xlnm.Print_Area" localSheetId="4">'26 DE ABRIL'!$A$1:$Y$94</definedName>
    <definedName name="_xlnm.Print_Area" localSheetId="5">'INFORME ABRIL'!$A$1:$O$225</definedName>
    <definedName name="_xlnm.Print_Area" localSheetId="6">'PLANTILLA '!$A$1:$Y$91</definedName>
    <definedName name="d">[1]DATOS!$H$4:$H$12</definedName>
    <definedName name="dep">[1]DATOS!$D$3:$D$6</definedName>
    <definedName name="Deportes1" localSheetId="5">[2]DATOS!$H$4:$H$12</definedName>
    <definedName name="Deportes1">[3]DATOS!$H$4:$H$12</definedName>
    <definedName name="Deportes2" localSheetId="5">[2]DATOS!$I$4:$I$11</definedName>
    <definedName name="Deportes2">[3]DATOS!$I$4:$I$11</definedName>
    <definedName name="Deportes3" localSheetId="5">[2]DATOS!$K$4:$K$8</definedName>
    <definedName name="Deportes3">[3]DATOS!$K$4:$K$8</definedName>
    <definedName name="FF">[4]DATOS!$K$4:$K$8</definedName>
    <definedName name="INCLUIYENTE">[5]DATOS!$H$4:$H$12</definedName>
    <definedName name="INCLUYENTE">[5]DATOS!$J$4:$J$12</definedName>
    <definedName name="JUVENTUD">[6]DATOS!$J$4:$J$12</definedName>
    <definedName name="OTRPO">[7]DATOS!$D$3:$D$6</definedName>
    <definedName name="Proyecto" localSheetId="5">[2]DATOS!$D$3:$D$6</definedName>
    <definedName name="Proyecto">[3]DATOS!$D$3:$D$6</definedName>
    <definedName name="Recreacion" localSheetId="5">[2]DATOS!$J$4:$J$12</definedName>
    <definedName name="Recreacion">[3]DATOS!$J$4:$J$12</definedName>
    <definedName name="TEC">[8]DATOS!$I$4:$I$11</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218" i="8" l="1"/>
  <c r="D63" i="9"/>
  <c r="C59" i="9"/>
  <c r="C60" i="9"/>
  <c r="K124" i="8"/>
  <c r="N79" i="8"/>
  <c r="M79" i="8"/>
  <c r="L79" i="8"/>
  <c r="K93" i="8"/>
  <c r="H44" i="8"/>
  <c r="D44" i="8"/>
  <c r="C44" i="8"/>
  <c r="H43" i="8"/>
  <c r="D43" i="8"/>
  <c r="C43" i="8"/>
  <c r="H42" i="8"/>
  <c r="D42" i="8"/>
  <c r="C42" i="8"/>
  <c r="H35" i="8"/>
  <c r="D35" i="8"/>
  <c r="C35" i="8"/>
  <c r="H34" i="8"/>
  <c r="D34" i="8"/>
  <c r="C34" i="8"/>
  <c r="H33" i="8"/>
  <c r="D33" i="8"/>
  <c r="C16" i="159"/>
  <c r="C33" i="8"/>
  <c r="N225" i="160"/>
  <c r="N224" i="160"/>
  <c r="N223" i="160"/>
  <c r="N222" i="160"/>
  <c r="N221" i="160"/>
  <c r="N220" i="160"/>
  <c r="N219" i="160"/>
  <c r="N218" i="160"/>
  <c r="N217" i="160"/>
  <c r="N216" i="160"/>
  <c r="N215" i="160"/>
  <c r="N214" i="160"/>
  <c r="N213" i="160"/>
  <c r="N212" i="160"/>
  <c r="N211" i="160"/>
  <c r="N210" i="160"/>
  <c r="N209" i="160"/>
  <c r="N208" i="160"/>
  <c r="N207" i="160"/>
  <c r="N206" i="160"/>
  <c r="N205" i="160"/>
  <c r="N204" i="160"/>
  <c r="N203" i="160"/>
  <c r="N202" i="160"/>
  <c r="N201" i="160"/>
  <c r="N200" i="160"/>
  <c r="N199" i="160"/>
  <c r="N198" i="160"/>
  <c r="N197" i="160"/>
  <c r="N196" i="160"/>
  <c r="N195" i="160"/>
  <c r="N194" i="160"/>
  <c r="N193" i="160"/>
  <c r="N192" i="160"/>
  <c r="N191" i="160"/>
  <c r="N190" i="160"/>
  <c r="N189" i="160"/>
  <c r="N188" i="160"/>
  <c r="N187" i="160"/>
  <c r="N186" i="160"/>
  <c r="N185" i="160"/>
  <c r="N184" i="160"/>
  <c r="N183" i="160"/>
  <c r="N182" i="160"/>
  <c r="N181" i="160"/>
  <c r="N180" i="160"/>
  <c r="N179" i="160"/>
  <c r="N178" i="160"/>
  <c r="N177" i="160"/>
  <c r="N176" i="160"/>
  <c r="N175" i="160"/>
  <c r="N174" i="160"/>
  <c r="N173" i="160"/>
  <c r="N172" i="160"/>
  <c r="N171" i="160"/>
  <c r="N170" i="160"/>
  <c r="N169" i="160"/>
  <c r="N168" i="160"/>
  <c r="N167" i="160"/>
  <c r="N166" i="160"/>
  <c r="N165" i="160"/>
  <c r="N164" i="160"/>
  <c r="N163" i="160"/>
  <c r="N162" i="160"/>
  <c r="N161" i="160"/>
  <c r="N160" i="160"/>
  <c r="N159" i="160"/>
  <c r="N158" i="160"/>
  <c r="N157" i="160"/>
  <c r="N156" i="160"/>
  <c r="N155" i="160"/>
  <c r="N154" i="160"/>
  <c r="N153" i="160"/>
  <c r="N152" i="160"/>
  <c r="N151" i="160"/>
  <c r="N150" i="160"/>
  <c r="N149" i="160"/>
  <c r="N148" i="160"/>
  <c r="N147" i="160"/>
  <c r="N146" i="160"/>
  <c r="N145" i="160"/>
  <c r="N144" i="160"/>
  <c r="N143" i="160"/>
  <c r="N142" i="160"/>
  <c r="D70" i="160"/>
  <c r="C68" i="160"/>
  <c r="C70" i="160" s="1"/>
  <c r="G67" i="160"/>
  <c r="G66" i="160"/>
  <c r="E66" i="160"/>
  <c r="B66" i="160"/>
  <c r="G65" i="160"/>
  <c r="E65" i="160"/>
  <c r="B65" i="160"/>
  <c r="G64" i="160"/>
  <c r="E64" i="160"/>
  <c r="B64" i="160"/>
  <c r="G63" i="160"/>
  <c r="E63" i="160"/>
  <c r="B63" i="160"/>
  <c r="G62" i="160"/>
  <c r="E62" i="160"/>
  <c r="B62" i="160"/>
  <c r="G61" i="160"/>
  <c r="E61" i="160"/>
  <c r="B61" i="160"/>
  <c r="G60" i="160"/>
  <c r="E60" i="160"/>
  <c r="B60" i="160"/>
  <c r="G59" i="160"/>
  <c r="E59" i="160"/>
  <c r="B59" i="160"/>
  <c r="G58" i="160"/>
  <c r="E58" i="160"/>
  <c r="B58" i="160"/>
  <c r="G57" i="160"/>
  <c r="E57" i="160"/>
  <c r="B57" i="160"/>
  <c r="G54" i="160"/>
  <c r="B54" i="160"/>
  <c r="G53" i="160"/>
  <c r="B53" i="160"/>
  <c r="G52" i="160"/>
  <c r="B52" i="160"/>
  <c r="G51" i="160"/>
  <c r="E51" i="160"/>
  <c r="B51" i="160"/>
  <c r="G50" i="160"/>
  <c r="E50" i="160"/>
  <c r="B50" i="160"/>
  <c r="G49" i="160"/>
  <c r="E49" i="160"/>
  <c r="B49" i="160"/>
  <c r="E43" i="160"/>
  <c r="C43" i="160"/>
  <c r="G42" i="160"/>
  <c r="G41" i="160"/>
  <c r="E41" i="160"/>
  <c r="B41" i="160"/>
  <c r="G40" i="160"/>
  <c r="E40" i="160"/>
  <c r="B40" i="160"/>
  <c r="G39" i="160"/>
  <c r="E39" i="160"/>
  <c r="B39" i="160"/>
  <c r="G38" i="160"/>
  <c r="E38" i="160"/>
  <c r="B38" i="160"/>
  <c r="G37" i="160"/>
  <c r="E37" i="160"/>
  <c r="B37" i="160"/>
  <c r="U36" i="160"/>
  <c r="T36" i="160"/>
  <c r="G34" i="160"/>
  <c r="Y33" i="160"/>
  <c r="W33" i="160"/>
  <c r="G33" i="160"/>
  <c r="Y32" i="160"/>
  <c r="W32" i="160"/>
  <c r="G32" i="160"/>
  <c r="E32" i="160"/>
  <c r="B32" i="160"/>
  <c r="Y31" i="160"/>
  <c r="W31" i="160"/>
  <c r="G31" i="160"/>
  <c r="E31" i="160"/>
  <c r="B31" i="160"/>
  <c r="Y30" i="160"/>
  <c r="W30" i="160"/>
  <c r="G30" i="160"/>
  <c r="E30" i="160"/>
  <c r="B30" i="160"/>
  <c r="Y29" i="160"/>
  <c r="W29" i="160"/>
  <c r="G29" i="160"/>
  <c r="G43" i="160" s="1"/>
  <c r="E29" i="160"/>
  <c r="B29" i="160"/>
  <c r="B43" i="160" s="1"/>
  <c r="Y28" i="160"/>
  <c r="W28" i="160"/>
  <c r="L28" i="160"/>
  <c r="Y27" i="160"/>
  <c r="W27" i="160"/>
  <c r="Y26" i="160"/>
  <c r="W26" i="160"/>
  <c r="Y25" i="160"/>
  <c r="W25" i="160"/>
  <c r="P25" i="160"/>
  <c r="C25" i="160"/>
  <c r="Y24" i="160"/>
  <c r="W24" i="160"/>
  <c r="P24" i="160"/>
  <c r="G24" i="160"/>
  <c r="Y23" i="160"/>
  <c r="W23" i="160"/>
  <c r="P23" i="160"/>
  <c r="N23" i="160"/>
  <c r="K23" i="160"/>
  <c r="G23" i="160"/>
  <c r="P22" i="160"/>
  <c r="N22" i="160"/>
  <c r="K22" i="160"/>
  <c r="G22" i="160"/>
  <c r="P21" i="160"/>
  <c r="N21" i="160"/>
  <c r="K21" i="160"/>
  <c r="G21" i="160"/>
  <c r="G20" i="160"/>
  <c r="Y19" i="160"/>
  <c r="W19" i="160"/>
  <c r="G19" i="160"/>
  <c r="E19" i="160"/>
  <c r="B19" i="160"/>
  <c r="Y18" i="160"/>
  <c r="W18" i="160"/>
  <c r="C16" i="160"/>
  <c r="G14" i="160"/>
  <c r="E14" i="160"/>
  <c r="B14" i="160"/>
  <c r="G13" i="160"/>
  <c r="E13" i="160"/>
  <c r="B13" i="160"/>
  <c r="G12" i="160"/>
  <c r="E12" i="160"/>
  <c r="B12" i="160"/>
  <c r="G11" i="160"/>
  <c r="E11" i="160"/>
  <c r="B11" i="160"/>
  <c r="G10" i="160"/>
  <c r="E10" i="160"/>
  <c r="B10" i="160"/>
  <c r="P9" i="160"/>
  <c r="N9" i="160"/>
  <c r="K9" i="160"/>
  <c r="G9" i="160"/>
  <c r="E9" i="160"/>
  <c r="B9" i="160"/>
  <c r="P8" i="160"/>
  <c r="N8" i="160"/>
  <c r="K8" i="160"/>
  <c r="G8" i="160"/>
  <c r="E8" i="160"/>
  <c r="B8" i="160"/>
  <c r="P7" i="160"/>
  <c r="N7" i="160"/>
  <c r="K7" i="160"/>
  <c r="G7" i="160"/>
  <c r="E7" i="160"/>
  <c r="B7" i="160"/>
  <c r="Y6" i="160"/>
  <c r="W6" i="160"/>
  <c r="P6" i="160"/>
  <c r="N6" i="160"/>
  <c r="K6" i="160"/>
  <c r="G6" i="160"/>
  <c r="E6" i="160"/>
  <c r="B6" i="160"/>
  <c r="Y5" i="160"/>
  <c r="W5" i="160"/>
  <c r="P5" i="160"/>
  <c r="N5" i="160"/>
  <c r="K5" i="160"/>
  <c r="G5" i="160"/>
  <c r="E5" i="160"/>
  <c r="B5" i="160"/>
  <c r="Y4" i="160"/>
  <c r="Y36" i="160" s="1"/>
  <c r="W4" i="160"/>
  <c r="P4" i="160"/>
  <c r="N4" i="160"/>
  <c r="K4" i="160"/>
  <c r="G4" i="160"/>
  <c r="E4" i="160"/>
  <c r="B4" i="160"/>
  <c r="N225" i="159"/>
  <c r="N224" i="159"/>
  <c r="N223" i="159"/>
  <c r="N222" i="159"/>
  <c r="N221" i="159"/>
  <c r="N220" i="159"/>
  <c r="N219" i="159"/>
  <c r="N218" i="159"/>
  <c r="N217" i="159"/>
  <c r="N216" i="159"/>
  <c r="N215" i="159"/>
  <c r="N214" i="159"/>
  <c r="N213" i="159"/>
  <c r="N212" i="159"/>
  <c r="N211" i="159"/>
  <c r="N210" i="159"/>
  <c r="N209" i="159"/>
  <c r="N208" i="159"/>
  <c r="N207" i="159"/>
  <c r="N206" i="159"/>
  <c r="N205" i="159"/>
  <c r="N204" i="159"/>
  <c r="N203" i="159"/>
  <c r="N202" i="159"/>
  <c r="N201" i="159"/>
  <c r="N200" i="159"/>
  <c r="N199" i="159"/>
  <c r="N198" i="159"/>
  <c r="N197" i="159"/>
  <c r="N196" i="159"/>
  <c r="N195" i="159"/>
  <c r="N194" i="159"/>
  <c r="N193" i="159"/>
  <c r="N192" i="159"/>
  <c r="N191" i="159"/>
  <c r="N190" i="159"/>
  <c r="N189" i="159"/>
  <c r="N188" i="159"/>
  <c r="N187" i="159"/>
  <c r="N186" i="159"/>
  <c r="N185" i="159"/>
  <c r="N184" i="159"/>
  <c r="N183" i="159"/>
  <c r="N182" i="159"/>
  <c r="N181" i="159"/>
  <c r="N180" i="159"/>
  <c r="N179" i="159"/>
  <c r="N178" i="159"/>
  <c r="N177" i="159"/>
  <c r="N176" i="159"/>
  <c r="N175" i="159"/>
  <c r="N174" i="159"/>
  <c r="N173" i="159"/>
  <c r="N172" i="159"/>
  <c r="N171" i="159"/>
  <c r="N170" i="159"/>
  <c r="N169" i="159"/>
  <c r="N168" i="159"/>
  <c r="N167" i="159"/>
  <c r="N166" i="159"/>
  <c r="N165" i="159"/>
  <c r="N164" i="159"/>
  <c r="N163" i="159"/>
  <c r="N162" i="159"/>
  <c r="N161" i="159"/>
  <c r="N160" i="159"/>
  <c r="N159" i="159"/>
  <c r="N158" i="159"/>
  <c r="N157" i="159"/>
  <c r="N156" i="159"/>
  <c r="N155" i="159"/>
  <c r="N154" i="159"/>
  <c r="N153" i="159"/>
  <c r="N152" i="159"/>
  <c r="N151" i="159"/>
  <c r="N150" i="159"/>
  <c r="N149" i="159"/>
  <c r="N148" i="159"/>
  <c r="N147" i="159"/>
  <c r="N146" i="159"/>
  <c r="N145" i="159"/>
  <c r="N144" i="159"/>
  <c r="N143" i="159"/>
  <c r="N142" i="159"/>
  <c r="D70" i="159"/>
  <c r="C68" i="159"/>
  <c r="C70" i="159" s="1"/>
  <c r="G67" i="159"/>
  <c r="G66" i="159"/>
  <c r="E66" i="159"/>
  <c r="B66" i="159"/>
  <c r="G65" i="159"/>
  <c r="E65" i="159"/>
  <c r="B65" i="159"/>
  <c r="G64" i="159"/>
  <c r="E64" i="159"/>
  <c r="B64" i="159"/>
  <c r="G63" i="159"/>
  <c r="E63" i="159"/>
  <c r="B63" i="159"/>
  <c r="G62" i="159"/>
  <c r="E62" i="159"/>
  <c r="B62" i="159"/>
  <c r="G61" i="159"/>
  <c r="E61" i="159"/>
  <c r="B61" i="159"/>
  <c r="G60" i="159"/>
  <c r="E60" i="159"/>
  <c r="B60" i="159"/>
  <c r="G59" i="159"/>
  <c r="E59" i="159"/>
  <c r="B59" i="159"/>
  <c r="G58" i="159"/>
  <c r="E58" i="159"/>
  <c r="B58" i="159"/>
  <c r="G57" i="159"/>
  <c r="E57" i="159"/>
  <c r="B57" i="159"/>
  <c r="G54" i="159"/>
  <c r="B54" i="159"/>
  <c r="G53" i="159"/>
  <c r="B53" i="159"/>
  <c r="G52" i="159"/>
  <c r="B52" i="159"/>
  <c r="G51" i="159"/>
  <c r="E51" i="159"/>
  <c r="B51" i="159"/>
  <c r="G50" i="159"/>
  <c r="E50" i="159"/>
  <c r="B50" i="159"/>
  <c r="G49" i="159"/>
  <c r="E49" i="159"/>
  <c r="B49" i="159"/>
  <c r="E43" i="159"/>
  <c r="C43" i="159"/>
  <c r="G42" i="159"/>
  <c r="G41" i="159"/>
  <c r="E41" i="159"/>
  <c r="B41" i="159"/>
  <c r="G40" i="159"/>
  <c r="E40" i="159"/>
  <c r="B40" i="159"/>
  <c r="G39" i="159"/>
  <c r="E39" i="159"/>
  <c r="B39" i="159"/>
  <c r="G38" i="159"/>
  <c r="E38" i="159"/>
  <c r="B38" i="159"/>
  <c r="G37" i="159"/>
  <c r="E37" i="159"/>
  <c r="B37" i="159"/>
  <c r="U36" i="159"/>
  <c r="T36" i="159"/>
  <c r="G34" i="159"/>
  <c r="Y33" i="159"/>
  <c r="W33" i="159"/>
  <c r="G33" i="159"/>
  <c r="Y32" i="159"/>
  <c r="W32" i="159"/>
  <c r="G32" i="159"/>
  <c r="E32" i="159"/>
  <c r="B32" i="159"/>
  <c r="Y31" i="159"/>
  <c r="W31" i="159"/>
  <c r="G31" i="159"/>
  <c r="E31" i="159"/>
  <c r="B31" i="159"/>
  <c r="Y30" i="159"/>
  <c r="W30" i="159"/>
  <c r="G30" i="159"/>
  <c r="E30" i="159"/>
  <c r="B30" i="159"/>
  <c r="Y29" i="159"/>
  <c r="W29" i="159"/>
  <c r="G29" i="159"/>
  <c r="E29" i="159"/>
  <c r="B29" i="159"/>
  <c r="B43" i="159" s="1"/>
  <c r="Y28" i="159"/>
  <c r="W28" i="159"/>
  <c r="L28" i="159"/>
  <c r="Y27" i="159"/>
  <c r="W27" i="159"/>
  <c r="Y26" i="159"/>
  <c r="W26" i="159"/>
  <c r="Y25" i="159"/>
  <c r="W25" i="159"/>
  <c r="P25" i="159"/>
  <c r="C25" i="159"/>
  <c r="Y24" i="159"/>
  <c r="W24" i="159"/>
  <c r="P24" i="159"/>
  <c r="N24" i="159"/>
  <c r="K24" i="159"/>
  <c r="G24" i="159"/>
  <c r="Y23" i="159"/>
  <c r="W23" i="159"/>
  <c r="P23" i="159"/>
  <c r="N23" i="159"/>
  <c r="K23" i="159"/>
  <c r="G23" i="159"/>
  <c r="P22" i="159"/>
  <c r="N22" i="159"/>
  <c r="K22" i="159"/>
  <c r="G22" i="159"/>
  <c r="P21" i="159"/>
  <c r="N21" i="159"/>
  <c r="K21" i="159"/>
  <c r="G21" i="159"/>
  <c r="G20" i="159"/>
  <c r="Y19" i="159"/>
  <c r="W19" i="159"/>
  <c r="G19" i="159"/>
  <c r="E19" i="159"/>
  <c r="B19" i="159"/>
  <c r="Y18" i="159"/>
  <c r="W18" i="159"/>
  <c r="G14" i="159"/>
  <c r="E14" i="159"/>
  <c r="B14" i="159"/>
  <c r="G13" i="159"/>
  <c r="E13" i="159"/>
  <c r="B13" i="159"/>
  <c r="G12" i="159"/>
  <c r="E12" i="159"/>
  <c r="B12" i="159"/>
  <c r="B16" i="159" s="1"/>
  <c r="G11" i="159"/>
  <c r="E11" i="159"/>
  <c r="B11" i="159"/>
  <c r="G10" i="159"/>
  <c r="E10" i="159"/>
  <c r="B10" i="159"/>
  <c r="P9" i="159"/>
  <c r="N9" i="159"/>
  <c r="K9" i="159"/>
  <c r="G9" i="159"/>
  <c r="E9" i="159"/>
  <c r="B9" i="159"/>
  <c r="P8" i="159"/>
  <c r="N8" i="159"/>
  <c r="K8" i="159"/>
  <c r="G8" i="159"/>
  <c r="E8" i="159"/>
  <c r="B8" i="159"/>
  <c r="P7" i="159"/>
  <c r="N7" i="159"/>
  <c r="K7" i="159"/>
  <c r="G7" i="159"/>
  <c r="E7" i="159"/>
  <c r="B7" i="159"/>
  <c r="Y6" i="159"/>
  <c r="W6" i="159"/>
  <c r="P6" i="159"/>
  <c r="N6" i="159"/>
  <c r="K6" i="159"/>
  <c r="G6" i="159"/>
  <c r="E6" i="159"/>
  <c r="B6" i="159"/>
  <c r="Y5" i="159"/>
  <c r="W5" i="159"/>
  <c r="P5" i="159"/>
  <c r="N5" i="159"/>
  <c r="K5" i="159"/>
  <c r="G5" i="159"/>
  <c r="E5" i="159"/>
  <c r="B5" i="159"/>
  <c r="Y4" i="159"/>
  <c r="W4" i="159"/>
  <c r="P4" i="159"/>
  <c r="N4" i="159"/>
  <c r="K4" i="159"/>
  <c r="G4" i="159"/>
  <c r="E4" i="159"/>
  <c r="B4" i="159"/>
  <c r="K28" i="160" l="1"/>
  <c r="N73" i="160"/>
  <c r="P28" i="160"/>
  <c r="O73" i="160"/>
  <c r="B68" i="160"/>
  <c r="G16" i="160"/>
  <c r="G25" i="160" s="1"/>
  <c r="B16" i="160"/>
  <c r="B25" i="160" s="1"/>
  <c r="Y36" i="159"/>
  <c r="G16" i="159"/>
  <c r="G25" i="159" s="1"/>
  <c r="M73" i="159" s="1"/>
  <c r="P73" i="159" s="1"/>
  <c r="K28" i="159"/>
  <c r="P28" i="159"/>
  <c r="B68" i="159"/>
  <c r="G68" i="159"/>
  <c r="O73" i="159"/>
  <c r="G43" i="159"/>
  <c r="N73" i="159" s="1"/>
  <c r="B25" i="159"/>
  <c r="G70" i="159"/>
  <c r="M73" i="160"/>
  <c r="K72" i="160"/>
  <c r="B70" i="159"/>
  <c r="K71" i="159" s="1"/>
  <c r="K72" i="159"/>
  <c r="G68" i="160"/>
  <c r="P73" i="160" l="1"/>
  <c r="B70" i="160"/>
  <c r="K71" i="160" s="1"/>
  <c r="G70" i="160"/>
  <c r="K73" i="160" s="1"/>
  <c r="K73" i="159"/>
  <c r="H26" i="8"/>
  <c r="D26" i="8"/>
  <c r="C26" i="8"/>
  <c r="H25" i="8"/>
  <c r="D25" i="8"/>
  <c r="C25" i="8"/>
  <c r="H24" i="8"/>
  <c r="D24" i="8"/>
  <c r="C24" i="8"/>
  <c r="H17" i="8"/>
  <c r="D17" i="8"/>
  <c r="C17" i="8"/>
  <c r="H16" i="8"/>
  <c r="D16" i="8"/>
  <c r="C16" i="8"/>
  <c r="H15" i="8"/>
  <c r="D15" i="8"/>
  <c r="C15" i="8"/>
  <c r="H8" i="8"/>
  <c r="D8" i="8"/>
  <c r="C8" i="8"/>
  <c r="H7" i="8"/>
  <c r="D7" i="8"/>
  <c r="C7" i="8"/>
  <c r="H6" i="8"/>
  <c r="D6" i="8"/>
  <c r="C6" i="8"/>
  <c r="N222" i="158" l="1"/>
  <c r="N221" i="158"/>
  <c r="N220" i="158"/>
  <c r="N219" i="158"/>
  <c r="N218" i="158"/>
  <c r="N217" i="158"/>
  <c r="N216" i="158"/>
  <c r="N215" i="158"/>
  <c r="N214" i="158"/>
  <c r="N213" i="158"/>
  <c r="N212" i="158"/>
  <c r="N211" i="158"/>
  <c r="N210" i="158"/>
  <c r="N209" i="158"/>
  <c r="N208" i="158"/>
  <c r="N207" i="158"/>
  <c r="N206" i="158"/>
  <c r="N205" i="158"/>
  <c r="N204" i="158"/>
  <c r="N203" i="158"/>
  <c r="N202" i="158"/>
  <c r="N201" i="158"/>
  <c r="N200" i="158"/>
  <c r="N199" i="158"/>
  <c r="N198" i="158"/>
  <c r="N197" i="158"/>
  <c r="N196" i="158"/>
  <c r="N195" i="158"/>
  <c r="N194" i="158"/>
  <c r="N193" i="158"/>
  <c r="N192" i="158"/>
  <c r="N191" i="158"/>
  <c r="N190" i="158"/>
  <c r="N189" i="158"/>
  <c r="N188" i="158"/>
  <c r="N187" i="158"/>
  <c r="N186" i="158"/>
  <c r="N185" i="158"/>
  <c r="N184" i="158"/>
  <c r="N183" i="158"/>
  <c r="N182" i="158"/>
  <c r="N181" i="158"/>
  <c r="N180" i="158"/>
  <c r="N179" i="158"/>
  <c r="N178" i="158"/>
  <c r="N177" i="158"/>
  <c r="N176" i="158"/>
  <c r="N175" i="158"/>
  <c r="N174" i="158"/>
  <c r="N173" i="158"/>
  <c r="N172" i="158"/>
  <c r="N171" i="158"/>
  <c r="N170" i="158"/>
  <c r="N169" i="158"/>
  <c r="N168" i="158"/>
  <c r="N167" i="158"/>
  <c r="N166" i="158"/>
  <c r="N165" i="158"/>
  <c r="N164" i="158"/>
  <c r="N163" i="158"/>
  <c r="N162" i="158"/>
  <c r="N161" i="158"/>
  <c r="N160" i="158"/>
  <c r="N159" i="158"/>
  <c r="N158" i="158"/>
  <c r="N157" i="158"/>
  <c r="N156" i="158"/>
  <c r="N155" i="158"/>
  <c r="N154" i="158"/>
  <c r="N153" i="158"/>
  <c r="N152" i="158"/>
  <c r="N151" i="158"/>
  <c r="N150" i="158"/>
  <c r="N149" i="158"/>
  <c r="N148" i="158"/>
  <c r="N147" i="158"/>
  <c r="N146" i="158"/>
  <c r="N145" i="158"/>
  <c r="N144" i="158"/>
  <c r="N143" i="158"/>
  <c r="N142" i="158"/>
  <c r="N141" i="158"/>
  <c r="N140" i="158"/>
  <c r="N139" i="158"/>
  <c r="D67" i="158"/>
  <c r="C65" i="158"/>
  <c r="G64" i="158"/>
  <c r="G63" i="158"/>
  <c r="E63" i="158"/>
  <c r="B63" i="158"/>
  <c r="G62" i="158"/>
  <c r="E62" i="158"/>
  <c r="B62" i="158"/>
  <c r="G61" i="158"/>
  <c r="E61" i="158"/>
  <c r="B61" i="158"/>
  <c r="G60" i="158"/>
  <c r="E60" i="158"/>
  <c r="B60" i="158"/>
  <c r="G59" i="158"/>
  <c r="E59" i="158"/>
  <c r="B59" i="158"/>
  <c r="G58" i="158"/>
  <c r="E58" i="158"/>
  <c r="B58" i="158"/>
  <c r="G57" i="158"/>
  <c r="E57" i="158"/>
  <c r="B57" i="158"/>
  <c r="G56" i="158"/>
  <c r="E56" i="158"/>
  <c r="B56" i="158"/>
  <c r="G55" i="158"/>
  <c r="E55" i="158"/>
  <c r="B55" i="158"/>
  <c r="G54" i="158"/>
  <c r="E54" i="158"/>
  <c r="B54" i="158"/>
  <c r="B65" i="158" s="1"/>
  <c r="G51" i="158"/>
  <c r="B51" i="158"/>
  <c r="G50" i="158"/>
  <c r="B50" i="158"/>
  <c r="G49" i="158"/>
  <c r="B49" i="158"/>
  <c r="G48" i="158"/>
  <c r="B48" i="158"/>
  <c r="G47" i="158"/>
  <c r="E47" i="158"/>
  <c r="B47" i="158"/>
  <c r="G46" i="158"/>
  <c r="O70" i="158" s="1"/>
  <c r="E46" i="158"/>
  <c r="B46" i="158"/>
  <c r="E40" i="158"/>
  <c r="C40" i="158"/>
  <c r="C67" i="158" s="1"/>
  <c r="G39" i="158"/>
  <c r="G38" i="158"/>
  <c r="E38" i="158"/>
  <c r="B38" i="158"/>
  <c r="G37" i="158"/>
  <c r="E37" i="158"/>
  <c r="B37" i="158"/>
  <c r="G36" i="158"/>
  <c r="E36" i="158"/>
  <c r="B36" i="158"/>
  <c r="G35" i="158"/>
  <c r="E35" i="158"/>
  <c r="B35" i="158"/>
  <c r="G34" i="158"/>
  <c r="E34" i="158"/>
  <c r="B34" i="158"/>
  <c r="U33" i="158"/>
  <c r="T33" i="158"/>
  <c r="G31" i="158"/>
  <c r="Y30" i="158"/>
  <c r="W30" i="158"/>
  <c r="G30" i="158"/>
  <c r="Y29" i="158"/>
  <c r="W29" i="158"/>
  <c r="G29" i="158"/>
  <c r="E29" i="158"/>
  <c r="B29" i="158"/>
  <c r="Y28" i="158"/>
  <c r="W28" i="158"/>
  <c r="G28" i="158"/>
  <c r="E28" i="158"/>
  <c r="B28" i="158"/>
  <c r="Y27" i="158"/>
  <c r="W27" i="158"/>
  <c r="G27" i="158"/>
  <c r="E27" i="158"/>
  <c r="B27" i="158"/>
  <c r="Y26" i="158"/>
  <c r="W26" i="158"/>
  <c r="G26" i="158"/>
  <c r="E26" i="158"/>
  <c r="B26" i="158"/>
  <c r="B40" i="158" s="1"/>
  <c r="Y25" i="158"/>
  <c r="W25" i="158"/>
  <c r="L25" i="158"/>
  <c r="Y24" i="158"/>
  <c r="W24" i="158"/>
  <c r="N24" i="158"/>
  <c r="Y23" i="158"/>
  <c r="W23" i="158"/>
  <c r="N23" i="158"/>
  <c r="Y22" i="158"/>
  <c r="W22" i="158"/>
  <c r="P22" i="158"/>
  <c r="N22" i="158"/>
  <c r="C22" i="158"/>
  <c r="Y21" i="158"/>
  <c r="W21" i="158"/>
  <c r="P21" i="158"/>
  <c r="N21" i="158"/>
  <c r="K21" i="158"/>
  <c r="G21" i="158"/>
  <c r="Y20" i="158"/>
  <c r="W20" i="158"/>
  <c r="P20" i="158"/>
  <c r="N20" i="158"/>
  <c r="K20" i="158"/>
  <c r="G20" i="158"/>
  <c r="P19" i="158"/>
  <c r="N19" i="158"/>
  <c r="K19" i="158"/>
  <c r="G19" i="158"/>
  <c r="P18" i="158"/>
  <c r="N18" i="158"/>
  <c r="K18" i="158"/>
  <c r="G18" i="158"/>
  <c r="G17" i="158"/>
  <c r="Y16" i="158"/>
  <c r="W16" i="158"/>
  <c r="G16" i="158"/>
  <c r="E16" i="158"/>
  <c r="B16" i="158"/>
  <c r="B22" i="158" s="1"/>
  <c r="Y15" i="158"/>
  <c r="W15" i="158"/>
  <c r="C13" i="158"/>
  <c r="B13" i="158"/>
  <c r="G12" i="158"/>
  <c r="G11" i="158"/>
  <c r="E11" i="158"/>
  <c r="B11" i="158"/>
  <c r="G10" i="158"/>
  <c r="E10" i="158"/>
  <c r="B10" i="158"/>
  <c r="P9" i="158"/>
  <c r="N9" i="158"/>
  <c r="K9" i="158"/>
  <c r="G9" i="158"/>
  <c r="E9" i="158"/>
  <c r="B9" i="158"/>
  <c r="P8" i="158"/>
  <c r="N8" i="158"/>
  <c r="K8" i="158"/>
  <c r="G8" i="158"/>
  <c r="E8" i="158"/>
  <c r="B8" i="158"/>
  <c r="P7" i="158"/>
  <c r="N7" i="158"/>
  <c r="K7" i="158"/>
  <c r="G7" i="158"/>
  <c r="E7" i="158"/>
  <c r="B7" i="158"/>
  <c r="Y6" i="158"/>
  <c r="W6" i="158"/>
  <c r="P6" i="158"/>
  <c r="N6" i="158"/>
  <c r="K6" i="158"/>
  <c r="G6" i="158"/>
  <c r="E6" i="158"/>
  <c r="B6" i="158"/>
  <c r="Y5" i="158"/>
  <c r="W5" i="158"/>
  <c r="P5" i="158"/>
  <c r="N5" i="158"/>
  <c r="K5" i="158"/>
  <c r="G5" i="158"/>
  <c r="E5" i="158"/>
  <c r="B5" i="158"/>
  <c r="Y4" i="158"/>
  <c r="Y33" i="158" s="1"/>
  <c r="W4" i="158"/>
  <c r="P4" i="158"/>
  <c r="P25" i="158" s="1"/>
  <c r="N4" i="158"/>
  <c r="K4" i="158"/>
  <c r="K25" i="158" s="1"/>
  <c r="G4" i="158"/>
  <c r="G13" i="158" s="1"/>
  <c r="G22" i="158" s="1"/>
  <c r="E4" i="158"/>
  <c r="B4" i="158"/>
  <c r="G40" i="158" l="1"/>
  <c r="N70" i="158" s="1"/>
  <c r="B67" i="158"/>
  <c r="M70" i="158"/>
  <c r="P70" i="158" s="1"/>
  <c r="K69" i="158"/>
  <c r="K68" i="158"/>
  <c r="G65" i="158"/>
  <c r="G67" i="158" s="1"/>
  <c r="K70" i="158" s="1"/>
  <c r="N222" i="157" l="1"/>
  <c r="N221" i="157"/>
  <c r="N220" i="157"/>
  <c r="N219" i="157"/>
  <c r="N218" i="157"/>
  <c r="N217" i="157"/>
  <c r="N216" i="157"/>
  <c r="N215" i="157"/>
  <c r="N214" i="157"/>
  <c r="N213" i="157"/>
  <c r="N212" i="157"/>
  <c r="N211" i="157"/>
  <c r="N210" i="157"/>
  <c r="N209" i="157"/>
  <c r="N208" i="157"/>
  <c r="N207" i="157"/>
  <c r="N206" i="157"/>
  <c r="N205" i="157"/>
  <c r="N204" i="157"/>
  <c r="N203" i="157"/>
  <c r="N202" i="157"/>
  <c r="N201" i="157"/>
  <c r="N200" i="157"/>
  <c r="N199" i="157"/>
  <c r="N198" i="157"/>
  <c r="N197" i="157"/>
  <c r="N196" i="157"/>
  <c r="N195" i="157"/>
  <c r="N194" i="157"/>
  <c r="N193" i="157"/>
  <c r="N192" i="157"/>
  <c r="N191" i="157"/>
  <c r="N190" i="157"/>
  <c r="N189" i="157"/>
  <c r="N188" i="157"/>
  <c r="N187" i="157"/>
  <c r="N186" i="157"/>
  <c r="N185" i="157"/>
  <c r="N184" i="157"/>
  <c r="N183" i="157"/>
  <c r="N182" i="157"/>
  <c r="N181" i="157"/>
  <c r="N180" i="157"/>
  <c r="N179" i="157"/>
  <c r="N178" i="157"/>
  <c r="N177" i="157"/>
  <c r="N176" i="157"/>
  <c r="N175" i="157"/>
  <c r="N174" i="157"/>
  <c r="N173" i="157"/>
  <c r="N172" i="157"/>
  <c r="N171" i="157"/>
  <c r="N170" i="157"/>
  <c r="N169" i="157"/>
  <c r="N168" i="157"/>
  <c r="N167" i="157"/>
  <c r="N166" i="157"/>
  <c r="N165" i="157"/>
  <c r="N164" i="157"/>
  <c r="N163" i="157"/>
  <c r="N162" i="157"/>
  <c r="N161" i="157"/>
  <c r="N160" i="157"/>
  <c r="N159" i="157"/>
  <c r="N158" i="157"/>
  <c r="N157" i="157"/>
  <c r="N156" i="157"/>
  <c r="N155" i="157"/>
  <c r="N154" i="157"/>
  <c r="N153" i="157"/>
  <c r="N152" i="157"/>
  <c r="N151" i="157"/>
  <c r="N150" i="157"/>
  <c r="N149" i="157"/>
  <c r="N148" i="157"/>
  <c r="N147" i="157"/>
  <c r="N146" i="157"/>
  <c r="N145" i="157"/>
  <c r="N144" i="157"/>
  <c r="N143" i="157"/>
  <c r="N142" i="157"/>
  <c r="N141" i="157"/>
  <c r="N140" i="157"/>
  <c r="N139" i="157"/>
  <c r="D67" i="157"/>
  <c r="C65" i="157"/>
  <c r="G64" i="157"/>
  <c r="G63" i="157"/>
  <c r="E63" i="157"/>
  <c r="B63" i="157"/>
  <c r="G62" i="157"/>
  <c r="E62" i="157"/>
  <c r="B62" i="157"/>
  <c r="G61" i="157"/>
  <c r="E61" i="157"/>
  <c r="B61" i="157"/>
  <c r="G60" i="157"/>
  <c r="E60" i="157"/>
  <c r="B60" i="157"/>
  <c r="G59" i="157"/>
  <c r="E59" i="157"/>
  <c r="B59" i="157"/>
  <c r="G58" i="157"/>
  <c r="E58" i="157"/>
  <c r="B58" i="157"/>
  <c r="G57" i="157"/>
  <c r="E57" i="157"/>
  <c r="B57" i="157"/>
  <c r="G56" i="157"/>
  <c r="E56" i="157"/>
  <c r="B56" i="157"/>
  <c r="G55" i="157"/>
  <c r="E55" i="157"/>
  <c r="B55" i="157"/>
  <c r="G54" i="157"/>
  <c r="E54" i="157"/>
  <c r="B54" i="157"/>
  <c r="G51" i="157"/>
  <c r="B51" i="157"/>
  <c r="G50" i="157"/>
  <c r="B50" i="157"/>
  <c r="G49" i="157"/>
  <c r="B49" i="157"/>
  <c r="G48" i="157"/>
  <c r="B48" i="157"/>
  <c r="G47" i="157"/>
  <c r="E47" i="157"/>
  <c r="B47" i="157"/>
  <c r="G46" i="157"/>
  <c r="E46" i="157"/>
  <c r="B46" i="157"/>
  <c r="E40" i="157"/>
  <c r="C40" i="157"/>
  <c r="G39" i="157"/>
  <c r="G38" i="157"/>
  <c r="E38" i="157"/>
  <c r="B38" i="157"/>
  <c r="G37" i="157"/>
  <c r="E37" i="157"/>
  <c r="B37" i="157"/>
  <c r="G36" i="157"/>
  <c r="E36" i="157"/>
  <c r="B36" i="157"/>
  <c r="G35" i="157"/>
  <c r="E35" i="157"/>
  <c r="B35" i="157"/>
  <c r="G34" i="157"/>
  <c r="E34" i="157"/>
  <c r="B34" i="157"/>
  <c r="U33" i="157"/>
  <c r="T33" i="157"/>
  <c r="G31" i="157"/>
  <c r="Y30" i="157"/>
  <c r="W30" i="157"/>
  <c r="G30" i="157"/>
  <c r="Y29" i="157"/>
  <c r="W29" i="157"/>
  <c r="G29" i="157"/>
  <c r="E29" i="157"/>
  <c r="B29" i="157"/>
  <c r="Y28" i="157"/>
  <c r="W28" i="157"/>
  <c r="G28" i="157"/>
  <c r="E28" i="157"/>
  <c r="B28" i="157"/>
  <c r="Y27" i="157"/>
  <c r="W27" i="157"/>
  <c r="G27" i="157"/>
  <c r="E27" i="157"/>
  <c r="B27" i="157"/>
  <c r="Y26" i="157"/>
  <c r="W26" i="157"/>
  <c r="G26" i="157"/>
  <c r="E26" i="157"/>
  <c r="B26" i="157"/>
  <c r="Y25" i="157"/>
  <c r="W25" i="157"/>
  <c r="L25" i="157"/>
  <c r="Y24" i="157"/>
  <c r="W24" i="157"/>
  <c r="Y23" i="157"/>
  <c r="W23" i="157"/>
  <c r="Y22" i="157"/>
  <c r="W22" i="157"/>
  <c r="P22" i="157"/>
  <c r="C22" i="157"/>
  <c r="Y21" i="157"/>
  <c r="W21" i="157"/>
  <c r="P21" i="157"/>
  <c r="G21" i="157"/>
  <c r="Y20" i="157"/>
  <c r="W20" i="157"/>
  <c r="P20" i="157"/>
  <c r="N20" i="157"/>
  <c r="K20" i="157"/>
  <c r="G20" i="157"/>
  <c r="P19" i="157"/>
  <c r="N19" i="157"/>
  <c r="K19" i="157"/>
  <c r="G19" i="157"/>
  <c r="P18" i="157"/>
  <c r="N18" i="157"/>
  <c r="K18" i="157"/>
  <c r="G18" i="157"/>
  <c r="G17" i="157"/>
  <c r="Y16" i="157"/>
  <c r="W16" i="157"/>
  <c r="G16" i="157"/>
  <c r="E16" i="157"/>
  <c r="B16" i="157"/>
  <c r="Y15" i="157"/>
  <c r="W15" i="157"/>
  <c r="C13" i="157"/>
  <c r="G12" i="157"/>
  <c r="G11" i="157"/>
  <c r="E11" i="157"/>
  <c r="B11" i="157"/>
  <c r="G10" i="157"/>
  <c r="E10" i="157"/>
  <c r="B10" i="157"/>
  <c r="P9" i="157"/>
  <c r="N9" i="157"/>
  <c r="K9" i="157"/>
  <c r="G9" i="157"/>
  <c r="E9" i="157"/>
  <c r="B9" i="157"/>
  <c r="P8" i="157"/>
  <c r="N8" i="157"/>
  <c r="K8" i="157"/>
  <c r="G8" i="157"/>
  <c r="E8" i="157"/>
  <c r="B8" i="157"/>
  <c r="P7" i="157"/>
  <c r="N7" i="157"/>
  <c r="K7" i="157"/>
  <c r="G7" i="157"/>
  <c r="E7" i="157"/>
  <c r="B7" i="157"/>
  <c r="Y6" i="157"/>
  <c r="W6" i="157"/>
  <c r="P6" i="157"/>
  <c r="N6" i="157"/>
  <c r="K6" i="157"/>
  <c r="G6" i="157"/>
  <c r="E6" i="157"/>
  <c r="B6" i="157"/>
  <c r="Y5" i="157"/>
  <c r="W5" i="157"/>
  <c r="P5" i="157"/>
  <c r="N5" i="157"/>
  <c r="K5" i="157"/>
  <c r="G5" i="157"/>
  <c r="E5" i="157"/>
  <c r="B5" i="157"/>
  <c r="Y4" i="157"/>
  <c r="W4" i="157"/>
  <c r="P4" i="157"/>
  <c r="N4" i="157"/>
  <c r="K4" i="157"/>
  <c r="G4" i="157"/>
  <c r="E4" i="157"/>
  <c r="B4" i="157"/>
  <c r="N222" i="156"/>
  <c r="N221" i="156"/>
  <c r="N220" i="156"/>
  <c r="N219" i="156"/>
  <c r="N218" i="156"/>
  <c r="N217" i="156"/>
  <c r="N216" i="156"/>
  <c r="N215" i="156"/>
  <c r="N214" i="156"/>
  <c r="N213" i="156"/>
  <c r="N212" i="156"/>
  <c r="N211" i="156"/>
  <c r="N210" i="156"/>
  <c r="N209" i="156"/>
  <c r="N208" i="156"/>
  <c r="N207" i="156"/>
  <c r="N206" i="156"/>
  <c r="N205" i="156"/>
  <c r="N204" i="156"/>
  <c r="N203" i="156"/>
  <c r="N202" i="156"/>
  <c r="N201" i="156"/>
  <c r="N200" i="156"/>
  <c r="N199" i="156"/>
  <c r="N198" i="156"/>
  <c r="N197" i="156"/>
  <c r="N196" i="156"/>
  <c r="N195" i="156"/>
  <c r="N194" i="156"/>
  <c r="N193" i="156"/>
  <c r="N192" i="156"/>
  <c r="N191" i="156"/>
  <c r="N190" i="156"/>
  <c r="N189" i="156"/>
  <c r="N188" i="156"/>
  <c r="N187" i="156"/>
  <c r="N186" i="156"/>
  <c r="N185" i="156"/>
  <c r="N184" i="156"/>
  <c r="N183" i="156"/>
  <c r="N182" i="156"/>
  <c r="N181" i="156"/>
  <c r="N180" i="156"/>
  <c r="N179" i="156"/>
  <c r="N178" i="156"/>
  <c r="N177" i="156"/>
  <c r="N176" i="156"/>
  <c r="N175" i="156"/>
  <c r="N174" i="156"/>
  <c r="N173" i="156"/>
  <c r="N172" i="156"/>
  <c r="N171" i="156"/>
  <c r="N170" i="156"/>
  <c r="N169" i="156"/>
  <c r="N168" i="156"/>
  <c r="N167" i="156"/>
  <c r="N166" i="156"/>
  <c r="N165" i="156"/>
  <c r="N164" i="156"/>
  <c r="N163" i="156"/>
  <c r="N162" i="156"/>
  <c r="N161" i="156"/>
  <c r="N160" i="156"/>
  <c r="N159" i="156"/>
  <c r="N158" i="156"/>
  <c r="N157" i="156"/>
  <c r="N156" i="156"/>
  <c r="N155" i="156"/>
  <c r="N154" i="156"/>
  <c r="N153" i="156"/>
  <c r="N152" i="156"/>
  <c r="N151" i="156"/>
  <c r="N150" i="156"/>
  <c r="N149" i="156"/>
  <c r="N148" i="156"/>
  <c r="N147" i="156"/>
  <c r="N146" i="156"/>
  <c r="N145" i="156"/>
  <c r="N144" i="156"/>
  <c r="N143" i="156"/>
  <c r="N142" i="156"/>
  <c r="N141" i="156"/>
  <c r="N140" i="156"/>
  <c r="N139" i="156"/>
  <c r="D67" i="156"/>
  <c r="C65" i="156"/>
  <c r="G64" i="156"/>
  <c r="G63" i="156"/>
  <c r="E63" i="156"/>
  <c r="B63" i="156"/>
  <c r="G62" i="156"/>
  <c r="E62" i="156"/>
  <c r="B62" i="156"/>
  <c r="G61" i="156"/>
  <c r="E61" i="156"/>
  <c r="B61" i="156"/>
  <c r="G60" i="156"/>
  <c r="E60" i="156"/>
  <c r="B60" i="156"/>
  <c r="G59" i="156"/>
  <c r="E59" i="156"/>
  <c r="B59" i="156"/>
  <c r="G58" i="156"/>
  <c r="E58" i="156"/>
  <c r="B58" i="156"/>
  <c r="G57" i="156"/>
  <c r="E57" i="156"/>
  <c r="B57" i="156"/>
  <c r="G56" i="156"/>
  <c r="E56" i="156"/>
  <c r="B56" i="156"/>
  <c r="G55" i="156"/>
  <c r="E55" i="156"/>
  <c r="B55" i="156"/>
  <c r="G54" i="156"/>
  <c r="E54" i="156"/>
  <c r="B54" i="156"/>
  <c r="B65" i="156" s="1"/>
  <c r="G51" i="156"/>
  <c r="B51" i="156"/>
  <c r="G50" i="156"/>
  <c r="B50" i="156"/>
  <c r="G49" i="156"/>
  <c r="B49" i="156"/>
  <c r="G48" i="156"/>
  <c r="B48" i="156"/>
  <c r="G47" i="156"/>
  <c r="E47" i="156"/>
  <c r="B47" i="156"/>
  <c r="G46" i="156"/>
  <c r="O70" i="156" s="1"/>
  <c r="E46" i="156"/>
  <c r="B46" i="156"/>
  <c r="E40" i="156"/>
  <c r="C40" i="156"/>
  <c r="C67" i="156" s="1"/>
  <c r="G39" i="156"/>
  <c r="G38" i="156"/>
  <c r="E38" i="156"/>
  <c r="B38" i="156"/>
  <c r="G37" i="156"/>
  <c r="E37" i="156"/>
  <c r="B37" i="156"/>
  <c r="G36" i="156"/>
  <c r="E36" i="156"/>
  <c r="B36" i="156"/>
  <c r="G35" i="156"/>
  <c r="E35" i="156"/>
  <c r="B35" i="156"/>
  <c r="G34" i="156"/>
  <c r="E34" i="156"/>
  <c r="B34" i="156"/>
  <c r="U33" i="156"/>
  <c r="T33" i="156"/>
  <c r="G31" i="156"/>
  <c r="Y30" i="156"/>
  <c r="W30" i="156"/>
  <c r="G30" i="156"/>
  <c r="Y29" i="156"/>
  <c r="W29" i="156"/>
  <c r="G29" i="156"/>
  <c r="E29" i="156"/>
  <c r="B29" i="156"/>
  <c r="Y28" i="156"/>
  <c r="W28" i="156"/>
  <c r="G28" i="156"/>
  <c r="G40" i="156" s="1"/>
  <c r="E28" i="156"/>
  <c r="B28" i="156"/>
  <c r="Y27" i="156"/>
  <c r="W27" i="156"/>
  <c r="G27" i="156"/>
  <c r="E27" i="156"/>
  <c r="B27" i="156"/>
  <c r="Y26" i="156"/>
  <c r="W26" i="156"/>
  <c r="G26" i="156"/>
  <c r="E26" i="156"/>
  <c r="B26" i="156"/>
  <c r="B40" i="156" s="1"/>
  <c r="Y25" i="156"/>
  <c r="W25" i="156"/>
  <c r="L25" i="156"/>
  <c r="Y24" i="156"/>
  <c r="W24" i="156"/>
  <c r="Y23" i="156"/>
  <c r="W23" i="156"/>
  <c r="Y22" i="156"/>
  <c r="W22" i="156"/>
  <c r="P22" i="156"/>
  <c r="C22" i="156"/>
  <c r="Y21" i="156"/>
  <c r="W21" i="156"/>
  <c r="P21" i="156"/>
  <c r="G21" i="156"/>
  <c r="Y20" i="156"/>
  <c r="W20" i="156"/>
  <c r="P20" i="156"/>
  <c r="N20" i="156"/>
  <c r="K20" i="156"/>
  <c r="G20" i="156"/>
  <c r="P19" i="156"/>
  <c r="N19" i="156"/>
  <c r="K19" i="156"/>
  <c r="G19" i="156"/>
  <c r="P18" i="156"/>
  <c r="N18" i="156"/>
  <c r="K18" i="156"/>
  <c r="G18" i="156"/>
  <c r="G17" i="156"/>
  <c r="Y16" i="156"/>
  <c r="W16" i="156"/>
  <c r="G16" i="156"/>
  <c r="E16" i="156"/>
  <c r="B16" i="156"/>
  <c r="B22" i="156" s="1"/>
  <c r="Y15" i="156"/>
  <c r="W15" i="156"/>
  <c r="G13" i="156"/>
  <c r="G22" i="156" s="1"/>
  <c r="C13" i="156"/>
  <c r="B13" i="156"/>
  <c r="G12" i="156"/>
  <c r="G11" i="156"/>
  <c r="E11" i="156"/>
  <c r="B11" i="156"/>
  <c r="G10" i="156"/>
  <c r="E10" i="156"/>
  <c r="B10" i="156"/>
  <c r="P9" i="156"/>
  <c r="N9" i="156"/>
  <c r="K9" i="156"/>
  <c r="G9" i="156"/>
  <c r="E9" i="156"/>
  <c r="B9" i="156"/>
  <c r="P8" i="156"/>
  <c r="N8" i="156"/>
  <c r="K8" i="156"/>
  <c r="G8" i="156"/>
  <c r="E8" i="156"/>
  <c r="B8" i="156"/>
  <c r="P7" i="156"/>
  <c r="N7" i="156"/>
  <c r="K7" i="156"/>
  <c r="G7" i="156"/>
  <c r="E7" i="156"/>
  <c r="B7" i="156"/>
  <c r="Y6" i="156"/>
  <c r="W6" i="156"/>
  <c r="P6" i="156"/>
  <c r="N6" i="156"/>
  <c r="K6" i="156"/>
  <c r="G6" i="156"/>
  <c r="E6" i="156"/>
  <c r="B6" i="156"/>
  <c r="Y5" i="156"/>
  <c r="W5" i="156"/>
  <c r="P5" i="156"/>
  <c r="N5" i="156"/>
  <c r="K5" i="156"/>
  <c r="G5" i="156"/>
  <c r="E5" i="156"/>
  <c r="B5" i="156"/>
  <c r="Y4" i="156"/>
  <c r="W4" i="156"/>
  <c r="P4" i="156"/>
  <c r="P25" i="156" s="1"/>
  <c r="N4" i="156"/>
  <c r="K4" i="156"/>
  <c r="K25" i="156" s="1"/>
  <c r="G4" i="156"/>
  <c r="E4" i="156"/>
  <c r="B4" i="156"/>
  <c r="K25" i="157" l="1"/>
  <c r="P25" i="157"/>
  <c r="Y33" i="157"/>
  <c r="G13" i="157"/>
  <c r="G22" i="157" s="1"/>
  <c r="B13" i="157"/>
  <c r="B40" i="157"/>
  <c r="C67" i="157"/>
  <c r="B65" i="157"/>
  <c r="G65" i="157"/>
  <c r="G40" i="157"/>
  <c r="N70" i="157" s="1"/>
  <c r="O70" i="157"/>
  <c r="Y33" i="156"/>
  <c r="N70" i="156"/>
  <c r="G67" i="157"/>
  <c r="K70" i="157" s="1"/>
  <c r="M70" i="157"/>
  <c r="B22" i="157"/>
  <c r="K69" i="157"/>
  <c r="M70" i="156"/>
  <c r="B67" i="156"/>
  <c r="K68" i="156" s="1"/>
  <c r="K69" i="156"/>
  <c r="G65" i="156"/>
  <c r="G67" i="156" s="1"/>
  <c r="B67" i="157" l="1"/>
  <c r="K68" i="157" s="1"/>
  <c r="P70" i="157"/>
  <c r="P70" i="156"/>
  <c r="K70" i="156"/>
  <c r="K111" i="8"/>
  <c r="G51" i="9" s="1"/>
  <c r="K106" i="8" l="1"/>
  <c r="I92" i="8" l="1"/>
  <c r="K135" i="8" l="1"/>
  <c r="I134" i="8" l="1"/>
  <c r="K134" i="8"/>
  <c r="K123" i="8" l="1"/>
  <c r="K117" i="8"/>
  <c r="K116" i="8"/>
  <c r="K115" i="8"/>
  <c r="K83" i="8"/>
  <c r="D39" i="8"/>
  <c r="C39" i="8"/>
  <c r="H30" i="8"/>
  <c r="D30" i="8"/>
  <c r="C30" i="8"/>
  <c r="L19" i="8"/>
  <c r="D21" i="8"/>
  <c r="L11" i="8"/>
  <c r="C12" i="8"/>
  <c r="C5" i="9"/>
  <c r="E5" i="9" s="1"/>
  <c r="C14" i="9" s="1"/>
  <c r="E14" i="9" s="1"/>
  <c r="C23" i="9" s="1"/>
  <c r="E23" i="9" s="1"/>
  <c r="C32" i="9" s="1"/>
  <c r="E32" i="9" s="1"/>
  <c r="C41" i="9" s="1"/>
  <c r="E41" i="9" s="1"/>
  <c r="C50" i="9" s="1"/>
  <c r="E50" i="9" s="1"/>
  <c r="C3" i="9"/>
  <c r="C4" i="9"/>
  <c r="C9" i="9" s="1"/>
  <c r="E47" i="10"/>
  <c r="E46" i="10"/>
  <c r="N20" i="10"/>
  <c r="K122" i="8"/>
  <c r="H54" i="117"/>
  <c r="K103" i="8"/>
  <c r="H48" i="8"/>
  <c r="G54" i="117"/>
  <c r="C54" i="117"/>
  <c r="D54" i="117"/>
  <c r="E54" i="117"/>
  <c r="F54" i="117"/>
  <c r="B54" i="117"/>
  <c r="B55" i="117" s="1"/>
  <c r="K143" i="8"/>
  <c r="K150" i="8"/>
  <c r="K140" i="8"/>
  <c r="K110" i="8"/>
  <c r="K109" i="8"/>
  <c r="K161" i="8"/>
  <c r="I161" i="8"/>
  <c r="K160" i="8"/>
  <c r="I160" i="8"/>
  <c r="K159" i="8"/>
  <c r="I159" i="8"/>
  <c r="K158" i="8"/>
  <c r="I158" i="8"/>
  <c r="K157" i="8"/>
  <c r="I157" i="8"/>
  <c r="K156" i="8"/>
  <c r="I156" i="8"/>
  <c r="K155" i="8"/>
  <c r="I155" i="8"/>
  <c r="K154" i="8"/>
  <c r="I154" i="8"/>
  <c r="K153" i="8"/>
  <c r="I153" i="8"/>
  <c r="K152" i="8"/>
  <c r="I152" i="8"/>
  <c r="K151" i="8"/>
  <c r="I151" i="8"/>
  <c r="I150" i="8"/>
  <c r="K149" i="8"/>
  <c r="I149" i="8"/>
  <c r="K148" i="8"/>
  <c r="I148" i="8"/>
  <c r="K147" i="8"/>
  <c r="I147" i="8"/>
  <c r="K146" i="8"/>
  <c r="I146" i="8"/>
  <c r="K145" i="8"/>
  <c r="I145" i="8"/>
  <c r="K144" i="8"/>
  <c r="I144" i="8"/>
  <c r="I143" i="8"/>
  <c r="K142" i="8"/>
  <c r="I142" i="8"/>
  <c r="K141" i="8"/>
  <c r="I141" i="8"/>
  <c r="I140" i="8"/>
  <c r="K139" i="8"/>
  <c r="I139" i="8"/>
  <c r="K138" i="8"/>
  <c r="I138" i="8"/>
  <c r="K137" i="8"/>
  <c r="I137" i="8"/>
  <c r="K136" i="8"/>
  <c r="I136" i="8"/>
  <c r="I135" i="8"/>
  <c r="K133" i="8"/>
  <c r="I133" i="8"/>
  <c r="K132" i="8"/>
  <c r="I132" i="8"/>
  <c r="K131" i="8"/>
  <c r="I131" i="8"/>
  <c r="K130" i="8"/>
  <c r="G30" i="9" s="1"/>
  <c r="I130" i="8"/>
  <c r="K129" i="8"/>
  <c r="I129" i="8"/>
  <c r="K128" i="8"/>
  <c r="I128" i="8"/>
  <c r="K127" i="8"/>
  <c r="I127" i="8"/>
  <c r="K126" i="8"/>
  <c r="I126" i="8"/>
  <c r="K125" i="8"/>
  <c r="I125" i="8"/>
  <c r="I124" i="8"/>
  <c r="I123" i="8"/>
  <c r="I122" i="8"/>
  <c r="K121" i="8"/>
  <c r="I121" i="8"/>
  <c r="K120" i="8"/>
  <c r="I120" i="8"/>
  <c r="K119" i="8"/>
  <c r="I119" i="8"/>
  <c r="K118" i="8"/>
  <c r="I118" i="8"/>
  <c r="I117" i="8"/>
  <c r="I116" i="8"/>
  <c r="I115" i="8"/>
  <c r="K114" i="8"/>
  <c r="I114" i="8"/>
  <c r="K113" i="8"/>
  <c r="I113" i="8"/>
  <c r="K112" i="8"/>
  <c r="I112" i="8"/>
  <c r="I111" i="8"/>
  <c r="I110" i="8"/>
  <c r="I109" i="8"/>
  <c r="K108" i="8"/>
  <c r="I108" i="8"/>
  <c r="K107" i="8"/>
  <c r="I107" i="8"/>
  <c r="I106" i="8"/>
  <c r="K105" i="8"/>
  <c r="I105" i="8"/>
  <c r="K104" i="8"/>
  <c r="I104" i="8"/>
  <c r="I103" i="8"/>
  <c r="K102" i="8"/>
  <c r="G4" i="9" s="1"/>
  <c r="I102" i="8"/>
  <c r="K101" i="8"/>
  <c r="I101" i="8"/>
  <c r="K100" i="8"/>
  <c r="I100" i="8"/>
  <c r="K99" i="8"/>
  <c r="I99" i="8"/>
  <c r="K98" i="8"/>
  <c r="I98" i="8"/>
  <c r="K97" i="8"/>
  <c r="I97" i="8"/>
  <c r="K96" i="8"/>
  <c r="I96" i="8"/>
  <c r="K95" i="8"/>
  <c r="G60" i="9" s="1"/>
  <c r="I95" i="8"/>
  <c r="K94" i="8"/>
  <c r="I94" i="8"/>
  <c r="I93" i="8"/>
  <c r="K92" i="8"/>
  <c r="K91" i="8"/>
  <c r="I91" i="8"/>
  <c r="K90" i="8"/>
  <c r="I90" i="8"/>
  <c r="K89" i="8"/>
  <c r="I89" i="8"/>
  <c r="K88" i="8"/>
  <c r="I88" i="8"/>
  <c r="K87" i="8"/>
  <c r="I87" i="8"/>
  <c r="K86" i="8"/>
  <c r="I86" i="8"/>
  <c r="K85" i="8"/>
  <c r="I85" i="8"/>
  <c r="K84" i="8"/>
  <c r="I84" i="8"/>
  <c r="I162" i="8"/>
  <c r="K162" i="8"/>
  <c r="I163" i="8"/>
  <c r="K163" i="8"/>
  <c r="I164" i="8"/>
  <c r="K164" i="8"/>
  <c r="I165" i="8"/>
  <c r="K165" i="8"/>
  <c r="I166" i="8"/>
  <c r="K166" i="8"/>
  <c r="I167" i="8"/>
  <c r="K167" i="8"/>
  <c r="I168" i="8"/>
  <c r="K168" i="8"/>
  <c r="I169" i="8"/>
  <c r="K169" i="8"/>
  <c r="I170" i="8"/>
  <c r="K170" i="8"/>
  <c r="I171" i="8"/>
  <c r="K171" i="8"/>
  <c r="I172" i="8"/>
  <c r="K172" i="8"/>
  <c r="I173" i="8"/>
  <c r="K173" i="8"/>
  <c r="I174" i="8"/>
  <c r="K174" i="8"/>
  <c r="I175" i="8"/>
  <c r="K175" i="8"/>
  <c r="I176" i="8"/>
  <c r="K176" i="8"/>
  <c r="I177" i="8"/>
  <c r="K177" i="8"/>
  <c r="I178" i="8"/>
  <c r="K178" i="8"/>
  <c r="I179" i="8"/>
  <c r="K179" i="8"/>
  <c r="I180" i="8"/>
  <c r="K180" i="8"/>
  <c r="I181" i="8"/>
  <c r="K181" i="8"/>
  <c r="I182" i="8"/>
  <c r="K182" i="8"/>
  <c r="I183" i="8"/>
  <c r="K183" i="8"/>
  <c r="I184" i="8"/>
  <c r="K184" i="8"/>
  <c r="I185" i="8"/>
  <c r="K185" i="8"/>
  <c r="I186" i="8"/>
  <c r="K186" i="8"/>
  <c r="I187" i="8"/>
  <c r="K187" i="8"/>
  <c r="I188" i="8"/>
  <c r="K188" i="8"/>
  <c r="I189" i="8"/>
  <c r="K189" i="8"/>
  <c r="I190" i="8"/>
  <c r="K190" i="8"/>
  <c r="I191" i="8"/>
  <c r="K191" i="8"/>
  <c r="I192" i="8"/>
  <c r="K192" i="8"/>
  <c r="I193" i="8"/>
  <c r="K193" i="8"/>
  <c r="I194" i="8"/>
  <c r="K194" i="8"/>
  <c r="I195" i="8"/>
  <c r="K195" i="8"/>
  <c r="I196" i="8"/>
  <c r="K196" i="8"/>
  <c r="I197" i="8"/>
  <c r="K197" i="8"/>
  <c r="I198" i="8"/>
  <c r="K198" i="8"/>
  <c r="I199" i="8"/>
  <c r="K199" i="8"/>
  <c r="I200" i="8"/>
  <c r="K200" i="8"/>
  <c r="I201" i="8"/>
  <c r="K201" i="8"/>
  <c r="I202" i="8"/>
  <c r="K202" i="8"/>
  <c r="I203" i="8"/>
  <c r="K203" i="8"/>
  <c r="I204" i="8"/>
  <c r="K204" i="8"/>
  <c r="I205" i="8"/>
  <c r="K205" i="8"/>
  <c r="I206" i="8"/>
  <c r="K206" i="8"/>
  <c r="I207" i="8"/>
  <c r="K207" i="8"/>
  <c r="I208" i="8"/>
  <c r="K208" i="8"/>
  <c r="I209" i="8"/>
  <c r="K209" i="8"/>
  <c r="I210" i="8"/>
  <c r="K210" i="8"/>
  <c r="I211" i="8"/>
  <c r="K211" i="8"/>
  <c r="I212" i="8"/>
  <c r="K212" i="8"/>
  <c r="I213" i="8"/>
  <c r="K213" i="8"/>
  <c r="I214" i="8"/>
  <c r="K214" i="8"/>
  <c r="I215" i="8"/>
  <c r="K215" i="8"/>
  <c r="N222" i="10"/>
  <c r="N221" i="10"/>
  <c r="N220" i="10"/>
  <c r="N219" i="10"/>
  <c r="N218" i="10"/>
  <c r="N217" i="10"/>
  <c r="N216" i="10"/>
  <c r="N215" i="10"/>
  <c r="N214" i="10"/>
  <c r="N213" i="10"/>
  <c r="N212" i="10"/>
  <c r="N211" i="10"/>
  <c r="N210" i="10"/>
  <c r="N209" i="10"/>
  <c r="N208" i="10"/>
  <c r="N207" i="10"/>
  <c r="N206" i="10"/>
  <c r="N205" i="10"/>
  <c r="N204" i="10"/>
  <c r="N203" i="10"/>
  <c r="N202" i="10"/>
  <c r="N201" i="10"/>
  <c r="N200" i="10"/>
  <c r="N199" i="10"/>
  <c r="N198" i="10"/>
  <c r="N197" i="10"/>
  <c r="N196" i="10"/>
  <c r="N195" i="10"/>
  <c r="N194" i="10"/>
  <c r="N193" i="10"/>
  <c r="N192" i="10"/>
  <c r="N191" i="10"/>
  <c r="N190" i="10"/>
  <c r="N189" i="10"/>
  <c r="N188" i="10"/>
  <c r="N187" i="10"/>
  <c r="N186" i="10"/>
  <c r="N185" i="10"/>
  <c r="N184" i="10"/>
  <c r="N183" i="10"/>
  <c r="N182" i="10"/>
  <c r="N181" i="10"/>
  <c r="N180" i="10"/>
  <c r="N179" i="10"/>
  <c r="N178" i="10"/>
  <c r="N177" i="10"/>
  <c r="N176" i="10"/>
  <c r="N175" i="10"/>
  <c r="N174" i="10"/>
  <c r="N173" i="10"/>
  <c r="N172" i="10"/>
  <c r="N171" i="10"/>
  <c r="N170" i="10"/>
  <c r="N169" i="10"/>
  <c r="N168" i="10"/>
  <c r="N167" i="10"/>
  <c r="N166" i="10"/>
  <c r="N165" i="10"/>
  <c r="N164" i="10"/>
  <c r="N163" i="10"/>
  <c r="N162" i="10"/>
  <c r="N161" i="10"/>
  <c r="N160" i="10"/>
  <c r="N159" i="10"/>
  <c r="N158" i="10"/>
  <c r="N157" i="10"/>
  <c r="N156" i="10"/>
  <c r="N155" i="10"/>
  <c r="N154" i="10"/>
  <c r="N153" i="10"/>
  <c r="N152" i="10"/>
  <c r="N151" i="10"/>
  <c r="N150" i="10"/>
  <c r="N149" i="10"/>
  <c r="N148" i="10"/>
  <c r="N147" i="10"/>
  <c r="N146" i="10"/>
  <c r="N145" i="10"/>
  <c r="N144" i="10"/>
  <c r="N143" i="10"/>
  <c r="N142" i="10"/>
  <c r="N141" i="10"/>
  <c r="N140" i="10"/>
  <c r="N139" i="10"/>
  <c r="B11" i="10"/>
  <c r="E11" i="10"/>
  <c r="K19" i="10"/>
  <c r="Y30" i="10"/>
  <c r="W30" i="10"/>
  <c r="Y16" i="10"/>
  <c r="Y15" i="10"/>
  <c r="U33" i="10"/>
  <c r="L25" i="10"/>
  <c r="K9" i="10"/>
  <c r="N9" i="10"/>
  <c r="P9" i="10"/>
  <c r="Y29" i="10"/>
  <c r="W29" i="10"/>
  <c r="Y28" i="10"/>
  <c r="W28" i="10"/>
  <c r="Y27" i="10"/>
  <c r="W27" i="10"/>
  <c r="Y26" i="10"/>
  <c r="W26" i="10"/>
  <c r="Y25" i="10"/>
  <c r="W25" i="10"/>
  <c r="Y24" i="10"/>
  <c r="W24" i="10"/>
  <c r="Y23" i="10"/>
  <c r="W23" i="10"/>
  <c r="Y22" i="10"/>
  <c r="W22" i="10"/>
  <c r="Y21" i="10"/>
  <c r="W21" i="10"/>
  <c r="Y20" i="10"/>
  <c r="W20" i="10"/>
  <c r="W16" i="10"/>
  <c r="W15" i="10"/>
  <c r="Y6" i="10"/>
  <c r="W6" i="10"/>
  <c r="Y5" i="10"/>
  <c r="W5" i="10"/>
  <c r="Y4" i="10"/>
  <c r="W4" i="10"/>
  <c r="K4" i="10"/>
  <c r="I83" i="8"/>
  <c r="B29" i="10"/>
  <c r="E29" i="10"/>
  <c r="N5" i="10"/>
  <c r="N6" i="10"/>
  <c r="N7" i="10"/>
  <c r="N8" i="10"/>
  <c r="E4" i="10"/>
  <c r="K20" i="10"/>
  <c r="K18" i="10"/>
  <c r="K8" i="10"/>
  <c r="K7" i="10"/>
  <c r="K6" i="10"/>
  <c r="K5" i="10"/>
  <c r="B63" i="10"/>
  <c r="B62" i="10"/>
  <c r="B61" i="10"/>
  <c r="B60" i="10"/>
  <c r="B59" i="10"/>
  <c r="B58" i="10"/>
  <c r="B57" i="10"/>
  <c r="B56" i="10"/>
  <c r="B55" i="10"/>
  <c r="B54" i="10"/>
  <c r="B51" i="10"/>
  <c r="B50" i="10"/>
  <c r="B49" i="10"/>
  <c r="B48" i="10"/>
  <c r="B47" i="10"/>
  <c r="B46" i="10"/>
  <c r="B38" i="10"/>
  <c r="B37" i="10"/>
  <c r="B36" i="10"/>
  <c r="B35" i="10"/>
  <c r="B34" i="10"/>
  <c r="B28" i="10"/>
  <c r="B27" i="10"/>
  <c r="B26" i="10"/>
  <c r="B16" i="10"/>
  <c r="B10" i="10"/>
  <c r="B9" i="10"/>
  <c r="B8" i="10"/>
  <c r="B7" i="10"/>
  <c r="B6" i="10"/>
  <c r="B5" i="10"/>
  <c r="B4" i="10"/>
  <c r="P22" i="10"/>
  <c r="P21" i="10"/>
  <c r="P20" i="10"/>
  <c r="P19" i="10"/>
  <c r="P18" i="10"/>
  <c r="P8" i="10"/>
  <c r="P7" i="10"/>
  <c r="P6" i="10"/>
  <c r="P5" i="10"/>
  <c r="P4" i="10"/>
  <c r="G4" i="10"/>
  <c r="G64" i="10"/>
  <c r="G63" i="10"/>
  <c r="G62" i="10"/>
  <c r="G61" i="10"/>
  <c r="G60" i="10"/>
  <c r="G59" i="10"/>
  <c r="G58" i="10"/>
  <c r="G57" i="10"/>
  <c r="G56" i="10"/>
  <c r="G55" i="10"/>
  <c r="G54" i="10"/>
  <c r="G51" i="10"/>
  <c r="G50" i="10"/>
  <c r="G49" i="10"/>
  <c r="G48" i="10"/>
  <c r="G47" i="10"/>
  <c r="G46" i="10"/>
  <c r="G39" i="10"/>
  <c r="G38" i="10"/>
  <c r="G37" i="10"/>
  <c r="G36" i="10"/>
  <c r="G35" i="10"/>
  <c r="G34" i="10"/>
  <c r="G31" i="10"/>
  <c r="G30" i="10"/>
  <c r="G29" i="10"/>
  <c r="G28" i="10"/>
  <c r="G27" i="10"/>
  <c r="G26" i="10"/>
  <c r="G21" i="10"/>
  <c r="G20" i="10"/>
  <c r="G19" i="10"/>
  <c r="G18" i="10"/>
  <c r="G17" i="10"/>
  <c r="G16" i="10"/>
  <c r="G12" i="10"/>
  <c r="G11" i="10"/>
  <c r="G10" i="10"/>
  <c r="G9" i="10"/>
  <c r="G8" i="10"/>
  <c r="G7" i="10"/>
  <c r="G6" i="10"/>
  <c r="G5" i="10"/>
  <c r="K25" i="10"/>
  <c r="E131" i="9"/>
  <c r="D131" i="9"/>
  <c r="H57" i="8"/>
  <c r="D12" i="8"/>
  <c r="D67" i="10"/>
  <c r="C65" i="10"/>
  <c r="E63" i="10"/>
  <c r="E62" i="10"/>
  <c r="E61" i="10"/>
  <c r="E60" i="10"/>
  <c r="E59" i="10"/>
  <c r="E58" i="10"/>
  <c r="E57" i="10"/>
  <c r="E56" i="10"/>
  <c r="E55" i="10"/>
  <c r="E54" i="10"/>
  <c r="E40" i="10"/>
  <c r="C40" i="10"/>
  <c r="E38" i="10"/>
  <c r="E37" i="10"/>
  <c r="E36" i="10"/>
  <c r="E35" i="10"/>
  <c r="E34" i="10"/>
  <c r="E28" i="10"/>
  <c r="E27" i="10"/>
  <c r="E26" i="10"/>
  <c r="C22" i="10"/>
  <c r="N19" i="10"/>
  <c r="N18" i="10"/>
  <c r="E16" i="10"/>
  <c r="C13" i="10"/>
  <c r="E10" i="10"/>
  <c r="E9" i="10"/>
  <c r="E8" i="10"/>
  <c r="E7" i="10"/>
  <c r="E6" i="10"/>
  <c r="E5" i="10"/>
  <c r="T33" i="10"/>
  <c r="N4" i="10"/>
  <c r="D72" i="9"/>
  <c r="D54" i="9"/>
  <c r="D45" i="9"/>
  <c r="D27" i="9"/>
  <c r="D18" i="9"/>
  <c r="E7" i="9"/>
  <c r="E16" i="9"/>
  <c r="E25" i="9"/>
  <c r="C34" i="9" s="1"/>
  <c r="E34" i="9" s="1"/>
  <c r="C43" i="9" s="1"/>
  <c r="E43" i="9" s="1"/>
  <c r="C52" i="9" s="1"/>
  <c r="E52" i="9" s="1"/>
  <c r="C61" i="9" s="1"/>
  <c r="E61" i="9" s="1"/>
  <c r="C70" i="9" s="1"/>
  <c r="E70" i="9" s="1"/>
  <c r="E6" i="9"/>
  <c r="C15" i="9" s="1"/>
  <c r="E15" i="9" s="1"/>
  <c r="C24" i="9" s="1"/>
  <c r="E24" i="9" s="1"/>
  <c r="C33" i="9" s="1"/>
  <c r="E33" i="9" s="1"/>
  <c r="C42" i="9" s="1"/>
  <c r="E42" i="9" s="1"/>
  <c r="C51" i="9" s="1"/>
  <c r="E51" i="9" s="1"/>
  <c r="E60" i="9" s="1"/>
  <c r="C69" i="9" s="1"/>
  <c r="E69" i="9" s="1"/>
  <c r="E3" i="9"/>
  <c r="G80" i="8"/>
  <c r="L82" i="8" s="1"/>
  <c r="O79" i="8"/>
  <c r="J78" i="8"/>
  <c r="I75" i="8"/>
  <c r="H75" i="8"/>
  <c r="E75" i="8"/>
  <c r="D75" i="8"/>
  <c r="C75" i="8"/>
  <c r="L73" i="8"/>
  <c r="I66" i="8"/>
  <c r="H66" i="8"/>
  <c r="E66" i="8"/>
  <c r="D66" i="8"/>
  <c r="C66" i="8"/>
  <c r="L64" i="8"/>
  <c r="I57" i="8"/>
  <c r="E57" i="8"/>
  <c r="C57" i="8"/>
  <c r="L55" i="8"/>
  <c r="D57" i="8"/>
  <c r="I48" i="8"/>
  <c r="E48" i="8"/>
  <c r="L46" i="8"/>
  <c r="D48" i="8"/>
  <c r="C48" i="8"/>
  <c r="I39" i="8"/>
  <c r="E39" i="8"/>
  <c r="L37" i="8"/>
  <c r="I30" i="8"/>
  <c r="E30" i="8"/>
  <c r="L28" i="8"/>
  <c r="E21" i="8"/>
  <c r="C21" i="8"/>
  <c r="I12" i="8"/>
  <c r="I78" i="8" s="1"/>
  <c r="E12" i="8"/>
  <c r="B40" i="10"/>
  <c r="C67" i="10"/>
  <c r="K69" i="10"/>
  <c r="B65" i="10"/>
  <c r="B13" i="10"/>
  <c r="B22" i="10"/>
  <c r="D9" i="9"/>
  <c r="D36" i="9"/>
  <c r="C12" i="9"/>
  <c r="H39" i="8"/>
  <c r="E59" i="9"/>
  <c r="C68" i="9" s="1"/>
  <c r="E68" i="9" s="1"/>
  <c r="B67" i="10"/>
  <c r="K68" i="10"/>
  <c r="E12" i="9"/>
  <c r="C21" i="9" s="1"/>
  <c r="C131" i="9"/>
  <c r="G59" i="9" l="1"/>
  <c r="G57" i="9"/>
  <c r="G58" i="9"/>
  <c r="K216" i="8"/>
  <c r="G49" i="9"/>
  <c r="G48" i="9"/>
  <c r="E8" i="9"/>
  <c r="C18" i="9"/>
  <c r="E4" i="9"/>
  <c r="C13" i="9" s="1"/>
  <c r="E13" i="9" s="1"/>
  <c r="C22" i="9" s="1"/>
  <c r="E22" i="9" s="1"/>
  <c r="C31" i="9" s="1"/>
  <c r="E31" i="9" s="1"/>
  <c r="C40" i="9" s="1"/>
  <c r="E40" i="9" s="1"/>
  <c r="C49" i="9" s="1"/>
  <c r="E49" i="9" s="1"/>
  <c r="C58" i="9" s="1"/>
  <c r="E58" i="9" s="1"/>
  <c r="C67" i="9" s="1"/>
  <c r="E67" i="9" s="1"/>
  <c r="E78" i="8"/>
  <c r="G39" i="9"/>
  <c r="Y33" i="10"/>
  <c r="P25" i="10"/>
  <c r="G13" i="10"/>
  <c r="G22" i="10" s="1"/>
  <c r="M70" i="10" s="1"/>
  <c r="G65" i="10"/>
  <c r="G40" i="10"/>
  <c r="N70" i="10" s="1"/>
  <c r="G40" i="9"/>
  <c r="G22" i="9"/>
  <c r="G67" i="10"/>
  <c r="K70" i="10" s="1"/>
  <c r="O70" i="10"/>
  <c r="G24" i="9"/>
  <c r="J11" i="9"/>
  <c r="G15" i="9"/>
  <c r="G13" i="9"/>
  <c r="E17" i="9"/>
  <c r="G12" i="9"/>
  <c r="G3" i="9"/>
  <c r="G6" i="9"/>
  <c r="M11" i="8"/>
  <c r="D78" i="8"/>
  <c r="H12" i="8"/>
  <c r="H21" i="8"/>
  <c r="C78" i="8"/>
  <c r="H78" i="8" l="1"/>
  <c r="G79" i="8" s="1"/>
  <c r="P70" i="10"/>
  <c r="E21" i="9"/>
  <c r="C27" i="9"/>
  <c r="G41" i="9" l="1"/>
  <c r="G50" i="9"/>
  <c r="G23" i="9"/>
  <c r="G32" i="9"/>
  <c r="G14" i="9"/>
  <c r="G5" i="9"/>
  <c r="E26" i="9"/>
  <c r="C30" i="9"/>
  <c r="C36" i="9" l="1"/>
  <c r="E30" i="9"/>
  <c r="C39" i="9" l="1"/>
  <c r="E35" i="9"/>
  <c r="I11" i="9" s="1"/>
  <c r="K11" i="9" s="1"/>
  <c r="E39" i="9" l="1"/>
  <c r="C45" i="9"/>
  <c r="C48" i="9" l="1"/>
  <c r="E44" i="9"/>
  <c r="C54" i="9" l="1"/>
  <c r="E48" i="9"/>
  <c r="E53" i="9" l="1"/>
  <c r="C57" i="9"/>
  <c r="E57" i="9" l="1"/>
  <c r="C63" i="9"/>
  <c r="E62" i="9" l="1"/>
  <c r="C66" i="9"/>
  <c r="C72" i="9" l="1"/>
  <c r="E66" i="9"/>
  <c r="E71" i="9" s="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tc={D7C950BE-68CD-B049-AA64-C98A64BD39AF}</author>
    <author>tc={8ACC55F8-57C8-C84D-B5FD-36E659D3B389}</author>
    <author>tc={547FA292-F7A2-9F4A-B738-37C6313E1C34}</author>
    <author>tc={3B8A88E1-91D3-FC4A-A635-CDB8C9283A12}</author>
    <author>tc={39A884A8-53A3-F64F-A2D6-EBC279783DDF}</author>
    <author>tc={C8726049-954A-F74F-969A-F1AC20E68278}</author>
    <author>tc={FF857572-2F88-CA43-B3D2-7EC16DBFF366}</author>
    <author>tc={4F2EAF75-59BE-E443-8CFB-226026E9ABF1}</author>
    <author>tc={E7AD4C4F-EF45-F64F-8D84-D0C1B4019A01}</author>
    <author>tc={2780EEC9-A5F4-064B-B8B6-206F40E3779E}</author>
    <author>tc={2A7CFFB0-C24C-2746-ACDF-E01D22200834}</author>
    <author>tc={162C9BF1-2B19-C044-B4E6-394CF7F56B0A}</author>
    <author>tc={4894D5CF-705A-894C-AD30-948238BEAE04}</author>
    <author>tc={F57822BF-3C5A-3E44-BE98-444D0BD9AD5F}</author>
    <author>tc={F46272F5-E0DC-0945-A3CF-2A628F7E1193}</author>
    <author>tc={98758041-09B5-BC4C-850A-B97A88686629}</author>
    <author>tc={70D3A22E-F604-DF44-B8D9-52516F30F192}</author>
    <author>tc={7E046F01-C731-114A-A8A2-291567F6402A}</author>
    <author>tc={9ABDB42A-8F9C-FB4F-A937-C210EFC8C653}</author>
    <author>tc={A1FAC538-D3BB-BB44-B8E9-6CA2B0E1FE3C}</author>
    <author>tc={B4009FD2-D467-A247-8BFE-58BD906F895A}</author>
    <author>tc={73DDE9D8-2208-034E-A03F-35A4E3CBDE08}</author>
    <author>tc={43B45153-5E04-C141-B2E5-63C290D16124}</author>
    <author>tc={14EB3A0E-3B00-B346-974A-6DC599668669}</author>
    <author>tc={D836C2D6-E0B3-4647-B10B-8DAF648B7852}</author>
    <author>tc={57F28E6E-0ACE-8C4C-A549-5BB9BFA3CE51}</author>
    <author>tc={A1A8FEE8-85A2-9D42-A2C0-B7AB5A048B36}</author>
    <author>tc={1228252C-7568-4749-8C1E-DE0083CFC04D}</author>
    <author>tc={688CB70A-9A32-A843-BE71-A912628494C0}</author>
    <author>tc={6DE0F575-88AD-CB4E-91C4-F2AEB9ADAF0B}</author>
    <author>tc={095F6D25-FD17-9041-B49F-4514D5A8F7FE}</author>
    <author>tc={58681B66-AAF4-8748-9304-54BE42EE01C3}</author>
    <author>tc={9CAA054F-261F-A241-9ED8-AE6377C972A4}</author>
  </authors>
  <commentList>
    <comment ref="B3" authorId="0" shapeId="0" xr:uid="{D7C950BE-68CD-B049-AA64-C98A64BD39AF}">
      <text>
        <t>[Comentario encadenado]
Su versión de Excel le permite leer este comentario encadenado; sin embargo, las ediciones que se apliquen se quitarán si el archivo se abre en una versión más reciente de Excel. Más información: https://go.microsoft.com/fwlink/?linkid=870924
Comentario:
    IMPLEMENTACIÓN DEPORTIVA</t>
      </text>
    </comment>
    <comment ref="B4" authorId="1" shapeId="0" xr:uid="{8ACC55F8-57C8-C84D-B5FD-36E659D3B389}">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FORMACIÓN INTEGRAL PRIMERA INFANCIA</t>
      </text>
    </comment>
    <comment ref="B5" authorId="2" shapeId="0" xr:uid="{547FA292-F7A2-9F4A-B738-37C6313E1C3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DESARROLLO DE PROGRAMAS RECREATIVOS
</t>
      </text>
    </comment>
    <comment ref="B6" authorId="3" shapeId="0" xr:uid="{3B8A88E1-91D3-FC4A-A635-CDB8C9283A12}">
      <text>
        <t>[Comentario encadenado]
Su versión de Excel le permite leer este comentario encadenado; sin embargo, las ediciones que se apliquen se quitarán si el archivo se abre en una versión más reciente de Excel. Más información: https://go.microsoft.com/fwlink/?linkid=870924
Comentario:
    SAF</t>
      </text>
    </comment>
    <comment ref="B12" authorId="4" shapeId="0" xr:uid="{39A884A8-53A3-F64F-A2D6-EBC279783DDF}">
      <text>
        <t>[Comentario encadenado]
Su versión de Excel le permite leer este comentario encadenado; sin embargo, las ediciones que se apliquen se quitarán si el archivo se abre en una versión más reciente de Excel. Más información: https://go.microsoft.com/fwlink/?linkid=870924
Comentario:
    IMPLEMENTACIÓN DEPORTIVA</t>
      </text>
    </comment>
    <comment ref="B13" authorId="5" shapeId="0" xr:uid="{C8726049-954A-F74F-969A-F1AC20E68278}">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FORMACIÓN INTEGRAL PRIMERA INFANCIA</t>
      </text>
    </comment>
    <comment ref="B14" authorId="6" shapeId="0" xr:uid="{FF857572-2F88-CA43-B3D2-7EC16DBFF36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DESARROLLO DE PROGRAMAS RECREATIVOS
</t>
      </text>
    </comment>
    <comment ref="B15" authorId="7" shapeId="0" xr:uid="{4F2EAF75-59BE-E443-8CFB-226026E9ABF1}">
      <text>
        <t>[Comentario encadenado]
Su versión de Excel le permite leer este comentario encadenado; sin embargo, las ediciones que se apliquen se quitarán si el archivo se abre en una versión más reciente de Excel. Más información: https://go.microsoft.com/fwlink/?linkid=870924
Comentario:
    SAF</t>
      </text>
    </comment>
    <comment ref="B21" authorId="8" shapeId="0" xr:uid="{E7AD4C4F-EF45-F64F-8D84-D0C1B4019A01}">
      <text>
        <t>[Comentario encadenado]
Su versión de Excel le permite leer este comentario encadenado; sin embargo, las ediciones que se apliquen se quitarán si el archivo se abre en una versión más reciente de Excel. Más información: https://go.microsoft.com/fwlink/?linkid=870924
Comentario:
    IMPLEMENTACIÓN DEPORTIVA</t>
      </text>
    </comment>
    <comment ref="B22" authorId="9" shapeId="0" xr:uid="{2780EEC9-A5F4-064B-B8B6-206F40E3779E}">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FORMACIÓN INTEGRAL PRIMERA INFANCIA</t>
      </text>
    </comment>
    <comment ref="B23" authorId="10" shapeId="0" xr:uid="{2A7CFFB0-C24C-2746-ACDF-E01D2220083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DESARROLLO DE PROGRAMAS RECREATIVOS
</t>
      </text>
    </comment>
    <comment ref="B24" authorId="11" shapeId="0" xr:uid="{162C9BF1-2B19-C044-B4E6-394CF7F56B0A}">
      <text>
        <t>[Comentario encadenado]
Su versión de Excel le permite leer este comentario encadenado; sin embargo, las ediciones que se apliquen se quitarán si el archivo se abre en una versión más reciente de Excel. Más información: https://go.microsoft.com/fwlink/?linkid=870924
Comentario:
    SAF</t>
      </text>
    </comment>
    <comment ref="B30" authorId="12" shapeId="0" xr:uid="{4894D5CF-705A-894C-AD30-948238BEAE04}">
      <text>
        <t>[Comentario encadenado]
Su versión de Excel le permite leer este comentario encadenado; sin embargo, las ediciones que se apliquen se quitarán si el archivo se abre en una versión más reciente de Excel. Más información: https://go.microsoft.com/fwlink/?linkid=870924
Comentario:
    IMPLEMENTACIÓN DEPORTIVA</t>
      </text>
    </comment>
    <comment ref="B31" authorId="13" shapeId="0" xr:uid="{F57822BF-3C5A-3E44-BE98-444D0BD9AD5F}">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FORMACIÓN INTEGRAL PRIMERA INFANCIA</t>
      </text>
    </comment>
    <comment ref="B32" authorId="14" shapeId="0" xr:uid="{F46272F5-E0DC-0945-A3CF-2A628F7E119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DESARROLLO DE PROGRAMAS RECREATIVOS
</t>
      </text>
    </comment>
    <comment ref="B33" authorId="15" shapeId="0" xr:uid="{98758041-09B5-BC4C-850A-B97A88686629}">
      <text>
        <t>[Comentario encadenado]
Su versión de Excel le permite leer este comentario encadenado; sin embargo, las ediciones que se apliquen se quitarán si el archivo se abre en una versión más reciente de Excel. Más información: https://go.microsoft.com/fwlink/?linkid=870924
Comentario:
    SAF</t>
      </text>
    </comment>
    <comment ref="B39" authorId="16" shapeId="0" xr:uid="{70D3A22E-F604-DF44-B8D9-52516F30F192}">
      <text>
        <t>[Comentario encadenado]
Su versión de Excel le permite leer este comentario encadenado; sin embargo, las ediciones que se apliquen se quitarán si el archivo se abre en una versión más reciente de Excel. Más información: https://go.microsoft.com/fwlink/?linkid=870924
Comentario:
    IMPLEMENTACIÓN DEPORTIVA</t>
      </text>
    </comment>
    <comment ref="B40" authorId="17" shapeId="0" xr:uid="{7E046F01-C731-114A-A8A2-291567F6402A}">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FORMACIÓN INTEGRAL PRIMERA INFANCIA</t>
      </text>
    </comment>
    <comment ref="B41" authorId="18" shapeId="0" xr:uid="{9ABDB42A-8F9C-FB4F-A937-C210EFC8C65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DESARROLLO DE PROGRAMAS RECREATIVOS
</t>
      </text>
    </comment>
    <comment ref="B42" authorId="19" shapeId="0" xr:uid="{A1FAC538-D3BB-BB44-B8E9-6CA2B0E1FE3C}">
      <text>
        <t>[Comentario encadenado]
Su versión de Excel le permite leer este comentario encadenado; sin embargo, las ediciones que se apliquen se quitarán si el archivo se abre en una versión más reciente de Excel. Más información: https://go.microsoft.com/fwlink/?linkid=870924
Comentario:
    SAF</t>
      </text>
    </comment>
    <comment ref="B48" authorId="20" shapeId="0" xr:uid="{B4009FD2-D467-A247-8BFE-58BD906F895A}">
      <text>
        <t>[Comentario encadenado]
Su versión de Excel le permite leer este comentario encadenado; sin embargo, las ediciones que se apliquen se quitarán si el archivo se abre en una versión más reciente de Excel. Más información: https://go.microsoft.com/fwlink/?linkid=870924
Comentario:
    IMPLEMENTACIÓN DEPORTIVA</t>
      </text>
    </comment>
    <comment ref="B49" authorId="21" shapeId="0" xr:uid="{73DDE9D8-2208-034E-A03F-35A4E3CBDE08}">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FORMACIÓN INTEGRAL PRIMERA INFANCIA</t>
      </text>
    </comment>
    <comment ref="B50" authorId="22" shapeId="0" xr:uid="{43B45153-5E04-C141-B2E5-63C290D16124}">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DESARROLLO DE PROGRAMAS RECREATIVOS
</t>
      </text>
    </comment>
    <comment ref="B51" authorId="23" shapeId="0" xr:uid="{14EB3A0E-3B00-B346-974A-6DC599668669}">
      <text>
        <t>[Comentario encadenado]
Su versión de Excel le permite leer este comentario encadenado; sin embargo, las ediciones que se apliquen se quitarán si el archivo se abre en una versión más reciente de Excel. Más información: https://go.microsoft.com/fwlink/?linkid=870924
Comentario:
    SAF</t>
      </text>
    </comment>
    <comment ref="B57" authorId="24" shapeId="0" xr:uid="{D836C2D6-E0B3-4647-B10B-8DAF648B7852}">
      <text>
        <t>[Comentario encadenado]
Su versión de Excel le permite leer este comentario encadenado; sin embargo, las ediciones que se apliquen se quitarán si el archivo se abre en una versión más reciente de Excel. Más información: https://go.microsoft.com/fwlink/?linkid=870924
Comentario:
    IMPLEMENTACIÓN DEPORTIVA</t>
      </text>
    </comment>
    <comment ref="B58" authorId="25" shapeId="0" xr:uid="{57F28E6E-0ACE-8C4C-A549-5BB9BFA3CE51}">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FORMACIÓN INTEGRAL PRIMERA INFANCIA</t>
      </text>
    </comment>
    <comment ref="B59" authorId="26" shapeId="0" xr:uid="{A1A8FEE8-85A2-9D42-A2C0-B7AB5A048B36}">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DESARROLLO DE PROGRAMAS RECREATIVOS
</t>
      </text>
    </comment>
    <comment ref="B60" authorId="27" shapeId="0" xr:uid="{1228252C-7568-4749-8C1E-DE0083CFC04D}">
      <text>
        <t>[Comentario encadenado]
Su versión de Excel le permite leer este comentario encadenado; sin embargo, las ediciones que se apliquen se quitarán si el archivo se abre en una versión más reciente de Excel. Más información: https://go.microsoft.com/fwlink/?linkid=870924
Comentario:
    SAF</t>
      </text>
    </comment>
    <comment ref="C60" authorId="28" shapeId="0" xr:uid="{688CB70A-9A32-A843-BE71-A912628494C0}">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RP 3607 DE ABRIL 
</t>
      </text>
    </comment>
    <comment ref="B66" authorId="29" shapeId="0" xr:uid="{6DE0F575-88AD-CB4E-91C4-F2AEB9ADAF0B}">
      <text>
        <t>[Comentario encadenado]
Su versión de Excel le permite leer este comentario encadenado; sin embargo, las ediciones que se apliquen se quitarán si el archivo se abre en una versión más reciente de Excel. Más información: https://go.microsoft.com/fwlink/?linkid=870924
Comentario:
    IMPLEMENTACIÓN DEPORTIVA</t>
      </text>
    </comment>
    <comment ref="B67" authorId="30" shapeId="0" xr:uid="{095F6D25-FD17-9041-B49F-4514D5A8F7FE}">
      <text>
        <t>[Comentario encadenado]
Su versión de Excel le permite leer este comentario encadenado; sin embargo, las ediciones que se apliquen se quitarán si el archivo se abre en una versión más reciente de Excel. Más información: https://go.microsoft.com/fwlink/?linkid=870924
Comentario:
    FORMACIÓN INTEGRAL PRIMERA INFANCIA</t>
      </text>
    </comment>
    <comment ref="B68" authorId="31" shapeId="0" xr:uid="{58681B66-AAF4-8748-9304-54BE42EE01C3}">
      <text>
        <t xml:space="preserve">[Comentario encadenado]
Su versión de Excel le permite leer este comentario encadenado; sin embargo, las ediciones que se apliquen se quitarán si el archivo se abre en una versión más reciente de Excel. Más información: https://go.microsoft.com/fwlink/?linkid=870924
Comentario:
    DESARROLLO DE PROGRAMAS RECREATIVOS
</t>
      </text>
    </comment>
    <comment ref="B69" authorId="32" shapeId="0" xr:uid="{9CAA054F-261F-A241-9ED8-AE6377C972A4}">
      <text>
        <t>[Comentario encadenado]
Su versión de Excel le permite leer este comentario encadenado; sin embargo, las ediciones que se apliquen se quitarán si el archivo se abre en una versión más reciente de Excel. Más información: https://go.microsoft.com/fwlink/?linkid=870924
Comentario:
    SAF</t>
      </text>
    </comment>
  </commentList>
</comments>
</file>

<file path=xl/sharedStrings.xml><?xml version="1.0" encoding="utf-8"?>
<sst xmlns="http://schemas.openxmlformats.org/spreadsheetml/2006/main" count="5179" uniqueCount="521">
  <si>
    <t>ZONA NORTE</t>
  </si>
  <si>
    <t>RUTAS CICLOVÍA 40 M3</t>
  </si>
  <si>
    <t>LUDICA CICLOVÍA, ESCUELA DE LA BICI, ADICIONALES 25 M3</t>
  </si>
  <si>
    <t>CONOS CICLOVÍA 25 M3</t>
  </si>
  <si>
    <t>CORREDOR</t>
  </si>
  <si>
    <t># OPERARIOS</t>
  </si>
  <si>
    <t># CAMIONES</t>
  </si>
  <si>
    <t>MODELO</t>
  </si>
  <si>
    <t>DISPONIBILIDAD</t>
  </si>
  <si>
    <t>TIPO DE SERVICIO</t>
  </si>
  <si>
    <t>$</t>
  </si>
  <si>
    <t>ZONA</t>
  </si>
  <si>
    <t>NORTE 1</t>
  </si>
  <si>
    <t>CENTRO</t>
  </si>
  <si>
    <t xml:space="preserve">CENTRO 5 CAMION 1 UNICONOS </t>
  </si>
  <si>
    <t>NORTE 2</t>
  </si>
  <si>
    <t>CAMIONETA FURGONADA PENDONES CALLE 26</t>
  </si>
  <si>
    <t xml:space="preserve">CENTRO 5 CAMION 2 UNICONOS </t>
  </si>
  <si>
    <t>NORTE 3</t>
  </si>
  <si>
    <t xml:space="preserve">CENTRO 4 CAMION 3 UNICONOS </t>
  </si>
  <si>
    <t>NORTE 4</t>
  </si>
  <si>
    <t>NORTE 5 ZONA 1</t>
  </si>
  <si>
    <t>OPERARIOS ADICIONALES</t>
  </si>
  <si>
    <t>RUTAS CICLOVÍA 25 M3</t>
  </si>
  <si>
    <t>APOYO CICLOVÍA</t>
  </si>
  <si>
    <t>NA</t>
  </si>
  <si>
    <t>ATN CICLOVÍA, ESCUELA DE LA BICI, ADICIONALES 40 M3</t>
  </si>
  <si>
    <t xml:space="preserve">CAMIONETA 4 X4 DOBLE CABINA CON PLATON </t>
  </si>
  <si>
    <t>NORTE</t>
  </si>
  <si>
    <t>valor total</t>
  </si>
  <si>
    <t>ZONA CENTRO</t>
  </si>
  <si>
    <t>SUR</t>
  </si>
  <si>
    <t>TOTAL</t>
  </si>
  <si>
    <t>CENTRO 1</t>
  </si>
  <si>
    <t>CENTRO 2</t>
  </si>
  <si>
    <t>CENTRO 4</t>
  </si>
  <si>
    <t>CENTRO 5</t>
  </si>
  <si>
    <t>CENTRO 3 ZONA 1</t>
  </si>
  <si>
    <t>CENTRO 3 ZONA 2</t>
  </si>
  <si>
    <t xml:space="preserve">CENTRO 6 ZONA 1 </t>
  </si>
  <si>
    <t>ZONA SUR</t>
  </si>
  <si>
    <t xml:space="preserve"> SUR 1 ZONA 1 </t>
  </si>
  <si>
    <t xml:space="preserve"> SUR 1 ZONA 2</t>
  </si>
  <si>
    <t>SUR 1 MALETINES</t>
  </si>
  <si>
    <t xml:space="preserve">SUR 3 ZONA 1 </t>
  </si>
  <si>
    <t xml:space="preserve">SUR 3 ZONA 2 </t>
  </si>
  <si>
    <t>GRAN TOTAL OPERA</t>
  </si>
  <si>
    <t>GRAN TOTAL CAMIONES</t>
  </si>
  <si>
    <t>VALOR $</t>
  </si>
  <si>
    <t>OTRAS NOVEDADES  DE JORNADA</t>
  </si>
  <si>
    <t xml:space="preserve">     
Apoyan Guardaines ATN Norte 4, Norte 2 y Norte 3
Apoan Guardianes ATN Norte 1, Centro 1 y Centro 5
Apoyan Guardianes ATN Centro 4, Centro 3 y Sur 3
Apoyan Guardianes ATN Sur 1, Sur 2 y Centro 2</t>
  </si>
  <si>
    <t>TIPO DE DISPONIBILIDAD</t>
  </si>
  <si>
    <t>OPERARIOS</t>
  </si>
  <si>
    <t>1.</t>
  </si>
  <si>
    <t>C</t>
  </si>
  <si>
    <t>1 SENCILLO 15H 4OP</t>
  </si>
  <si>
    <t>.</t>
  </si>
  <si>
    <t>2.</t>
  </si>
  <si>
    <t>2 SENCILLO 15H 3OP</t>
  </si>
  <si>
    <t>3.</t>
  </si>
  <si>
    <t>3 SENCILLO 15H 2OP</t>
  </si>
  <si>
    <t>4.</t>
  </si>
  <si>
    <t>4 SENCILLO 15H 1OP</t>
  </si>
  <si>
    <t>5.</t>
  </si>
  <si>
    <t>5 SENCILLO 15H 0OP</t>
  </si>
  <si>
    <t>6.</t>
  </si>
  <si>
    <t>M</t>
  </si>
  <si>
    <t>6 SENCILLO M 4OP</t>
  </si>
  <si>
    <t>7.</t>
  </si>
  <si>
    <t>7 SENCILLO M 3OP</t>
  </si>
  <si>
    <t>8.</t>
  </si>
  <si>
    <t>8 SENCILLO M 2OP</t>
  </si>
  <si>
    <t>9.</t>
  </si>
  <si>
    <t>9 SENCILLO M 1OP</t>
  </si>
  <si>
    <t>10.</t>
  </si>
  <si>
    <t>10 SENCILLO M 0OP</t>
  </si>
  <si>
    <t>11.</t>
  </si>
  <si>
    <t>R</t>
  </si>
  <si>
    <t>11 SENCILLO R 4OP</t>
  </si>
  <si>
    <t>12.</t>
  </si>
  <si>
    <t>12 SENCILLO R 3OP</t>
  </si>
  <si>
    <t>13.</t>
  </si>
  <si>
    <t>13 SENCILLO R 2OP</t>
  </si>
  <si>
    <t>14.</t>
  </si>
  <si>
    <t>14 SENCILLO R 1OP</t>
  </si>
  <si>
    <t>15.</t>
  </si>
  <si>
    <t>15 SENCILLO R 0OP</t>
  </si>
  <si>
    <t>25m³-15H-4OP</t>
  </si>
  <si>
    <t>16.</t>
  </si>
  <si>
    <t>16 TURBO 15H 4OP</t>
  </si>
  <si>
    <t>25m³-15H-3OP</t>
  </si>
  <si>
    <t>17.</t>
  </si>
  <si>
    <t>17 TURBO 15H 3OP</t>
  </si>
  <si>
    <t>25m³-15H-2OP</t>
  </si>
  <si>
    <t>18.</t>
  </si>
  <si>
    <t>18 TURBO 15H 2OP</t>
  </si>
  <si>
    <t>25m³-15H-1OP</t>
  </si>
  <si>
    <t>19.</t>
  </si>
  <si>
    <t>19 TURBO 15H 1OP</t>
  </si>
  <si>
    <t>25m³-15H-0OP</t>
  </si>
  <si>
    <t>20.</t>
  </si>
  <si>
    <t>20 TURBO 15H 0OP</t>
  </si>
  <si>
    <t>25m³-9H-4OP</t>
  </si>
  <si>
    <t>21.</t>
  </si>
  <si>
    <t>21 TURBO M 4OP</t>
  </si>
  <si>
    <t>25m³-9H-3OP</t>
  </si>
  <si>
    <t>22.</t>
  </si>
  <si>
    <t>22 TURBO M 3OP</t>
  </si>
  <si>
    <t>25m³-9H-2OP</t>
  </si>
  <si>
    <t>23.</t>
  </si>
  <si>
    <t>23 TURBO M 2OP</t>
  </si>
  <si>
    <t>25m³-9H-1OP</t>
  </si>
  <si>
    <t>24.</t>
  </si>
  <si>
    <t>24 TURBO M 1OP</t>
  </si>
  <si>
    <t>25m³-9H-0OP</t>
  </si>
  <si>
    <t>25.</t>
  </si>
  <si>
    <t>25 TURBO M 0OP</t>
  </si>
  <si>
    <t>25m³-4H-4OP</t>
  </si>
  <si>
    <t>26.</t>
  </si>
  <si>
    <t>26 TURBO R 4OP</t>
  </si>
  <si>
    <t>25m³-4H-3OP</t>
  </si>
  <si>
    <t>27.</t>
  </si>
  <si>
    <t>27 TURBO R 3OP</t>
  </si>
  <si>
    <t>25m³-4H-2OP</t>
  </si>
  <si>
    <t>28.</t>
  </si>
  <si>
    <t>28 TURBO R 2OP</t>
  </si>
  <si>
    <t>25m³-4H-1OP</t>
  </si>
  <si>
    <t>29.</t>
  </si>
  <si>
    <t>29 TURBO R 1OP</t>
  </si>
  <si>
    <t>25m³-4H-0OP</t>
  </si>
  <si>
    <t>30.</t>
  </si>
  <si>
    <t>30 TURBO R 0OP</t>
  </si>
  <si>
    <t>FURGON-15H</t>
  </si>
  <si>
    <t>31.</t>
  </si>
  <si>
    <t>31 FURGONADA C</t>
  </si>
  <si>
    <t>FURGON-9H</t>
  </si>
  <si>
    <t>32.</t>
  </si>
  <si>
    <t>32 FURGONADA M</t>
  </si>
  <si>
    <t>FURGON-4H</t>
  </si>
  <si>
    <t>33.</t>
  </si>
  <si>
    <t>33 FURGONADA R</t>
  </si>
  <si>
    <t>4X4-15H</t>
  </si>
  <si>
    <t>34.</t>
  </si>
  <si>
    <t>34 4X4 C</t>
  </si>
  <si>
    <t>4X4-9H</t>
  </si>
  <si>
    <t>35.</t>
  </si>
  <si>
    <t>35 4X4 M</t>
  </si>
  <si>
    <t>4X4-4H</t>
  </si>
  <si>
    <t>36.</t>
  </si>
  <si>
    <t>36 4X4 R</t>
  </si>
  <si>
    <t>MONTACARGA-15H</t>
  </si>
  <si>
    <t>37.</t>
  </si>
  <si>
    <t>37 MONTACARGA C</t>
  </si>
  <si>
    <t>MONTACARGA-1H</t>
  </si>
  <si>
    <t>38.</t>
  </si>
  <si>
    <t>H</t>
  </si>
  <si>
    <t>38 MONTACARGA H</t>
  </si>
  <si>
    <t>GRUA-15H-</t>
  </si>
  <si>
    <t>39.</t>
  </si>
  <si>
    <t>39 GRUA C</t>
  </si>
  <si>
    <t>GRUA-1H</t>
  </si>
  <si>
    <t>40.</t>
  </si>
  <si>
    <t>40 GRUA H</t>
  </si>
  <si>
    <t>41.</t>
  </si>
  <si>
    <t>42.</t>
  </si>
  <si>
    <t>43.</t>
  </si>
  <si>
    <t>44.</t>
  </si>
  <si>
    <t>45.</t>
  </si>
  <si>
    <t>46.</t>
  </si>
  <si>
    <t>SUR 2</t>
  </si>
  <si>
    <t xml:space="preserve">SUR 2 CANECAS 1 </t>
  </si>
  <si>
    <t>SUR 2 CANECAS 2</t>
  </si>
  <si>
    <t>SUR 2 CANECAS 3</t>
  </si>
  <si>
    <t>SUR 2 CANECAS 4</t>
  </si>
  <si>
    <t>FECHA</t>
  </si>
  <si>
    <t>CAMIONES</t>
  </si>
  <si>
    <t>OPERARIOS 
ADICIONALES</t>
  </si>
  <si>
    <t>JORNADA</t>
  </si>
  <si>
    <t>DESCRIPCION DEL DESCUENTO</t>
  </si>
  <si>
    <t>VALOR TOTAL CAMIONES</t>
  </si>
  <si>
    <t>VALOR OPERARIOS ADICIONALES</t>
  </si>
  <si>
    <t>VALOR DESCUENTOS</t>
  </si>
  <si>
    <t>RECREOVÍA</t>
  </si>
  <si>
    <t>ZONA NORTE- CENTRO - SUR</t>
  </si>
  <si>
    <t xml:space="preserve"> </t>
  </si>
  <si>
    <t>DOMINGO - CICLOVIA RUTA</t>
  </si>
  <si>
    <t>DOMINGO - CAMIONES DE CONOS</t>
  </si>
  <si>
    <t>DOMINGO- ESCUELA DE LA BICICLETA</t>
  </si>
  <si>
    <t>CICLOVÍA</t>
  </si>
  <si>
    <t>CICLOVÍA + RECREOVÍA</t>
  </si>
  <si>
    <t>,</t>
  </si>
  <si>
    <t xml:space="preserve">TOTAL </t>
  </si>
  <si>
    <t>VALOR</t>
  </si>
  <si>
    <t>VALOR 
OPERARIOS ADICIONALES</t>
  </si>
  <si>
    <t>TOTAL ZONA NORTE</t>
  </si>
  <si>
    <t>TOTAL ZONA CENTRO</t>
  </si>
  <si>
    <t>TOTAL ZONA SUR</t>
  </si>
  <si>
    <t>VALOR TOTAL</t>
  </si>
  <si>
    <t xml:space="preserve"> TOTAL CICLOVIA</t>
  </si>
  <si>
    <t>TOTAL RECREOVÍA</t>
  </si>
  <si>
    <t>SERVICIOS ADICIONALES</t>
  </si>
  <si>
    <t>RECREOVÍA TOTAL</t>
  </si>
  <si>
    <r>
      <rPr>
        <b/>
        <sz val="15"/>
        <rFont val="Arial"/>
        <family val="2"/>
      </rPr>
      <t xml:space="preserve">FECHA 
</t>
    </r>
    <r>
      <rPr>
        <sz val="11"/>
        <color theme="1"/>
        <rFont val="Calibri"/>
        <family val="2"/>
        <scheme val="minor"/>
      </rPr>
      <t>(Ej. 19-Jul-09)</t>
    </r>
  </si>
  <si>
    <r>
      <rPr>
        <b/>
        <sz val="15"/>
        <rFont val="Arial"/>
        <family val="2"/>
      </rPr>
      <t xml:space="preserve">HORA INICIO
</t>
    </r>
    <r>
      <rPr>
        <sz val="11"/>
        <color theme="1"/>
        <rFont val="Calibri"/>
        <family val="2"/>
        <scheme val="minor"/>
      </rPr>
      <t>(Hora Militar)</t>
    </r>
  </si>
  <si>
    <r>
      <rPr>
        <b/>
        <sz val="15"/>
        <rFont val="Arial"/>
        <family val="2"/>
      </rPr>
      <t xml:space="preserve">HORA FINAL
</t>
    </r>
    <r>
      <rPr>
        <sz val="11"/>
        <color theme="1"/>
        <rFont val="Calibri"/>
        <family val="2"/>
        <scheme val="minor"/>
      </rPr>
      <t>(Hora Militar)</t>
    </r>
  </si>
  <si>
    <r>
      <rPr>
        <b/>
        <sz val="15"/>
        <rFont val="Arial"/>
        <family val="2"/>
      </rPr>
      <t xml:space="preserve">EVENTO
</t>
    </r>
    <r>
      <rPr>
        <sz val="11"/>
        <color theme="1"/>
        <rFont val="Calibri"/>
        <family val="2"/>
        <scheme val="minor"/>
      </rPr>
      <t>(Como aparece en el plan de acción)</t>
    </r>
  </si>
  <si>
    <t>LUGAR Y DIRECCION</t>
  </si>
  <si>
    <r>
      <t xml:space="preserve">PROYECTO DE INVERSIÓN
</t>
    </r>
    <r>
      <rPr>
        <sz val="11"/>
        <color theme="1"/>
        <rFont val="Calibri"/>
        <family val="2"/>
        <scheme val="minor"/>
      </rPr>
      <t>(Como aparece en el plan de acción)</t>
    </r>
  </si>
  <si>
    <t>PROGRAMA</t>
  </si>
  <si>
    <t>Disponibilidad</t>
  </si>
  <si>
    <t>Tipo de servicio</t>
  </si>
  <si>
    <t>valor</t>
  </si>
  <si>
    <t>X</t>
  </si>
  <si>
    <t xml:space="preserve"> TOTAL SERVICIOS ADICIONALES</t>
  </si>
  <si>
    <t xml:space="preserve">GRAN TOTAL: </t>
  </si>
  <si>
    <t>Firma</t>
  </si>
  <si>
    <t xml:space="preserve">Elaborado por: </t>
  </si>
  <si>
    <t xml:space="preserve">Mauricio Orlando Novoa Montenegro - Luis Fernando Martínez Nieto </t>
  </si>
  <si>
    <t>RP</t>
  </si>
  <si>
    <t>RUBRO</t>
  </si>
  <si>
    <t xml:space="preserve">VALOR RP </t>
  </si>
  <si>
    <t>SALDO</t>
  </si>
  <si>
    <t>TOTAL CONTRATO</t>
  </si>
  <si>
    <t xml:space="preserve">Saldo actual </t>
  </si>
  <si>
    <t>Proyección 7852</t>
  </si>
  <si>
    <t>Cantidad de meses para cubrir</t>
  </si>
  <si>
    <t xml:space="preserve">Fecha para nuevo contrato </t>
  </si>
  <si>
    <t xml:space="preserve">CENTRO </t>
  </si>
  <si>
    <t xml:space="preserve">TRASLADO DE ELEMENTOS </t>
  </si>
  <si>
    <t>2014-2023</t>
  </si>
  <si>
    <t>40m³/50m³ -15H-4OP</t>
  </si>
  <si>
    <t>40m³/50m³ -15H-3OP</t>
  </si>
  <si>
    <t>40m³/50m³-15H-2OP</t>
  </si>
  <si>
    <t>40m³/50m³-15H-1OP</t>
  </si>
  <si>
    <t>40m³/50m³-15H-0OP</t>
  </si>
  <si>
    <t>40m³/50m³-9H-4OP</t>
  </si>
  <si>
    <t>40m³/50m³-9H-3OP</t>
  </si>
  <si>
    <t>40m³/50m³-9H-2OP</t>
  </si>
  <si>
    <t>40m³/50m³-9H-1OP</t>
  </si>
  <si>
    <t>40m³/50m³-9H-0OP</t>
  </si>
  <si>
    <t>40m³/50m³-4H-4OP</t>
  </si>
  <si>
    <t>40m³/50m³-4H-3OP</t>
  </si>
  <si>
    <t>40m³/50m³-4H-2OP</t>
  </si>
  <si>
    <t>40m³/50m³-4H-1OP</t>
  </si>
  <si>
    <t>40m³50m³-4H-0OP</t>
  </si>
  <si>
    <t>OPERARIO-15-H</t>
  </si>
  <si>
    <t>41 OPERARIO 15 H</t>
  </si>
  <si>
    <t>OPERARIO-9-H</t>
  </si>
  <si>
    <t>42 OPERARIO 9 H</t>
  </si>
  <si>
    <t>OPERARIO-4-H</t>
  </si>
  <si>
    <t>43 OPERARIO  4H</t>
  </si>
  <si>
    <t>COORDINADOR X DIA</t>
  </si>
  <si>
    <t>BOGOTA SUMAPAZ 40/50m³ 15H-4OP</t>
  </si>
  <si>
    <t>44 COORD X DIA</t>
  </si>
  <si>
    <t>45 SENCILLO 15H SUMAPAZ 4OP</t>
  </si>
  <si>
    <t>46 SENCILLO 15H FUNZA 4OP</t>
  </si>
  <si>
    <t>BOGOTA FUNZA 40/50m³ 15H-4OP</t>
  </si>
  <si>
    <t>BOGOTA COTA 40/50m³ 15H-4OP</t>
  </si>
  <si>
    <t>47.</t>
  </si>
  <si>
    <t>48.</t>
  </si>
  <si>
    <t>49.</t>
  </si>
  <si>
    <t>50.</t>
  </si>
  <si>
    <t>47 SENCILLO 15H COTA 4OP</t>
  </si>
  <si>
    <t>BOGOTA FUSA 40/50m³ 15H-4OP</t>
  </si>
  <si>
    <t>48 SENCILLO 15H FUSA 4OP</t>
  </si>
  <si>
    <t>BOGOTA SOACHA 40/50m³ 15H-4OP</t>
  </si>
  <si>
    <t>49 SENCILLO 15H SOACHA 4OP</t>
  </si>
  <si>
    <t>BOGOTA SOACHA 40/50m³ 9H-4OP</t>
  </si>
  <si>
    <t>50 SENCILLO 09H SOACHA 4OP</t>
  </si>
  <si>
    <t>BOGOTA SUMAPAZ 25m³ 15H-4OP</t>
  </si>
  <si>
    <t>51.</t>
  </si>
  <si>
    <t>51 SENCILLO 15H SUMAPAZ 4OP</t>
  </si>
  <si>
    <t>BOGOTA FUNZA 25m³ 15H-4OP</t>
  </si>
  <si>
    <t>52.</t>
  </si>
  <si>
    <t>52 SENCILLO 15H FUNZA 4OP</t>
  </si>
  <si>
    <t>BOGOTA COTA 25m³ 15H-4OP</t>
  </si>
  <si>
    <t>53.</t>
  </si>
  <si>
    <t>53 SENCILLO 15H COTA 4OP</t>
  </si>
  <si>
    <t>BOGOTA FUSA 25m³ 15H-4OP</t>
  </si>
  <si>
    <t>54.</t>
  </si>
  <si>
    <t>BOGOTA SOACHA 25m³ 15H-4OP</t>
  </si>
  <si>
    <t>55.</t>
  </si>
  <si>
    <t>BOGOTA SOACHA 25m³ 9H-4OP</t>
  </si>
  <si>
    <t>56.</t>
  </si>
  <si>
    <t>54 SENCILLO 15H FUSA 4OP</t>
  </si>
  <si>
    <t>55 SENCILLO 15H SOACHA 4OP</t>
  </si>
  <si>
    <t>56 SENCILLO 09H SOACHA 4OP</t>
  </si>
  <si>
    <t>57.</t>
  </si>
  <si>
    <t>58.</t>
  </si>
  <si>
    <t>59.</t>
  </si>
  <si>
    <t>60.</t>
  </si>
  <si>
    <t>61.</t>
  </si>
  <si>
    <t>62.</t>
  </si>
  <si>
    <t>BOGOTA SUMAPAZ FURGONADA-15H</t>
  </si>
  <si>
    <t>BOGOTA FUNZA FURGONADA-15H</t>
  </si>
  <si>
    <t>BOGOTA COTA FURGONADA-15H</t>
  </si>
  <si>
    <t>BOGOTA FUSA FURGONADA-15H</t>
  </si>
  <si>
    <t>BOGOTA SOACHA FURGONADA-15H</t>
  </si>
  <si>
    <t>BOGOTA SOACHA FURGONADA-09H</t>
  </si>
  <si>
    <t>BOGOTA SUMAPAPAZ 4X4 15H</t>
  </si>
  <si>
    <t>63.</t>
  </si>
  <si>
    <t>BOGOTA FUNZA 4X4 15H</t>
  </si>
  <si>
    <t>64.</t>
  </si>
  <si>
    <t>BOGOTA COTA 4X4 15H</t>
  </si>
  <si>
    <t>65.</t>
  </si>
  <si>
    <t>BOGOTA FUSA 4X4 15H</t>
  </si>
  <si>
    <t>66.</t>
  </si>
  <si>
    <t>BOGOTA SOACHA 4X4 15H</t>
  </si>
  <si>
    <t>67.</t>
  </si>
  <si>
    <t>BOGOTA SOACHA 4X4 09H</t>
  </si>
  <si>
    <t>68.</t>
  </si>
  <si>
    <t>ESPECIAL CARGO S.A.S- IDRD 2023 ZONA NORTE-CENTRO-SUR</t>
  </si>
  <si>
    <t xml:space="preserve">6 OPERARIOS-15-H </t>
  </si>
  <si>
    <t>69.</t>
  </si>
  <si>
    <t xml:space="preserve">8 OPERARIOS-15-H </t>
  </si>
  <si>
    <t xml:space="preserve">10 OPERARIOS-15-H </t>
  </si>
  <si>
    <t xml:space="preserve">6 OPERARIOS-09-H </t>
  </si>
  <si>
    <t xml:space="preserve">8 OPERARIOS-09-H </t>
  </si>
  <si>
    <t xml:space="preserve">10 OPERARIOS-09-H </t>
  </si>
  <si>
    <t xml:space="preserve">6 OPERARIOS-04-H </t>
  </si>
  <si>
    <t xml:space="preserve">8 OPERARIOS-04-H </t>
  </si>
  <si>
    <t>70.</t>
  </si>
  <si>
    <t>71.</t>
  </si>
  <si>
    <t>72.</t>
  </si>
  <si>
    <t>73.</t>
  </si>
  <si>
    <t>74.</t>
  </si>
  <si>
    <t>75.</t>
  </si>
  <si>
    <t>76.</t>
  </si>
  <si>
    <t>77.</t>
  </si>
  <si>
    <t>57 BOGOTA SUMAPAZ FURGONADA 15H</t>
  </si>
  <si>
    <t>58 BOGOTA FUNZA FURGONADA 15H</t>
  </si>
  <si>
    <t>59 BOGOTA COTA FURGONADA 15H</t>
  </si>
  <si>
    <t>60 BOGOTA FUSA FURGONADA 15H</t>
  </si>
  <si>
    <t>61 BOGOTA SOACHA FURGONADA 15H</t>
  </si>
  <si>
    <t>62 BOGOTA SOACHA FURGONADA 09H</t>
  </si>
  <si>
    <t>63 BOGOTA SUMAPAZ 4X4 15H</t>
  </si>
  <si>
    <t>64 BOGOTA FUNZA 4X4 15H</t>
  </si>
  <si>
    <t>65 BOGOTA COTA 4X4 15H</t>
  </si>
  <si>
    <t>66 BOGOTA FUSA 4X4 15H</t>
  </si>
  <si>
    <t>67 BOGOTA SOACHA 4X4 15H</t>
  </si>
  <si>
    <t>68 BOGOTA SOACHA 4X4 09H</t>
  </si>
  <si>
    <t>69 6 OPERARIOS 15H</t>
  </si>
  <si>
    <t>70 8 OPERARIOS 15H</t>
  </si>
  <si>
    <t>71 10 OPERARIOS 15H</t>
  </si>
  <si>
    <t>72 6 OPERARIOS 9H</t>
  </si>
  <si>
    <t>73 8 OPERARIOS 9H</t>
  </si>
  <si>
    <t>74 10 OPERARIOS 9H</t>
  </si>
  <si>
    <t>75 6 OPERARIOS 4H</t>
  </si>
  <si>
    <t>76 8 OPERARIOS 4H</t>
  </si>
  <si>
    <t xml:space="preserve">10 OPERARIOS-04H-10OP </t>
  </si>
  <si>
    <t xml:space="preserve">77.10 OPERARIOS-04H-10OP </t>
  </si>
  <si>
    <t>1.CAMION TIPO40/50m³-15 HORAS-04 OP</t>
  </si>
  <si>
    <t>2.CAMION TIPO40/50m³-15 HORAS-03 OP</t>
  </si>
  <si>
    <t>3.CAMION TIPO40/50m³-15 HORAS-02 OP</t>
  </si>
  <si>
    <t>4.CAMION TIPO40/50m³-15 HORAS-01 OP</t>
  </si>
  <si>
    <t>5.CAMION TIPO40/50m³-15 HORAS-00 OP</t>
  </si>
  <si>
    <t>6.CAMION TIPO40/50m³-09 HORAS-04 OP</t>
  </si>
  <si>
    <t>7.CAMION TIPO40/50m³-09 HORAS-03 OP</t>
  </si>
  <si>
    <t>8.CAMION TIPO40/50m³-09 HORAS-02 OP</t>
  </si>
  <si>
    <t>9.CAMION TIPO40/50m³-09 HORAS-01 OP</t>
  </si>
  <si>
    <t>10.CAMION TIPO40/50m³-09 HORAS-00 OP</t>
  </si>
  <si>
    <t>11.CAMION TIPO40/50m³-04 HORAS-04 OP</t>
  </si>
  <si>
    <t>12.CAMION TIPO40/50m³-04 HORAS-03 OP</t>
  </si>
  <si>
    <t>13.CAMION TIPO40/50m³-04 HORAS-02 OP</t>
  </si>
  <si>
    <t>14.CAMION TIPO40/50m³-04 HORAS-01 OP</t>
  </si>
  <si>
    <t>15.CAMION TIPO40/50m³-04 HORAS-00 OP</t>
  </si>
  <si>
    <t>16.CAMION TIPO25m³-15 HORAS-04 OP</t>
  </si>
  <si>
    <t>17.CAMION TIPO25m³-15 HORAS-03 OP</t>
  </si>
  <si>
    <t>18.CAMION TIPO25m³-15 HORAS-02 OP</t>
  </si>
  <si>
    <t>19.CAMION TIPO25m³-15 HORAS-01 OP</t>
  </si>
  <si>
    <t>20.CAMION TIPO25m³-15 HORAS-00 OP</t>
  </si>
  <si>
    <t>21.CAMION TIPO25m³-09 HORAS-04 OP</t>
  </si>
  <si>
    <t>22.CAMION TIPO25m³-09 HORAS-03 OP</t>
  </si>
  <si>
    <t>23.CAMION TIPO25m³-09 HORAS-02 OP</t>
  </si>
  <si>
    <t>24.CAMION TIPO25m³-09 HORAS-01 OP</t>
  </si>
  <si>
    <t>25.CAMION TIPO25m³-09 HORAS-00 OP</t>
  </si>
  <si>
    <t>26.CAMION TIPO25m³-04 HORAS-04 OP</t>
  </si>
  <si>
    <t>27.CAMION TIPO25m³-04 HORAS-03 OP</t>
  </si>
  <si>
    <t>28.CAMION TIPO25m³-04 HORAS-02 OP</t>
  </si>
  <si>
    <t>29.CAMION TIPO25m³-04 HORAS-01 OP</t>
  </si>
  <si>
    <t>30.CAMION TIPO25m³-04 HORAS-00 OP</t>
  </si>
  <si>
    <t xml:space="preserve">NORTE 5 ZONA 2 </t>
  </si>
  <si>
    <t>NORTE 1 CONOS</t>
  </si>
  <si>
    <t xml:space="preserve">CENTRO 6 ZONA 2 </t>
  </si>
  <si>
    <t xml:space="preserve">CAMION 1 </t>
  </si>
  <si>
    <t xml:space="preserve">ESCUELA </t>
  </si>
  <si>
    <t>CAMION 3</t>
  </si>
  <si>
    <t>2014-2024</t>
  </si>
  <si>
    <t>2014-2026</t>
  </si>
  <si>
    <t xml:space="preserve">ADICIÓN </t>
  </si>
  <si>
    <t>COORDINADOR ZONA NORTE</t>
  </si>
  <si>
    <t>COORDINADOR ZONA CENTRO</t>
  </si>
  <si>
    <t xml:space="preserve">COORDINADOR ZONA SUR </t>
  </si>
  <si>
    <t xml:space="preserve">NORTE 1 CONTRAFLUJOS </t>
  </si>
  <si>
    <t>31.CAMION TIPOFURGON-15 HORAS-03 OP</t>
  </si>
  <si>
    <t>32.CAMION TIPOFURGON-15 HORAS-02 OP</t>
  </si>
  <si>
    <t>33.CAMION TIPOFURGON-15 HORAS-01 OP</t>
  </si>
  <si>
    <t>34.CAMION TIPOFURGON-09 HORAS-03 OP</t>
  </si>
  <si>
    <t>35.CAMION TIPOFURGON-09 HORAS-02 OP</t>
  </si>
  <si>
    <t>36.CAMION TIPOFURGON-09 HORAS-01 OP</t>
  </si>
  <si>
    <t>37.CAMION TIPOFURGON-04 HORAS-03 OP</t>
  </si>
  <si>
    <t>38.CAMION TIPOFURGON-04 HORAS-02 OP</t>
  </si>
  <si>
    <t>39.CAMION TIPOFURGON-04 HORAS-01 OP</t>
  </si>
  <si>
    <t>40.4X4-15 HORAS-00 OP</t>
  </si>
  <si>
    <t>41.4X4-09 HORAS-00 OP</t>
  </si>
  <si>
    <t>42.4X4-04 HORAS-00 OP</t>
  </si>
  <si>
    <t>43.MONTACARGA-15 HORAS-00 OP</t>
  </si>
  <si>
    <t>44.MONTACARGA-01 HORAS-00 OP</t>
  </si>
  <si>
    <t>45.GRUA-15 HORAS-00 OP</t>
  </si>
  <si>
    <t>46.GRUA-01 HORAS-00 OP</t>
  </si>
  <si>
    <t>47.OPERARIO-15 HORAS-00 OP</t>
  </si>
  <si>
    <t>48.OPERARIO-09 HORAS-00 OP</t>
  </si>
  <si>
    <t>49.OPERARIO-04 HORAS-00 OP</t>
  </si>
  <si>
    <t>50. COORD X DIA</t>
  </si>
  <si>
    <t>51.BOGOTA-SUMAPAZ-40/50m³ -15 HORAS-04 OP</t>
  </si>
  <si>
    <t>52.BOGOTA-FUNZA-40/50m³ -15 HORAS-04 OP</t>
  </si>
  <si>
    <t>53.BOGOTA-COTA-40/50m³ -15 HORAS-04 OP</t>
  </si>
  <si>
    <t>54.BOGOTA-FUSA-40/50m³ -15 HORAS-04 OP</t>
  </si>
  <si>
    <t>55.BOGOTA-SOACHA-40/50m³ -15 HORAS-04 OP</t>
  </si>
  <si>
    <t>56.BOGOTA-SOACHA-40/50m³ -09 HORAS-04 OP</t>
  </si>
  <si>
    <t>57.BOGOTA-SUMAPAZ-25m³ -15 HORAS-04 OP</t>
  </si>
  <si>
    <t>58.BOGOTA-FUNZA-25m³ -15 HORAS-04 OP</t>
  </si>
  <si>
    <t>59.BOGOTA-COTA-25m³ -15 HORAS-04 OP</t>
  </si>
  <si>
    <t>60.BOGOTA-FUSA-25m³ -15 HORAS-04 OP</t>
  </si>
  <si>
    <t>61.BOGOTA-SOACHA-25m³ -15 HORAS-04 OP</t>
  </si>
  <si>
    <t>62.BOGOTA-SOACHA-25m³ -09 HORAS-04 OP</t>
  </si>
  <si>
    <t>63.BOGOTA-SUMAPAZ FURGONADA 15 HORAS-00 PO</t>
  </si>
  <si>
    <t>64.BOGOTA-FUNZA FURGONADA 15 HORAS-00 PO</t>
  </si>
  <si>
    <t>65.BOGOTA-COTA FURGONADA 15 HORAS-00 PO</t>
  </si>
  <si>
    <t>66.BOGOTA-FUSA FURGONADA 15 HORAS-00 PO</t>
  </si>
  <si>
    <t>67.BOGOTA-SOACHA FURGONADA 15 HORAS-00 PO</t>
  </si>
  <si>
    <t>68.BOGOTA-SOACHA FURGONADA 09 HORAS-00 PO</t>
  </si>
  <si>
    <t>69.BOGOTA-SUMAPAZ 4X4 15 HORAS-00 PO</t>
  </si>
  <si>
    <t>70.BOGOTA-FUNZA 4X4 15 HORAS-00 PO</t>
  </si>
  <si>
    <t>71.BOGOTA-COTA 4X4 15 HORAS-00 PO</t>
  </si>
  <si>
    <t>72.BOGOTA-FUSA 4X4 15 HORAS-00 PO</t>
  </si>
  <si>
    <t>73.BOGOTA-SOACHA 4X4 15 HORAS-00 PO</t>
  </si>
  <si>
    <t>74.BOGOTA-SOACHA 4X4 09 HORAS-00 PO</t>
  </si>
  <si>
    <t>75.6-OPERARIOS - 15 HORAS-6 OP</t>
  </si>
  <si>
    <t>76.8-OPERARIOS-15-HORAS-08 OP</t>
  </si>
  <si>
    <t>77.10-OPERARIOS-15-HORAS-10 PO</t>
  </si>
  <si>
    <t>78.</t>
  </si>
  <si>
    <t>78.6-OPERARIOS-09-HORAS-06 OP</t>
  </si>
  <si>
    <t>79.</t>
  </si>
  <si>
    <t>79.8-OPERARIOS-09-HORAS-08 PO</t>
  </si>
  <si>
    <t>80.</t>
  </si>
  <si>
    <t>80.10-OPERARIOS-09-HORAS-10 OP</t>
  </si>
  <si>
    <t>81.</t>
  </si>
  <si>
    <t>81.6-OPERARIOS-04-HORAS-06 OP</t>
  </si>
  <si>
    <t>82.</t>
  </si>
  <si>
    <t>82.8-OPERARIOS-04-HORAS-08 OP</t>
  </si>
  <si>
    <t>83.</t>
  </si>
  <si>
    <t>83.10 OPERARIOS-04 HORAS-10 OP</t>
  </si>
  <si>
    <t>SERVICIO MAYO</t>
  </si>
  <si>
    <t xml:space="preserve">851 SAF </t>
  </si>
  <si>
    <t>6032</t>
  </si>
  <si>
    <t xml:space="preserve">DESARROLLO DE PROGRAMAS RECREATIVOS </t>
  </si>
  <si>
    <t>SERVICIO - RECREACIÓN</t>
  </si>
  <si>
    <t>JULIO</t>
  </si>
  <si>
    <t>AGOSTO</t>
  </si>
  <si>
    <t>NOVIEMBRE</t>
  </si>
  <si>
    <t>DICIEMBRE</t>
  </si>
  <si>
    <t>MARZO</t>
  </si>
  <si>
    <t>ABRIL</t>
  </si>
  <si>
    <t>MAYO</t>
  </si>
  <si>
    <t>JUNIO</t>
  </si>
  <si>
    <t>7007</t>
  </si>
  <si>
    <t xml:space="preserve">PROYECCIÓN 183 </t>
  </si>
  <si>
    <t xml:space="preserve">SERVICIO OCTUBRE </t>
  </si>
  <si>
    <t xml:space="preserve">SERVICIO NOVIEMBRE </t>
  </si>
  <si>
    <t>SERVICIO DICIEMBRE</t>
  </si>
  <si>
    <t>SERVICIO ENERO</t>
  </si>
  <si>
    <t>SERVICIO FEBRERO</t>
  </si>
  <si>
    <t>SERVICIO MARZO</t>
  </si>
  <si>
    <t xml:space="preserve"> SEGUIMIENTO CONTRATO 3778 / 2025</t>
  </si>
  <si>
    <t>SERVICIO ABRIIL</t>
  </si>
  <si>
    <t>SUR 4</t>
  </si>
  <si>
    <t>SUR 5</t>
  </si>
  <si>
    <t>CONSULTAR EL ARCHIVO EN PDF ANEXO.</t>
  </si>
  <si>
    <t>ENERO</t>
  </si>
  <si>
    <t>FEBRERO</t>
  </si>
  <si>
    <t>domingo, 14 de diciembre de 2025</t>
  </si>
  <si>
    <t>IMPLEMENTACIÓN DEPORTIVA</t>
  </si>
  <si>
    <t>CICLOVÍA ALTERNATIVA 1</t>
  </si>
  <si>
    <t xml:space="preserve">7037 </t>
  </si>
  <si>
    <t xml:space="preserve">FORMACIÓN INTEGRAL </t>
  </si>
  <si>
    <t>5119</t>
  </si>
  <si>
    <t xml:space="preserve">SAF </t>
  </si>
  <si>
    <t>CICLOVIA TE CUIDA</t>
  </si>
  <si>
    <r>
      <rPr>
        <b/>
        <sz val="16"/>
        <color rgb="FF000000"/>
        <rFont val="Calibri"/>
        <family val="2"/>
      </rPr>
      <t>MES ABRIL RECREOVIA:</t>
    </r>
    <r>
      <rPr>
        <sz val="16"/>
        <color indexed="8"/>
        <rFont val="Calibri"/>
        <family val="2"/>
      </rPr>
      <t xml:space="preserve"> 
OPERARIOS 4 HORAS 378  - OPERARIOS 9 HORAS 289 - CAMIONES CON 4 OPERARIOS 23 HORAS 16 - CAMIONES  3 OPERARIOS 15 HORAS 0 -  CAMIONES CON 3 OPERARIOS 0 HORAS 0 - CAMION CON 0 OPERARIOS DE 9 HORAS - 0 CAMIONES 4 OPERARIOS 0 HORAS  </t>
    </r>
  </si>
  <si>
    <t>COMPORTAMIENTO VIAL</t>
  </si>
  <si>
    <t xml:space="preserve">PUNTO PREVENCIÓN Y PROMOCIÓN </t>
  </si>
  <si>
    <t>ACTIVIDADES SERVICIO SOCIAL 1</t>
  </si>
  <si>
    <t>ACTIVIDADES SERVICIO SOCIAL 2</t>
  </si>
  <si>
    <t>ACTIVIDADES SERVICIO SOCIAL</t>
  </si>
  <si>
    <t xml:space="preserve">NORTE 6 </t>
  </si>
  <si>
    <t xml:space="preserve">NORTE 6 CONTRAFLUJOS </t>
  </si>
  <si>
    <t>CICLOVÍA EN PATINES</t>
  </si>
  <si>
    <t>SUR 2 CANECAS 1</t>
  </si>
  <si>
    <t xml:space="preserve">CICLOVÍA ALTERNATIVA 1 </t>
  </si>
  <si>
    <r>
      <t>IDRD-SG-3778-2025 ECARGO- CORTE</t>
    </r>
    <r>
      <rPr>
        <b/>
        <sz val="24"/>
        <color rgb="FF000000"/>
        <rFont val="Calibri"/>
        <family val="2"/>
      </rPr>
      <t xml:space="preserve"> DEL 01 DE ABRIL  2026 AL 30 DE ABRIL DE 2026</t>
    </r>
  </si>
  <si>
    <t xml:space="preserve">TRASLADO DE MATERIAL </t>
  </si>
  <si>
    <t>7037</t>
  </si>
  <si>
    <t>domingo, 20 de abril de 2026</t>
  </si>
  <si>
    <t xml:space="preserve">PORTAL TUNAL </t>
  </si>
  <si>
    <t xml:space="preserve">MANZANAS DEL CUIDADO </t>
  </si>
  <si>
    <t>PLAZA DE LOS ARTESANOS -</t>
  </si>
  <si>
    <t xml:space="preserve">PLAZA DE LOS ARTESANOS  </t>
  </si>
  <si>
    <t xml:space="preserve">PLAZA DE ARTESANOS </t>
  </si>
  <si>
    <t xml:space="preserve">IDRD  </t>
  </si>
  <si>
    <t xml:space="preserve">PLAZA DE ARTESANOS  </t>
  </si>
  <si>
    <t xml:space="preserve">PUENTE ARANDA  </t>
  </si>
  <si>
    <t xml:space="preserve">PARQUE TUNAL  </t>
  </si>
  <si>
    <t xml:space="preserve">COMPLEJO ACUATICO  </t>
  </si>
  <si>
    <t xml:space="preserve">UDS JUDO  </t>
  </si>
  <si>
    <t xml:space="preserve">PLAZA DE ARTESANOS JUDO  </t>
  </si>
  <si>
    <t xml:space="preserve">CAYETANO  </t>
  </si>
  <si>
    <t xml:space="preserve">MTB  </t>
  </si>
  <si>
    <t xml:space="preserve">SECRETARÍA DE CULTURA  </t>
  </si>
  <si>
    <t xml:space="preserve">TECHO  </t>
  </si>
  <si>
    <t xml:space="preserve">PUENTE ARADNA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</si>
</sst>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6">
    <numFmt numFmtId="44" formatCode="_-&quot;$&quot;\ * #,##0.00_-;\-&quot;$&quot;\ * #,##0.00_-;_-&quot;$&quot;\ * &quot;-&quot;??_-;_-@_-"/>
    <numFmt numFmtId="164" formatCode="_-&quot;$&quot;* #,##0_-;\-&quot;$&quot;* #,##0_-;_-&quot;$&quot;* &quot;-&quot;_-;_-@_-"/>
    <numFmt numFmtId="165" formatCode="_-&quot;$&quot;* #,##0.00_-;\-&quot;$&quot;* #,##0.00_-;_-&quot;$&quot;* &quot;-&quot;??_-;_-@_-"/>
    <numFmt numFmtId="166" formatCode="[$$-240A]#,##0.00;[Red]\([$$-240A]#,##0.00\)"/>
    <numFmt numFmtId="167" formatCode="[$$-240A]\ #,##0.00_);[Red]\([$$-240A]\ #,##0.00\)"/>
    <numFmt numFmtId="168" formatCode="[$$-240A]\ #,##0.00;[Red][$$-240A]\ #,##0.00"/>
    <numFmt numFmtId="169" formatCode="&quot;$&quot;\ #,##0.00"/>
    <numFmt numFmtId="170" formatCode="[$$-240A]\ #,##0_);[Red]\([$$-240A]\ #,##0\)"/>
    <numFmt numFmtId="171" formatCode="dddd&quot;, &quot;dd&quot; de &quot;mmmm&quot; de &quot;yyyy;@"/>
    <numFmt numFmtId="172" formatCode="h:mm:ss&quot; a.&quot;m&quot;./p.&quot;m\.;@"/>
    <numFmt numFmtId="173" formatCode="[$-F800]dddd\,\ mmmm\ dd\,\ yyyy"/>
    <numFmt numFmtId="174" formatCode="#,##0.00&quot;    &quot;;\-#,##0.00&quot;    &quot;;\-#&quot;    &quot;;@\ "/>
    <numFmt numFmtId="175" formatCode="_(&quot;$&quot;\ * #,##0.00_);_(&quot;$&quot;\ * \(#,##0.00\);_(&quot;$&quot;\ * &quot;-&quot;??_);_(@_)"/>
    <numFmt numFmtId="176" formatCode="#,##0&quot;    &quot;;\-#,##0&quot;    &quot;;\-#&quot;    &quot;;@\ "/>
    <numFmt numFmtId="177" formatCode="&quot;$&quot;\ #,##0"/>
    <numFmt numFmtId="178" formatCode="0.0"/>
  </numFmts>
  <fonts count="74" x14ac:knownFonts="1">
    <font>
      <sz val="11"/>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sz val="12"/>
      <color theme="1"/>
      <name val="Calibri"/>
      <family val="2"/>
      <scheme val="minor"/>
    </font>
    <font>
      <b/>
      <sz val="12"/>
      <color theme="1"/>
      <name val="Calibri"/>
      <family val="2"/>
      <scheme val="minor"/>
    </font>
    <font>
      <sz val="10"/>
      <name val="Arial"/>
      <family val="2"/>
    </font>
    <font>
      <b/>
      <sz val="12"/>
      <color indexed="8"/>
      <name val="Arial"/>
      <family val="2"/>
    </font>
    <font>
      <sz val="12"/>
      <name val="Arial"/>
      <family val="2"/>
    </font>
    <font>
      <b/>
      <sz val="9"/>
      <color indexed="8"/>
      <name val="Arial"/>
      <family val="2"/>
    </font>
    <font>
      <sz val="12"/>
      <color indexed="8"/>
      <name val="Arial"/>
      <family val="2"/>
    </font>
    <font>
      <b/>
      <sz val="12"/>
      <name val="Arial"/>
      <family val="2"/>
    </font>
    <font>
      <b/>
      <sz val="30"/>
      <name val="Arial"/>
      <family val="2"/>
    </font>
    <font>
      <b/>
      <sz val="14"/>
      <color indexed="53"/>
      <name val="Arial"/>
      <family val="2"/>
    </font>
    <font>
      <sz val="10"/>
      <color rgb="FF000000"/>
      <name val="Arial"/>
      <family val="2"/>
    </font>
    <font>
      <sz val="10"/>
      <color theme="0"/>
      <name val="Arial"/>
      <family val="2"/>
    </font>
    <font>
      <sz val="11"/>
      <color theme="1"/>
      <name val="Calibri"/>
      <family val="2"/>
      <scheme val="minor"/>
    </font>
    <font>
      <b/>
      <i/>
      <sz val="48"/>
      <color indexed="8"/>
      <name val="Calibri"/>
      <family val="2"/>
    </font>
    <font>
      <b/>
      <sz val="24"/>
      <color indexed="8"/>
      <name val="Calibri"/>
      <family val="2"/>
    </font>
    <font>
      <b/>
      <sz val="24"/>
      <color rgb="FF000000"/>
      <name val="Calibri"/>
      <family val="2"/>
    </font>
    <font>
      <b/>
      <sz val="12"/>
      <color indexed="8"/>
      <name val="Calibri"/>
      <family val="2"/>
    </font>
    <font>
      <b/>
      <sz val="20"/>
      <color indexed="8"/>
      <name val="Calibri"/>
      <family val="2"/>
    </font>
    <font>
      <sz val="14"/>
      <color indexed="8"/>
      <name val="Calibri"/>
      <family val="2"/>
    </font>
    <font>
      <sz val="15"/>
      <color indexed="8"/>
      <name val="Calibri"/>
      <family val="2"/>
    </font>
    <font>
      <sz val="16"/>
      <color indexed="8"/>
      <name val="Calibri"/>
      <family val="2"/>
    </font>
    <font>
      <b/>
      <sz val="16"/>
      <color rgb="FF000000"/>
      <name val="Calibri"/>
      <family val="2"/>
    </font>
    <font>
      <sz val="14"/>
      <name val="Arial"/>
      <family val="2"/>
    </font>
    <font>
      <sz val="12"/>
      <color indexed="8"/>
      <name val="Calibri"/>
      <family val="2"/>
    </font>
    <font>
      <sz val="18"/>
      <name val="Arial"/>
      <family val="2"/>
    </font>
    <font>
      <b/>
      <sz val="16"/>
      <color indexed="8"/>
      <name val="Calibri"/>
      <family val="2"/>
    </font>
    <font>
      <b/>
      <sz val="14"/>
      <color indexed="12"/>
      <name val="Calibri"/>
      <family val="2"/>
    </font>
    <font>
      <b/>
      <sz val="14"/>
      <color indexed="12"/>
      <name val="Arial"/>
      <family val="2"/>
    </font>
    <font>
      <sz val="20"/>
      <name val="Arial"/>
      <family val="2"/>
    </font>
    <font>
      <sz val="10"/>
      <color indexed="8"/>
      <name val="Arial"/>
      <family val="2"/>
    </font>
    <font>
      <sz val="24"/>
      <name val="Arial"/>
      <family val="2"/>
    </font>
    <font>
      <sz val="26"/>
      <name val="Arial"/>
      <family val="2"/>
    </font>
    <font>
      <sz val="16"/>
      <color rgb="FF000000"/>
      <name val="Calibri"/>
      <family val="2"/>
      <scheme val="minor"/>
    </font>
    <font>
      <sz val="11"/>
      <color indexed="8"/>
      <name val="Calibri"/>
      <family val="2"/>
    </font>
    <font>
      <b/>
      <sz val="14"/>
      <color indexed="8"/>
      <name val="Calibri"/>
      <family val="2"/>
    </font>
    <font>
      <b/>
      <sz val="18"/>
      <color indexed="8"/>
      <name val="Calibri"/>
      <family val="2"/>
    </font>
    <font>
      <b/>
      <sz val="22"/>
      <color indexed="8"/>
      <name val="Calibri"/>
      <family val="2"/>
    </font>
    <font>
      <b/>
      <sz val="66"/>
      <color indexed="8"/>
      <name val="Calibri"/>
      <family val="2"/>
    </font>
    <font>
      <b/>
      <sz val="20"/>
      <name val="Arial"/>
      <family val="2"/>
    </font>
    <font>
      <sz val="15"/>
      <name val="Arial"/>
      <family val="2"/>
    </font>
    <font>
      <b/>
      <sz val="15"/>
      <name val="Arial"/>
      <family val="2"/>
    </font>
    <font>
      <b/>
      <sz val="13"/>
      <name val="Arial"/>
      <family val="2"/>
    </font>
    <font>
      <sz val="22"/>
      <name val="Arial"/>
      <family val="2"/>
    </font>
    <font>
      <b/>
      <sz val="15"/>
      <color theme="0"/>
      <name val="Arial"/>
      <family val="2"/>
    </font>
    <font>
      <b/>
      <sz val="12"/>
      <color theme="0"/>
      <name val="Arial"/>
      <family val="2"/>
    </font>
    <font>
      <sz val="11"/>
      <name val="Arial"/>
      <family val="2"/>
    </font>
    <font>
      <sz val="8"/>
      <name val="Arial"/>
      <family val="2"/>
    </font>
    <font>
      <b/>
      <sz val="24"/>
      <name val="Arial"/>
      <family val="2"/>
    </font>
    <font>
      <b/>
      <sz val="48"/>
      <color indexed="8"/>
      <name val="Calibri"/>
      <family val="2"/>
    </font>
    <font>
      <b/>
      <sz val="36"/>
      <color indexed="8"/>
      <name val="Calibri"/>
      <family val="2"/>
    </font>
    <font>
      <sz val="24"/>
      <color indexed="8"/>
      <name val="Calibri"/>
      <family val="2"/>
    </font>
    <font>
      <sz val="15"/>
      <color indexed="8"/>
      <name val="Arial"/>
      <family val="2"/>
    </font>
    <font>
      <b/>
      <sz val="18"/>
      <name val="Arial"/>
      <family val="2"/>
    </font>
    <font>
      <sz val="16"/>
      <name val="Arial"/>
      <family val="2"/>
    </font>
    <font>
      <b/>
      <sz val="48"/>
      <color theme="0"/>
      <name val="Calibri"/>
      <family val="2"/>
    </font>
    <font>
      <b/>
      <sz val="20"/>
      <color theme="0"/>
      <name val="Calibri"/>
      <family val="2"/>
    </font>
    <font>
      <b/>
      <sz val="11"/>
      <color theme="1"/>
      <name val="Arial"/>
      <family val="2"/>
    </font>
    <font>
      <sz val="11"/>
      <color theme="1"/>
      <name val="Arial"/>
      <family val="2"/>
    </font>
    <font>
      <sz val="11"/>
      <color theme="0"/>
      <name val="Arial"/>
      <family val="2"/>
    </font>
    <font>
      <sz val="11"/>
      <color theme="0"/>
      <name val="Calibri"/>
      <family val="2"/>
      <scheme val="minor"/>
    </font>
    <font>
      <b/>
      <sz val="11"/>
      <color theme="1"/>
      <name val="Calibri"/>
      <family val="2"/>
      <scheme val="minor"/>
    </font>
    <font>
      <b/>
      <sz val="26"/>
      <color theme="1"/>
      <name val="Calibri"/>
      <family val="2"/>
      <scheme val="minor"/>
    </font>
    <font>
      <sz val="8"/>
      <name val="Calibri"/>
      <family val="2"/>
      <scheme val="minor"/>
    </font>
    <font>
      <b/>
      <sz val="12"/>
      <color rgb="FF000000"/>
      <name val="Arial"/>
      <family val="2"/>
    </font>
    <font>
      <sz val="12"/>
      <color rgb="FF000000"/>
      <name val="Arial"/>
      <family val="2"/>
    </font>
    <font>
      <sz val="12"/>
      <color rgb="FF000000"/>
      <name val="Calibri"/>
      <family val="2"/>
      <scheme val="minor"/>
    </font>
    <font>
      <b/>
      <sz val="15"/>
      <color rgb="FFFFFFFF"/>
      <name val="Arial"/>
      <family val="2"/>
    </font>
    <font>
      <b/>
      <sz val="16"/>
      <color theme="1"/>
      <name val="Calibri"/>
      <family val="2"/>
      <scheme val="minor"/>
    </font>
    <font>
      <b/>
      <sz val="72"/>
      <color theme="1"/>
      <name val="Arial"/>
      <family val="2"/>
    </font>
    <font>
      <b/>
      <sz val="28"/>
      <color indexed="53"/>
      <name val="Arial"/>
      <family val="2"/>
    </font>
  </fonts>
  <fills count="51">
    <fill>
      <patternFill patternType="none"/>
    </fill>
    <fill>
      <patternFill patternType="gray125"/>
    </fill>
    <fill>
      <patternFill patternType="solid">
        <fgColor rgb="FFFFC000"/>
        <bgColor indexed="22"/>
      </patternFill>
    </fill>
    <fill>
      <patternFill patternType="solid">
        <fgColor indexed="31"/>
        <bgColor indexed="22"/>
      </patternFill>
    </fill>
    <fill>
      <patternFill patternType="solid">
        <fgColor theme="0"/>
        <bgColor indexed="22"/>
      </patternFill>
    </fill>
    <fill>
      <patternFill patternType="solid">
        <fgColor theme="0"/>
        <bgColor indexed="26"/>
      </patternFill>
    </fill>
    <fill>
      <patternFill patternType="solid">
        <fgColor indexed="9"/>
        <bgColor indexed="26"/>
      </patternFill>
    </fill>
    <fill>
      <patternFill patternType="solid">
        <fgColor theme="9" tint="0.59999389629810485"/>
        <bgColor indexed="64"/>
      </patternFill>
    </fill>
    <fill>
      <patternFill patternType="solid">
        <fgColor theme="0"/>
        <bgColor indexed="64"/>
      </patternFill>
    </fill>
    <fill>
      <patternFill patternType="solid">
        <fgColor rgb="FFFFFF00"/>
        <bgColor indexed="26"/>
      </patternFill>
    </fill>
    <fill>
      <patternFill patternType="solid">
        <fgColor theme="9" tint="0.39997558519241921"/>
        <bgColor indexed="22"/>
      </patternFill>
    </fill>
    <fill>
      <patternFill patternType="solid">
        <fgColor rgb="FF00B0F0"/>
        <bgColor indexed="64"/>
      </patternFill>
    </fill>
    <fill>
      <patternFill patternType="solid">
        <fgColor rgb="FFFFFF00"/>
        <bgColor indexed="64"/>
      </patternFill>
    </fill>
    <fill>
      <patternFill patternType="solid">
        <fgColor rgb="FF00B0F0"/>
        <bgColor indexed="22"/>
      </patternFill>
    </fill>
    <fill>
      <patternFill patternType="solid">
        <fgColor indexed="43"/>
        <bgColor indexed="13"/>
      </patternFill>
    </fill>
    <fill>
      <patternFill patternType="solid">
        <fgColor rgb="FFFF0000"/>
        <bgColor indexed="64"/>
      </patternFill>
    </fill>
    <fill>
      <patternFill patternType="solid">
        <fgColor rgb="FFFFFF00"/>
        <bgColor indexed="10"/>
      </patternFill>
    </fill>
    <fill>
      <patternFill patternType="solid">
        <fgColor theme="0"/>
        <bgColor indexed="10"/>
      </patternFill>
    </fill>
    <fill>
      <patternFill patternType="solid">
        <fgColor theme="4" tint="0.59999389629810485"/>
        <bgColor indexed="64"/>
      </patternFill>
    </fill>
    <fill>
      <patternFill patternType="solid">
        <fgColor indexed="13"/>
        <bgColor indexed="34"/>
      </patternFill>
    </fill>
    <fill>
      <patternFill patternType="solid">
        <fgColor rgb="FF92D050"/>
        <bgColor indexed="34"/>
      </patternFill>
    </fill>
    <fill>
      <patternFill patternType="solid">
        <fgColor indexed="8"/>
        <bgColor indexed="58"/>
      </patternFill>
    </fill>
    <fill>
      <patternFill patternType="solid">
        <fgColor indexed="22"/>
        <bgColor indexed="31"/>
      </patternFill>
    </fill>
    <fill>
      <patternFill patternType="solid">
        <fgColor rgb="FFFFFF00"/>
        <bgColor indexed="31"/>
      </patternFill>
    </fill>
    <fill>
      <patternFill patternType="solid">
        <fgColor rgb="FFFF66FF"/>
        <bgColor indexed="64"/>
      </patternFill>
    </fill>
    <fill>
      <patternFill patternType="solid">
        <fgColor theme="0"/>
        <bgColor indexed="31"/>
      </patternFill>
    </fill>
    <fill>
      <patternFill patternType="solid">
        <fgColor rgb="FFC0C0C0"/>
        <bgColor rgb="FFCCCCFF"/>
      </patternFill>
    </fill>
    <fill>
      <patternFill patternType="solid">
        <fgColor theme="1"/>
        <bgColor indexed="31"/>
      </patternFill>
    </fill>
    <fill>
      <patternFill patternType="solid">
        <fgColor theme="1"/>
        <bgColor indexed="64"/>
      </patternFill>
    </fill>
    <fill>
      <patternFill patternType="solid">
        <fgColor indexed="44"/>
        <bgColor indexed="31"/>
      </patternFill>
    </fill>
    <fill>
      <patternFill patternType="solid">
        <fgColor indexed="40"/>
        <bgColor indexed="49"/>
      </patternFill>
    </fill>
    <fill>
      <patternFill patternType="solid">
        <fgColor indexed="51"/>
        <bgColor indexed="13"/>
      </patternFill>
    </fill>
    <fill>
      <patternFill patternType="solid">
        <fgColor indexed="55"/>
        <bgColor indexed="23"/>
      </patternFill>
    </fill>
    <fill>
      <patternFill patternType="solid">
        <fgColor rgb="FF7030A0"/>
        <bgColor indexed="64"/>
      </patternFill>
    </fill>
    <fill>
      <patternFill patternType="solid">
        <fgColor rgb="FF7030A0"/>
        <bgColor indexed="26"/>
      </patternFill>
    </fill>
    <fill>
      <patternFill patternType="solid">
        <fgColor theme="8" tint="0.59999389629810485"/>
        <bgColor indexed="26"/>
      </patternFill>
    </fill>
    <fill>
      <patternFill patternType="solid">
        <fgColor theme="0"/>
        <bgColor indexed="23"/>
      </patternFill>
    </fill>
    <fill>
      <patternFill patternType="solid">
        <fgColor rgb="FFFF0000"/>
        <bgColor indexed="23"/>
      </patternFill>
    </fill>
    <fill>
      <patternFill patternType="solid">
        <fgColor theme="4" tint="0.79998168889431442"/>
        <bgColor indexed="64"/>
      </patternFill>
    </fill>
    <fill>
      <patternFill patternType="solid">
        <fgColor rgb="FFCCCCFF"/>
        <bgColor rgb="FFC0C0C0"/>
      </patternFill>
    </fill>
    <fill>
      <patternFill patternType="solid">
        <fgColor rgb="FFC6E0B4"/>
        <bgColor rgb="FF000000"/>
      </patternFill>
    </fill>
    <fill>
      <patternFill patternType="solid">
        <fgColor rgb="FFFFFFFF"/>
        <bgColor rgb="FFFFFFCC"/>
      </patternFill>
    </fill>
    <fill>
      <patternFill patternType="solid">
        <fgColor rgb="FFFFFFFF"/>
        <bgColor rgb="FF000000"/>
      </patternFill>
    </fill>
    <fill>
      <patternFill patternType="solid">
        <fgColor rgb="FFFFC000"/>
        <bgColor rgb="FFC0C0C0"/>
      </patternFill>
    </fill>
    <fill>
      <patternFill patternType="solid">
        <fgColor rgb="FFFFC000"/>
        <bgColor rgb="FF000000"/>
      </patternFill>
    </fill>
    <fill>
      <patternFill patternType="solid">
        <fgColor rgb="FF00B0F0"/>
        <bgColor rgb="FF000000"/>
      </patternFill>
    </fill>
    <fill>
      <patternFill patternType="solid">
        <fgColor theme="0"/>
        <bgColor rgb="FFFFFFCC"/>
      </patternFill>
    </fill>
    <fill>
      <patternFill patternType="solid">
        <fgColor rgb="FF7030A0"/>
        <bgColor rgb="FF000000"/>
      </patternFill>
    </fill>
    <fill>
      <patternFill patternType="solid">
        <fgColor rgb="FF97DBFF"/>
        <bgColor indexed="26"/>
      </patternFill>
    </fill>
    <fill>
      <patternFill patternType="solid">
        <fgColor theme="5" tint="0.39997558519241921"/>
        <bgColor indexed="26"/>
      </patternFill>
    </fill>
    <fill>
      <patternFill patternType="solid">
        <fgColor theme="5" tint="0.59999389629810485"/>
        <bgColor indexed="26"/>
      </patternFill>
    </fill>
  </fills>
  <borders count="73">
    <border>
      <left/>
      <right/>
      <top/>
      <bottom/>
      <diagonal/>
    </border>
    <border>
      <left style="thin">
        <color indexed="8"/>
      </left>
      <right style="thin">
        <color indexed="8"/>
      </right>
      <top style="thin">
        <color indexed="8"/>
      </top>
      <bottom style="thin">
        <color indexed="8"/>
      </bottom>
      <diagonal/>
    </border>
    <border>
      <left style="thin">
        <color indexed="8"/>
      </left>
      <right/>
      <top style="thin">
        <color indexed="8"/>
      </top>
      <bottom style="thin">
        <color indexed="8"/>
      </bottom>
      <diagonal/>
    </border>
    <border>
      <left/>
      <right/>
      <top style="thin">
        <color indexed="8"/>
      </top>
      <bottom style="thin">
        <color indexed="8"/>
      </bottom>
      <diagonal/>
    </border>
    <border>
      <left/>
      <right style="thin">
        <color indexed="8"/>
      </right>
      <top style="thin">
        <color indexed="8"/>
      </top>
      <bottom style="thin">
        <color indexed="8"/>
      </bottom>
      <diagonal/>
    </border>
    <border>
      <left/>
      <right style="thin">
        <color indexed="8"/>
      </right>
      <top style="thin">
        <color indexed="8"/>
      </top>
      <bottom/>
      <diagonal/>
    </border>
    <border>
      <left style="thin">
        <color indexed="8"/>
      </left>
      <right style="thin">
        <color indexed="8"/>
      </right>
      <top style="thin">
        <color indexed="8"/>
      </top>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style="thin">
        <color indexed="8"/>
      </left>
      <right style="thin">
        <color indexed="8"/>
      </right>
      <top/>
      <bottom style="thin">
        <color indexed="8"/>
      </bottom>
      <diagonal/>
    </border>
    <border>
      <left/>
      <right/>
      <top/>
      <bottom style="thin">
        <color indexed="8"/>
      </bottom>
      <diagonal/>
    </border>
    <border>
      <left style="thin">
        <color indexed="8"/>
      </left>
      <right/>
      <top/>
      <bottom style="thin">
        <color indexed="8"/>
      </bottom>
      <diagonal/>
    </border>
    <border>
      <left/>
      <right style="thin">
        <color indexed="8"/>
      </right>
      <top/>
      <bottom style="thin">
        <color indexed="8"/>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hair">
        <color indexed="8"/>
      </left>
      <right style="hair">
        <color indexed="8"/>
      </right>
      <top/>
      <bottom style="hair">
        <color indexed="8"/>
      </bottom>
      <diagonal/>
    </border>
    <border>
      <left style="hair">
        <color indexed="8"/>
      </left>
      <right style="hair">
        <color indexed="8"/>
      </right>
      <top style="hair">
        <color indexed="8"/>
      </top>
      <bottom style="hair">
        <color indexed="8"/>
      </bottom>
      <diagonal/>
    </border>
    <border>
      <left style="thin">
        <color indexed="8"/>
      </left>
      <right/>
      <top style="thin">
        <color indexed="8"/>
      </top>
      <bottom/>
      <diagonal/>
    </border>
    <border>
      <left style="thin">
        <color indexed="8"/>
      </left>
      <right style="thin">
        <color indexed="8"/>
      </right>
      <top/>
      <bottom style="thin">
        <color indexed="64"/>
      </bottom>
      <diagonal/>
    </border>
    <border>
      <left style="hair">
        <color indexed="8"/>
      </left>
      <right style="hair">
        <color indexed="8"/>
      </right>
      <top style="hair">
        <color indexed="8"/>
      </top>
      <bottom/>
      <diagonal/>
    </border>
    <border>
      <left style="hair">
        <color indexed="8"/>
      </left>
      <right/>
      <top style="hair">
        <color indexed="8"/>
      </top>
      <bottom style="hair">
        <color indexed="8"/>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style="medium">
        <color indexed="64"/>
      </top>
      <bottom style="medium">
        <color indexed="64"/>
      </bottom>
      <diagonal/>
    </border>
    <border>
      <left/>
      <right/>
      <top style="medium">
        <color indexed="64"/>
      </top>
      <bottom style="medium">
        <color indexed="64"/>
      </bottom>
      <diagonal/>
    </border>
    <border>
      <left/>
      <right style="hair">
        <color indexed="8"/>
      </right>
      <top style="hair">
        <color indexed="8"/>
      </top>
      <bottom style="medium">
        <color indexed="8"/>
      </bottom>
      <diagonal/>
    </border>
    <border>
      <left style="medium">
        <color indexed="8"/>
      </left>
      <right style="medium">
        <color indexed="8"/>
      </right>
      <top style="medium">
        <color indexed="8"/>
      </top>
      <bottom style="medium">
        <color indexed="8"/>
      </bottom>
      <diagonal/>
    </border>
    <border>
      <left style="medium">
        <color indexed="8"/>
      </left>
      <right style="thin">
        <color indexed="8"/>
      </right>
      <top style="thick">
        <color indexed="8"/>
      </top>
      <bottom style="medium">
        <color indexed="8"/>
      </bottom>
      <diagonal/>
    </border>
    <border>
      <left style="thin">
        <color indexed="8"/>
      </left>
      <right style="thin">
        <color indexed="8"/>
      </right>
      <top style="thick">
        <color indexed="8"/>
      </top>
      <bottom style="medium">
        <color indexed="8"/>
      </bottom>
      <diagonal/>
    </border>
    <border>
      <left style="thin">
        <color indexed="8"/>
      </left>
      <right/>
      <top style="thick">
        <color indexed="8"/>
      </top>
      <bottom style="medium">
        <color indexed="8"/>
      </bottom>
      <diagonal/>
    </border>
    <border>
      <left style="medium">
        <color indexed="8"/>
      </left>
      <right style="medium">
        <color indexed="8"/>
      </right>
      <top style="thick">
        <color indexed="8"/>
      </top>
      <bottom style="medium">
        <color indexed="8"/>
      </bottom>
      <diagonal/>
    </border>
    <border>
      <left style="thick">
        <color indexed="8"/>
      </left>
      <right style="thick">
        <color indexed="8"/>
      </right>
      <top style="thick">
        <color indexed="8"/>
      </top>
      <bottom style="thick">
        <color indexed="8"/>
      </bottom>
      <diagonal/>
    </border>
    <border>
      <left style="thick">
        <color indexed="8"/>
      </left>
      <right/>
      <top style="thick">
        <color indexed="8"/>
      </top>
      <bottom style="thick">
        <color indexed="8"/>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
      <left style="thick">
        <color rgb="FF000000"/>
      </left>
      <right style="thick">
        <color rgb="FF000000"/>
      </right>
      <top style="thick">
        <color rgb="FF000000"/>
      </top>
      <bottom style="thick">
        <color rgb="FF000000"/>
      </bottom>
      <diagonal/>
    </border>
    <border>
      <left/>
      <right/>
      <top style="thick">
        <color indexed="8"/>
      </top>
      <bottom style="thick">
        <color indexed="8"/>
      </bottom>
      <diagonal/>
    </border>
    <border>
      <left/>
      <right style="thin">
        <color indexed="64"/>
      </right>
      <top style="thick">
        <color indexed="8"/>
      </top>
      <bottom style="thick">
        <color indexed="8"/>
      </bottom>
      <diagonal/>
    </border>
    <border>
      <left style="thick">
        <color indexed="8"/>
      </left>
      <right style="thick">
        <color indexed="8"/>
      </right>
      <top style="thick">
        <color indexed="8"/>
      </top>
      <bottom/>
      <diagonal/>
    </border>
    <border>
      <left style="medium">
        <color indexed="64"/>
      </left>
      <right style="thick">
        <color indexed="8"/>
      </right>
      <top style="medium">
        <color indexed="64"/>
      </top>
      <bottom style="medium">
        <color indexed="64"/>
      </bottom>
      <diagonal/>
    </border>
    <border>
      <left style="thick">
        <color indexed="8"/>
      </left>
      <right style="thick">
        <color indexed="8"/>
      </right>
      <top style="medium">
        <color indexed="64"/>
      </top>
      <bottom style="medium">
        <color indexed="64"/>
      </bottom>
      <diagonal/>
    </border>
    <border>
      <left style="medium">
        <color indexed="64"/>
      </left>
      <right/>
      <top style="medium">
        <color indexed="64"/>
      </top>
      <bottom style="medium">
        <color indexed="8"/>
      </bottom>
      <diagonal/>
    </border>
    <border>
      <left/>
      <right/>
      <top style="medium">
        <color indexed="64"/>
      </top>
      <bottom style="medium">
        <color indexed="8"/>
      </bottom>
      <diagonal/>
    </border>
    <border>
      <left/>
      <right style="medium">
        <color indexed="64"/>
      </right>
      <top style="medium">
        <color indexed="64"/>
      </top>
      <bottom style="medium">
        <color indexed="8"/>
      </bottom>
      <diagonal/>
    </border>
    <border>
      <left style="medium">
        <color indexed="64"/>
      </left>
      <right/>
      <top style="medium">
        <color indexed="8"/>
      </top>
      <bottom style="medium">
        <color indexed="8"/>
      </bottom>
      <diagonal/>
    </border>
    <border>
      <left/>
      <right/>
      <top style="medium">
        <color indexed="8"/>
      </top>
      <bottom style="medium">
        <color indexed="8"/>
      </bottom>
      <diagonal/>
    </border>
    <border>
      <left/>
      <right style="medium">
        <color indexed="64"/>
      </right>
      <top style="medium">
        <color indexed="8"/>
      </top>
      <bottom style="medium">
        <color indexed="8"/>
      </bottom>
      <diagonal/>
    </border>
    <border>
      <left style="medium">
        <color indexed="8"/>
      </left>
      <right/>
      <top/>
      <bottom style="medium">
        <color indexed="64"/>
      </bottom>
      <diagonal/>
    </border>
    <border>
      <left/>
      <right/>
      <top/>
      <bottom style="medium">
        <color indexed="64"/>
      </bottom>
      <diagonal/>
    </border>
    <border>
      <left style="medium">
        <color indexed="64"/>
      </left>
      <right style="thick">
        <color indexed="8"/>
      </right>
      <top style="medium">
        <color indexed="64"/>
      </top>
      <bottom/>
      <diagonal/>
    </border>
    <border>
      <left style="thick">
        <color indexed="8"/>
      </left>
      <right style="thick">
        <color indexed="8"/>
      </right>
      <top style="medium">
        <color indexed="64"/>
      </top>
      <bottom/>
      <diagonal/>
    </border>
    <border>
      <left style="thick">
        <color indexed="8"/>
      </left>
      <right style="medium">
        <color indexed="64"/>
      </right>
      <top style="medium">
        <color indexed="64"/>
      </top>
      <bottom/>
      <diagonal/>
    </border>
    <border>
      <left style="thick">
        <color indexed="8"/>
      </left>
      <right style="thick">
        <color indexed="8"/>
      </right>
      <top/>
      <bottom style="thick">
        <color indexed="8"/>
      </bottom>
      <diagonal/>
    </border>
    <border>
      <left style="thick">
        <color indexed="8"/>
      </left>
      <right/>
      <top/>
      <bottom style="thick">
        <color indexed="8"/>
      </bottom>
      <diagonal/>
    </border>
    <border>
      <left/>
      <right style="thin">
        <color indexed="64"/>
      </right>
      <top/>
      <bottom style="thick">
        <color indexed="8"/>
      </bottom>
      <diagonal/>
    </border>
    <border>
      <left/>
      <right/>
      <top style="medium">
        <color indexed="8"/>
      </top>
      <bottom/>
      <diagonal/>
    </border>
    <border>
      <left style="thin">
        <color indexed="64"/>
      </left>
      <right/>
      <top/>
      <bottom/>
      <diagonal/>
    </border>
    <border>
      <left/>
      <right/>
      <top style="medium">
        <color indexed="64"/>
      </top>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rgb="FF000000"/>
      </left>
      <right style="thin">
        <color rgb="FF000000"/>
      </right>
      <top/>
      <bottom/>
      <diagonal/>
    </border>
    <border>
      <left/>
      <right style="thin">
        <color rgb="FF000000"/>
      </right>
      <top/>
      <bottom/>
      <diagonal/>
    </border>
    <border>
      <left/>
      <right style="thin">
        <color rgb="FF000000"/>
      </right>
      <top style="thin">
        <color rgb="FF000000"/>
      </top>
      <bottom/>
      <diagonal/>
    </border>
    <border>
      <left/>
      <right style="thin">
        <color indexed="64"/>
      </right>
      <top/>
      <bottom/>
      <diagonal/>
    </border>
    <border>
      <left/>
      <right/>
      <top style="thin">
        <color rgb="FF000000"/>
      </top>
      <bottom/>
      <diagonal/>
    </border>
    <border>
      <left/>
      <right/>
      <top style="thin">
        <color indexed="64"/>
      </top>
      <bottom style="thin">
        <color indexed="64"/>
      </bottom>
      <diagonal/>
    </border>
    <border>
      <left/>
      <right style="thin">
        <color indexed="8"/>
      </right>
      <top/>
      <bottom/>
      <diagonal/>
    </border>
  </borders>
  <cellStyleXfs count="6">
    <xf numFmtId="0" fontId="0" fillId="0" borderId="0"/>
    <xf numFmtId="0" fontId="6" fillId="0" borderId="0"/>
    <xf numFmtId="164" fontId="16" fillId="0" borderId="0" applyFont="0" applyFill="0" applyBorder="0" applyAlignment="0" applyProtection="0"/>
    <xf numFmtId="165" fontId="16" fillId="0" borderId="0" applyFont="0" applyFill="0" applyBorder="0" applyAlignment="0" applyProtection="0"/>
    <xf numFmtId="164" fontId="16" fillId="0" borderId="0" applyFont="0" applyFill="0" applyBorder="0" applyAlignment="0" applyProtection="0"/>
    <xf numFmtId="174" fontId="37" fillId="0" borderId="0" applyFill="0" applyBorder="0" applyAlignment="0" applyProtection="0"/>
  </cellStyleXfs>
  <cellXfs count="452">
    <xf numFmtId="0" fontId="0" fillId="0" borderId="0" xfId="0"/>
    <xf numFmtId="0" fontId="7" fillId="2" borderId="1" xfId="1" applyFont="1" applyFill="1" applyBorder="1" applyAlignment="1">
      <alignment horizontal="center" vertical="center"/>
    </xf>
    <xf numFmtId="0" fontId="8" fillId="0" borderId="0" xfId="1" applyFont="1"/>
    <xf numFmtId="0" fontId="6" fillId="0" borderId="0" xfId="1"/>
    <xf numFmtId="0" fontId="9" fillId="4" borderId="0" xfId="1" applyFont="1" applyFill="1" applyAlignment="1">
      <alignment horizontal="center" vertical="center"/>
    </xf>
    <xf numFmtId="0" fontId="7" fillId="2" borderId="1" xfId="1" applyFont="1" applyFill="1" applyBorder="1" applyAlignment="1">
      <alignment horizontal="center" vertical="center" wrapText="1"/>
    </xf>
    <xf numFmtId="0" fontId="7" fillId="2" borderId="5" xfId="1" applyFont="1" applyFill="1" applyBorder="1" applyAlignment="1">
      <alignment horizontal="center" vertical="center" wrapText="1"/>
    </xf>
    <xf numFmtId="0" fontId="7" fillId="3" borderId="6" xfId="1" applyFont="1" applyFill="1" applyBorder="1" applyAlignment="1">
      <alignment horizontal="center" vertical="center"/>
    </xf>
    <xf numFmtId="0" fontId="7" fillId="3" borderId="6" xfId="1" applyFont="1" applyFill="1" applyBorder="1" applyAlignment="1">
      <alignment horizontal="center" vertical="center" wrapText="1"/>
    </xf>
    <xf numFmtId="0" fontId="9" fillId="4" borderId="0" xfId="1" applyFont="1" applyFill="1" applyAlignment="1">
      <alignment horizontal="center" vertical="center" wrapText="1"/>
    </xf>
    <xf numFmtId="0" fontId="7" fillId="5" borderId="6" xfId="0" applyFont="1" applyFill="1" applyBorder="1" applyAlignment="1">
      <alignment horizontal="center" vertical="center"/>
    </xf>
    <xf numFmtId="1" fontId="10" fillId="6" borderId="5" xfId="0" applyNumberFormat="1" applyFont="1" applyFill="1" applyBorder="1" applyAlignment="1" applyProtection="1">
      <alignment horizontal="center" vertical="center"/>
      <protection locked="0" hidden="1"/>
    </xf>
    <xf numFmtId="0" fontId="10" fillId="6" borderId="5" xfId="0" applyFont="1" applyFill="1" applyBorder="1" applyAlignment="1">
      <alignment horizontal="center" vertical="center"/>
    </xf>
    <xf numFmtId="0" fontId="7" fillId="5" borderId="7" xfId="0" applyFont="1" applyFill="1" applyBorder="1" applyAlignment="1">
      <alignment horizontal="center" vertical="center"/>
    </xf>
    <xf numFmtId="0" fontId="7" fillId="5" borderId="8" xfId="0" applyFont="1" applyFill="1" applyBorder="1" applyAlignment="1">
      <alignment horizontal="center" vertical="center"/>
    </xf>
    <xf numFmtId="0" fontId="11" fillId="7" borderId="8" xfId="1" applyFont="1" applyFill="1" applyBorder="1" applyAlignment="1">
      <alignment horizontal="center"/>
    </xf>
    <xf numFmtId="0" fontId="10" fillId="6" borderId="8" xfId="0" applyFont="1" applyFill="1" applyBorder="1" applyAlignment="1" applyProtection="1">
      <alignment horizontal="center" vertical="center"/>
      <protection locked="0" hidden="1"/>
    </xf>
    <xf numFmtId="0" fontId="10" fillId="8" borderId="8" xfId="0" applyFont="1" applyFill="1" applyBorder="1" applyAlignment="1">
      <alignment horizontal="center" vertical="center"/>
    </xf>
    <xf numFmtId="0" fontId="10" fillId="6" borderId="8" xfId="0" applyFont="1" applyFill="1" applyBorder="1" applyAlignment="1">
      <alignment horizontal="center" vertical="center"/>
    </xf>
    <xf numFmtId="0" fontId="10" fillId="6" borderId="4" xfId="0" applyFont="1" applyFill="1" applyBorder="1" applyAlignment="1">
      <alignment horizontal="center" vertical="center"/>
    </xf>
    <xf numFmtId="0" fontId="6" fillId="8" borderId="0" xfId="1" applyFill="1"/>
    <xf numFmtId="0" fontId="6" fillId="8" borderId="0" xfId="1" applyFill="1" applyAlignment="1">
      <alignment horizontal="center" vertical="center"/>
    </xf>
    <xf numFmtId="0" fontId="10" fillId="5" borderId="0" xfId="1" applyFont="1" applyFill="1" applyAlignment="1">
      <alignment horizontal="center" vertical="center"/>
    </xf>
    <xf numFmtId="166" fontId="10" fillId="5" borderId="0" xfId="1" applyNumberFormat="1" applyFont="1" applyFill="1" applyAlignment="1">
      <alignment horizontal="center" vertical="center"/>
    </xf>
    <xf numFmtId="166" fontId="10" fillId="6" borderId="5" xfId="1" applyNumberFormat="1" applyFont="1" applyFill="1" applyBorder="1" applyAlignment="1">
      <alignment horizontal="center" vertical="center"/>
    </xf>
    <xf numFmtId="0" fontId="7" fillId="8" borderId="8" xfId="0" applyFont="1" applyFill="1" applyBorder="1" applyAlignment="1">
      <alignment horizontal="center" vertical="center"/>
    </xf>
    <xf numFmtId="0" fontId="11" fillId="8" borderId="8" xfId="1" applyFont="1" applyFill="1" applyBorder="1" applyAlignment="1">
      <alignment horizontal="center"/>
    </xf>
    <xf numFmtId="0" fontId="10" fillId="5" borderId="8" xfId="0" applyFont="1" applyFill="1" applyBorder="1" applyAlignment="1">
      <alignment horizontal="center" vertical="center"/>
    </xf>
    <xf numFmtId="166" fontId="10" fillId="5" borderId="9" xfId="1" applyNumberFormat="1" applyFont="1" applyFill="1" applyBorder="1" applyAlignment="1">
      <alignment horizontal="center" vertical="center"/>
    </xf>
    <xf numFmtId="166" fontId="10" fillId="5" borderId="10" xfId="1" applyNumberFormat="1" applyFont="1" applyFill="1" applyBorder="1" applyAlignment="1">
      <alignment horizontal="center" vertical="center"/>
    </xf>
    <xf numFmtId="0" fontId="7" fillId="0" borderId="8" xfId="0" applyFont="1" applyBorder="1" applyAlignment="1">
      <alignment horizontal="center" vertical="center"/>
    </xf>
    <xf numFmtId="0" fontId="6" fillId="0" borderId="8" xfId="1" applyBorder="1"/>
    <xf numFmtId="0" fontId="10" fillId="6" borderId="8" xfId="1" applyFont="1" applyFill="1" applyBorder="1" applyAlignment="1">
      <alignment horizontal="center" vertical="center"/>
    </xf>
    <xf numFmtId="167" fontId="10" fillId="9" borderId="11" xfId="1" applyNumberFormat="1" applyFont="1" applyFill="1" applyBorder="1" applyAlignment="1">
      <alignment horizontal="center" vertical="center" wrapText="1"/>
    </xf>
    <xf numFmtId="166" fontId="10" fillId="5" borderId="7" xfId="1" applyNumberFormat="1" applyFont="1" applyFill="1" applyBorder="1" applyAlignment="1">
      <alignment horizontal="center" vertical="center"/>
    </xf>
    <xf numFmtId="166" fontId="10" fillId="5" borderId="8" xfId="1" applyNumberFormat="1" applyFont="1" applyFill="1" applyBorder="1" applyAlignment="1">
      <alignment horizontal="center" vertical="center"/>
    </xf>
    <xf numFmtId="168" fontId="6" fillId="0" borderId="0" xfId="1" applyNumberFormat="1"/>
    <xf numFmtId="0" fontId="7" fillId="2" borderId="6" xfId="1" applyFont="1" applyFill="1" applyBorder="1" applyAlignment="1">
      <alignment horizontal="center" vertical="center" wrapText="1"/>
    </xf>
    <xf numFmtId="166" fontId="8" fillId="0" borderId="8" xfId="1" applyNumberFormat="1" applyFont="1" applyBorder="1"/>
    <xf numFmtId="0" fontId="10" fillId="6" borderId="5" xfId="0" applyFont="1" applyFill="1" applyBorder="1" applyAlignment="1" applyProtection="1">
      <alignment horizontal="center" vertical="center"/>
      <protection locked="0" hidden="1"/>
    </xf>
    <xf numFmtId="0" fontId="5" fillId="0" borderId="15" xfId="0" applyFont="1" applyBorder="1" applyAlignment="1">
      <alignment horizontal="center" vertical="center"/>
    </xf>
    <xf numFmtId="0" fontId="7" fillId="6" borderId="2" xfId="0" applyFont="1" applyFill="1" applyBorder="1" applyAlignment="1">
      <alignment horizontal="center" vertical="center"/>
    </xf>
    <xf numFmtId="0" fontId="10" fillId="5" borderId="4" xfId="0" applyFont="1" applyFill="1" applyBorder="1" applyAlignment="1">
      <alignment horizontal="center" vertical="center"/>
    </xf>
    <xf numFmtId="0" fontId="7" fillId="6" borderId="2" xfId="1" applyFont="1" applyFill="1" applyBorder="1" applyAlignment="1">
      <alignment horizontal="center" vertical="center"/>
    </xf>
    <xf numFmtId="0" fontId="10" fillId="6" borderId="8" xfId="1" applyFont="1" applyFill="1" applyBorder="1" applyAlignment="1">
      <alignment horizontal="center" vertical="center" wrapText="1"/>
    </xf>
    <xf numFmtId="0" fontId="10" fillId="8" borderId="7" xfId="0" applyFont="1" applyFill="1" applyBorder="1" applyAlignment="1">
      <alignment horizontal="center" vertical="center"/>
    </xf>
    <xf numFmtId="0" fontId="7" fillId="6" borderId="11" xfId="1" applyFont="1" applyFill="1" applyBorder="1" applyAlignment="1">
      <alignment horizontal="center" vertical="center" wrapText="1"/>
    </xf>
    <xf numFmtId="1" fontId="10" fillId="6" borderId="11" xfId="1" applyNumberFormat="1" applyFont="1" applyFill="1" applyBorder="1" applyAlignment="1">
      <alignment horizontal="center" vertical="center" wrapText="1"/>
    </xf>
    <xf numFmtId="0" fontId="10" fillId="6" borderId="11" xfId="1" applyFont="1" applyFill="1" applyBorder="1" applyAlignment="1">
      <alignment horizontal="center" vertical="center" wrapText="1"/>
    </xf>
    <xf numFmtId="0" fontId="7" fillId="5" borderId="16" xfId="0" applyFont="1" applyFill="1" applyBorder="1" applyAlignment="1">
      <alignment horizontal="center" vertical="center"/>
    </xf>
    <xf numFmtId="0" fontId="7" fillId="10" borderId="1" xfId="1" applyFont="1" applyFill="1" applyBorder="1" applyAlignment="1">
      <alignment horizontal="center" vertical="center"/>
    </xf>
    <xf numFmtId="0" fontId="11" fillId="0" borderId="8" xfId="1" applyFont="1" applyBorder="1" applyAlignment="1">
      <alignment horizontal="center"/>
    </xf>
    <xf numFmtId="0" fontId="8" fillId="8" borderId="7" xfId="1" applyFont="1" applyFill="1" applyBorder="1"/>
    <xf numFmtId="0" fontId="11" fillId="8" borderId="8" xfId="1" applyFont="1" applyFill="1" applyBorder="1" applyAlignment="1">
      <alignment horizontal="center" vertical="center"/>
    </xf>
    <xf numFmtId="0" fontId="8" fillId="8" borderId="8" xfId="1" applyFont="1" applyFill="1" applyBorder="1"/>
    <xf numFmtId="0" fontId="7" fillId="10" borderId="1" xfId="1" applyFont="1" applyFill="1" applyBorder="1" applyAlignment="1">
      <alignment horizontal="center" vertical="center" wrapText="1"/>
    </xf>
    <xf numFmtId="0" fontId="8" fillId="0" borderId="17" xfId="1" applyFont="1" applyBorder="1"/>
    <xf numFmtId="0" fontId="8" fillId="0" borderId="17" xfId="1" applyFont="1" applyBorder="1" applyAlignment="1">
      <alignment horizontal="center"/>
    </xf>
    <xf numFmtId="166" fontId="8" fillId="12" borderId="17" xfId="1" applyNumberFormat="1" applyFont="1" applyFill="1" applyBorder="1" applyAlignment="1">
      <alignment horizontal="center"/>
    </xf>
    <xf numFmtId="0" fontId="8" fillId="0" borderId="18" xfId="1" applyFont="1" applyBorder="1"/>
    <xf numFmtId="0" fontId="8" fillId="0" borderId="18" xfId="1" applyFont="1" applyBorder="1" applyAlignment="1">
      <alignment horizontal="center"/>
    </xf>
    <xf numFmtId="166" fontId="8" fillId="12" borderId="18" xfId="1" applyNumberFormat="1" applyFont="1" applyFill="1" applyBorder="1"/>
    <xf numFmtId="0" fontId="6" fillId="8" borderId="18" xfId="1" applyFill="1" applyBorder="1"/>
    <xf numFmtId="166" fontId="10" fillId="5" borderId="14" xfId="1" applyNumberFormat="1" applyFont="1" applyFill="1" applyBorder="1" applyAlignment="1">
      <alignment horizontal="center" vertical="center"/>
    </xf>
    <xf numFmtId="0" fontId="7" fillId="5" borderId="1" xfId="0" applyFont="1" applyFill="1" applyBorder="1" applyAlignment="1">
      <alignment horizontal="center" vertical="center"/>
    </xf>
    <xf numFmtId="0" fontId="10" fillId="6" borderId="1" xfId="0" applyFont="1" applyFill="1" applyBorder="1" applyAlignment="1">
      <alignment horizontal="center" vertical="center" wrapText="1"/>
    </xf>
    <xf numFmtId="0" fontId="7" fillId="6" borderId="1" xfId="0" applyFont="1" applyFill="1" applyBorder="1" applyAlignment="1">
      <alignment horizontal="center" vertical="center"/>
    </xf>
    <xf numFmtId="167" fontId="8" fillId="0" borderId="0" xfId="1" applyNumberFormat="1" applyFont="1"/>
    <xf numFmtId="0" fontId="7" fillId="5" borderId="8" xfId="1" applyFont="1" applyFill="1" applyBorder="1" applyAlignment="1">
      <alignment horizontal="center" vertical="center"/>
    </xf>
    <xf numFmtId="0" fontId="7" fillId="6" borderId="8" xfId="1" applyFont="1" applyFill="1" applyBorder="1" applyAlignment="1">
      <alignment horizontal="center" vertical="center"/>
    </xf>
    <xf numFmtId="0" fontId="8" fillId="0" borderId="8" xfId="1" applyFont="1" applyBorder="1" applyAlignment="1">
      <alignment horizontal="center"/>
    </xf>
    <xf numFmtId="0" fontId="7" fillId="13" borderId="1" xfId="1" applyFont="1" applyFill="1" applyBorder="1" applyAlignment="1">
      <alignment horizontal="center" vertical="center"/>
    </xf>
    <xf numFmtId="0" fontId="7" fillId="13" borderId="1" xfId="1" applyFont="1" applyFill="1" applyBorder="1" applyAlignment="1">
      <alignment horizontal="center" vertical="center" wrapText="1"/>
    </xf>
    <xf numFmtId="0" fontId="7" fillId="13" borderId="0" xfId="1" applyFont="1" applyFill="1" applyAlignment="1">
      <alignment horizontal="center" vertical="center"/>
    </xf>
    <xf numFmtId="0" fontId="7" fillId="13" borderId="0" xfId="1" applyFont="1" applyFill="1" applyAlignment="1">
      <alignment horizontal="center" vertical="center" wrapText="1"/>
    </xf>
    <xf numFmtId="0" fontId="7" fillId="13" borderId="5" xfId="1" applyFont="1" applyFill="1" applyBorder="1" applyAlignment="1">
      <alignment horizontal="center" vertical="center" wrapText="1"/>
    </xf>
    <xf numFmtId="0" fontId="7" fillId="13" borderId="6" xfId="1" applyFont="1" applyFill="1" applyBorder="1" applyAlignment="1">
      <alignment horizontal="center" vertical="center" wrapText="1"/>
    </xf>
    <xf numFmtId="0" fontId="7" fillId="6" borderId="8" xfId="1" applyFont="1" applyFill="1" applyBorder="1" applyAlignment="1">
      <alignment horizontal="center" vertical="center" wrapText="1"/>
    </xf>
    <xf numFmtId="0" fontId="7" fillId="6" borderId="8" xfId="0" applyFont="1" applyFill="1" applyBorder="1" applyAlignment="1">
      <alignment horizontal="center" vertical="center"/>
    </xf>
    <xf numFmtId="0" fontId="7" fillId="6" borderId="19" xfId="0" applyFont="1" applyFill="1" applyBorder="1" applyAlignment="1">
      <alignment horizontal="center" vertical="center"/>
    </xf>
    <xf numFmtId="0" fontId="10" fillId="6" borderId="3" xfId="0" applyFont="1" applyFill="1" applyBorder="1" applyAlignment="1">
      <alignment horizontal="center" vertical="center"/>
    </xf>
    <xf numFmtId="0" fontId="10" fillId="6" borderId="20" xfId="1" applyFont="1" applyFill="1" applyBorder="1" applyAlignment="1">
      <alignment horizontal="center" vertical="center" wrapText="1"/>
    </xf>
    <xf numFmtId="0" fontId="11" fillId="14" borderId="18" xfId="1" applyFont="1" applyFill="1" applyBorder="1"/>
    <xf numFmtId="1" fontId="8" fillId="14" borderId="18" xfId="1" applyNumberFormat="1" applyFont="1" applyFill="1" applyBorder="1"/>
    <xf numFmtId="0" fontId="8" fillId="14" borderId="18" xfId="1" applyFont="1" applyFill="1" applyBorder="1"/>
    <xf numFmtId="0" fontId="8" fillId="14" borderId="21" xfId="1" applyFont="1" applyFill="1" applyBorder="1"/>
    <xf numFmtId="1" fontId="8" fillId="14" borderId="21" xfId="1" applyNumberFormat="1" applyFont="1" applyFill="1" applyBorder="1"/>
    <xf numFmtId="0" fontId="8" fillId="15" borderId="7" xfId="1" applyFont="1" applyFill="1" applyBorder="1" applyAlignment="1">
      <alignment horizontal="center" vertical="center"/>
    </xf>
    <xf numFmtId="0" fontId="8" fillId="15" borderId="0" xfId="1" applyFont="1" applyFill="1" applyAlignment="1">
      <alignment horizontal="center" vertical="center"/>
    </xf>
    <xf numFmtId="0" fontId="8" fillId="8" borderId="0" xfId="1" applyFont="1" applyFill="1"/>
    <xf numFmtId="0" fontId="11" fillId="14" borderId="22" xfId="1" applyFont="1" applyFill="1" applyBorder="1"/>
    <xf numFmtId="167" fontId="8" fillId="0" borderId="25" xfId="1" applyNumberFormat="1" applyFont="1" applyBorder="1" applyAlignment="1">
      <alignment horizontal="center" vertical="center"/>
    </xf>
    <xf numFmtId="168" fontId="8" fillId="0" borderId="25" xfId="1" applyNumberFormat="1" applyFont="1" applyBorder="1" applyAlignment="1">
      <alignment horizontal="center" vertical="center"/>
    </xf>
    <xf numFmtId="166" fontId="11" fillId="16" borderId="25" xfId="1" applyNumberFormat="1" applyFont="1" applyFill="1" applyBorder="1" applyAlignment="1">
      <alignment horizontal="center" vertical="center"/>
    </xf>
    <xf numFmtId="166" fontId="11" fillId="17" borderId="0" xfId="1" applyNumberFormat="1" applyFont="1" applyFill="1" applyAlignment="1">
      <alignment horizontal="center" vertical="center"/>
    </xf>
    <xf numFmtId="167" fontId="6" fillId="0" borderId="0" xfId="1" applyNumberFormat="1"/>
    <xf numFmtId="0" fontId="0" fillId="18" borderId="8" xfId="0" applyFill="1" applyBorder="1" applyAlignment="1">
      <alignment horizontal="center"/>
    </xf>
    <xf numFmtId="0" fontId="14" fillId="0" borderId="0" xfId="0" applyFont="1" applyAlignment="1">
      <alignment wrapText="1"/>
    </xf>
    <xf numFmtId="0" fontId="14" fillId="0" borderId="0" xfId="0" applyFont="1"/>
    <xf numFmtId="0" fontId="15" fillId="0" borderId="0" xfId="1" applyFont="1"/>
    <xf numFmtId="169" fontId="15" fillId="0" borderId="0" xfId="1" applyNumberFormat="1" applyFont="1"/>
    <xf numFmtId="1" fontId="15" fillId="0" borderId="0" xfId="1" applyNumberFormat="1" applyFont="1"/>
    <xf numFmtId="0" fontId="17" fillId="15" borderId="0" xfId="1" applyFont="1" applyFill="1" applyAlignment="1">
      <alignment horizontal="center" vertical="center"/>
    </xf>
    <xf numFmtId="0" fontId="17" fillId="0" borderId="0" xfId="1" applyFont="1" applyAlignment="1">
      <alignment horizontal="center" vertical="center"/>
    </xf>
    <xf numFmtId="0" fontId="18" fillId="15" borderId="0" xfId="1" applyFont="1" applyFill="1" applyAlignment="1">
      <alignment horizontal="center" vertical="center" wrapText="1"/>
    </xf>
    <xf numFmtId="0" fontId="18" fillId="0" borderId="0" xfId="1" applyFont="1" applyAlignment="1">
      <alignment horizontal="center" vertical="center" wrapText="1"/>
    </xf>
    <xf numFmtId="0" fontId="20" fillId="19" borderId="29" xfId="1" applyFont="1" applyFill="1" applyBorder="1" applyAlignment="1">
      <alignment horizontal="center" vertical="center"/>
    </xf>
    <xf numFmtId="0" fontId="20" fillId="19" borderId="30" xfId="1" applyFont="1" applyFill="1" applyBorder="1" applyAlignment="1">
      <alignment horizontal="center" vertical="center"/>
    </xf>
    <xf numFmtId="0" fontId="20" fillId="19" borderId="30" xfId="1" applyFont="1" applyFill="1" applyBorder="1" applyAlignment="1">
      <alignment horizontal="center" vertical="center" wrapText="1"/>
    </xf>
    <xf numFmtId="0" fontId="20" fillId="19" borderId="31" xfId="1" applyFont="1" applyFill="1" applyBorder="1" applyAlignment="1">
      <alignment horizontal="center" vertical="center"/>
    </xf>
    <xf numFmtId="0" fontId="20" fillId="19" borderId="32" xfId="1" applyFont="1" applyFill="1" applyBorder="1" applyAlignment="1">
      <alignment horizontal="center" vertical="center" wrapText="1"/>
    </xf>
    <xf numFmtId="0" fontId="20" fillId="20" borderId="0" xfId="1" applyFont="1" applyFill="1" applyAlignment="1">
      <alignment horizontal="center" vertical="center"/>
    </xf>
    <xf numFmtId="0" fontId="6" fillId="0" borderId="0" xfId="1" applyAlignment="1">
      <alignment horizontal="center"/>
    </xf>
    <xf numFmtId="14" fontId="21" fillId="21" borderId="33" xfId="1" applyNumberFormat="1" applyFont="1" applyFill="1" applyBorder="1" applyAlignment="1">
      <alignment horizontal="center" vertical="center"/>
    </xf>
    <xf numFmtId="0" fontId="22" fillId="21" borderId="33" xfId="1" applyFont="1" applyFill="1" applyBorder="1" applyAlignment="1">
      <alignment horizontal="center" vertical="center"/>
    </xf>
    <xf numFmtId="0" fontId="22" fillId="21" borderId="33" xfId="1" applyFont="1" applyFill="1" applyBorder="1" applyAlignment="1">
      <alignment horizontal="left" vertical="center" wrapText="1"/>
    </xf>
    <xf numFmtId="0" fontId="23" fillId="21" borderId="33" xfId="1" applyFont="1" applyFill="1" applyBorder="1" applyAlignment="1">
      <alignment horizontal="left" vertical="center" wrapText="1"/>
    </xf>
    <xf numFmtId="166" fontId="6" fillId="21" borderId="33" xfId="1" applyNumberFormat="1" applyFill="1" applyBorder="1" applyAlignment="1">
      <alignment horizontal="left"/>
    </xf>
    <xf numFmtId="166" fontId="6" fillId="21" borderId="0" xfId="1" applyNumberFormat="1" applyFill="1" applyAlignment="1">
      <alignment horizontal="left"/>
    </xf>
    <xf numFmtId="14" fontId="24" fillId="22" borderId="33" xfId="1" applyNumberFormat="1" applyFont="1" applyFill="1" applyBorder="1" applyAlignment="1">
      <alignment horizontal="center" vertical="center"/>
    </xf>
    <xf numFmtId="1" fontId="26" fillId="0" borderId="33" xfId="1" applyNumberFormat="1" applyFont="1" applyBorder="1" applyAlignment="1">
      <alignment horizontal="center" vertical="center"/>
    </xf>
    <xf numFmtId="1" fontId="22" fillId="0" borderId="33" xfId="1" applyNumberFormat="1" applyFont="1" applyBorder="1" applyAlignment="1">
      <alignment horizontal="center" vertical="center"/>
    </xf>
    <xf numFmtId="0" fontId="22" fillId="0" borderId="33" xfId="1" applyFont="1" applyBorder="1"/>
    <xf numFmtId="0" fontId="23" fillId="0" borderId="33" xfId="1" applyFont="1" applyBorder="1" applyAlignment="1">
      <alignment horizontal="justify"/>
    </xf>
    <xf numFmtId="166" fontId="27" fillId="0" borderId="33" xfId="1" applyNumberFormat="1" applyFont="1" applyBorder="1" applyAlignment="1">
      <alignment horizontal="center" vertical="center" wrapText="1"/>
    </xf>
    <xf numFmtId="166" fontId="10" fillId="0" borderId="33" xfId="1" applyNumberFormat="1" applyFont="1" applyBorder="1" applyAlignment="1">
      <alignment horizontal="center" vertical="center" wrapText="1"/>
    </xf>
    <xf numFmtId="166" fontId="20" fillId="0" borderId="34" xfId="1" applyNumberFormat="1" applyFont="1" applyBorder="1" applyAlignment="1">
      <alignment horizontal="center" vertical="center"/>
    </xf>
    <xf numFmtId="0" fontId="26" fillId="0" borderId="33" xfId="1" applyFont="1" applyBorder="1" applyAlignment="1">
      <alignment horizontal="center" vertical="center"/>
    </xf>
    <xf numFmtId="0" fontId="22" fillId="0" borderId="33" xfId="1" applyFont="1" applyBorder="1" applyAlignment="1">
      <alignment horizontal="left" vertical="center" wrapText="1"/>
    </xf>
    <xf numFmtId="167" fontId="26" fillId="0" borderId="0" xfId="1" applyNumberFormat="1" applyFont="1" applyAlignment="1">
      <alignment horizontal="center"/>
    </xf>
    <xf numFmtId="168" fontId="8" fillId="0" borderId="0" xfId="1" applyNumberFormat="1" applyFont="1"/>
    <xf numFmtId="0" fontId="22" fillId="0" borderId="33" xfId="1" applyFont="1" applyBorder="1" applyAlignment="1">
      <alignment horizontal="center" vertical="center"/>
    </xf>
    <xf numFmtId="167" fontId="26" fillId="0" borderId="9" xfId="1" applyNumberFormat="1" applyFont="1" applyBorder="1" applyAlignment="1">
      <alignment horizontal="center"/>
    </xf>
    <xf numFmtId="167" fontId="26" fillId="0" borderId="8" xfId="1" applyNumberFormat="1" applyFont="1" applyBorder="1" applyAlignment="1">
      <alignment horizontal="center"/>
    </xf>
    <xf numFmtId="166" fontId="27" fillId="0" borderId="33" xfId="1" applyNumberFormat="1" applyFont="1" applyBorder="1" applyAlignment="1">
      <alignment horizontal="center" vertical="center"/>
    </xf>
    <xf numFmtId="167" fontId="28" fillId="12" borderId="35" xfId="1" applyNumberFormat="1" applyFont="1" applyFill="1" applyBorder="1" applyAlignment="1">
      <alignment horizontal="center"/>
    </xf>
    <xf numFmtId="167" fontId="26" fillId="11" borderId="36" xfId="1" applyNumberFormat="1" applyFont="1" applyFill="1" applyBorder="1" applyAlignment="1">
      <alignment horizontal="center"/>
    </xf>
    <xf numFmtId="166" fontId="20" fillId="0" borderId="33" xfId="1" applyNumberFormat="1" applyFont="1" applyBorder="1" applyAlignment="1">
      <alignment horizontal="center" vertical="center" wrapText="1"/>
    </xf>
    <xf numFmtId="166" fontId="20" fillId="0" borderId="33" xfId="1" applyNumberFormat="1" applyFont="1" applyBorder="1" applyAlignment="1">
      <alignment horizontal="center" wrapText="1"/>
    </xf>
    <xf numFmtId="166" fontId="7" fillId="24" borderId="33" xfId="1" applyNumberFormat="1" applyFont="1" applyFill="1" applyBorder="1" applyAlignment="1">
      <alignment horizontal="center" vertical="center" wrapText="1"/>
    </xf>
    <xf numFmtId="167" fontId="26" fillId="0" borderId="0" xfId="1" applyNumberFormat="1" applyFont="1" applyAlignment="1">
      <alignment horizontal="center" vertical="center"/>
    </xf>
    <xf numFmtId="14" fontId="29" fillId="21" borderId="33" xfId="1" applyNumberFormat="1" applyFont="1" applyFill="1" applyBorder="1" applyAlignment="1">
      <alignment horizontal="right"/>
    </xf>
    <xf numFmtId="0" fontId="30" fillId="21" borderId="33" xfId="1" applyFont="1" applyFill="1" applyBorder="1" applyAlignment="1">
      <alignment horizontal="center" vertical="center"/>
    </xf>
    <xf numFmtId="0" fontId="30" fillId="21" borderId="33" xfId="1" applyFont="1" applyFill="1" applyBorder="1" applyAlignment="1">
      <alignment horizontal="left" vertical="center" wrapText="1"/>
    </xf>
    <xf numFmtId="166" fontId="31" fillId="21" borderId="33" xfId="1" applyNumberFormat="1" applyFont="1" applyFill="1" applyBorder="1" applyAlignment="1">
      <alignment horizontal="left"/>
    </xf>
    <xf numFmtId="166" fontId="31" fillId="21" borderId="34" xfId="1" applyNumberFormat="1" applyFont="1" applyFill="1" applyBorder="1" applyAlignment="1">
      <alignment horizontal="left"/>
    </xf>
    <xf numFmtId="166" fontId="31" fillId="21" borderId="0" xfId="1" applyNumberFormat="1" applyFont="1" applyFill="1" applyAlignment="1">
      <alignment horizontal="left"/>
    </xf>
    <xf numFmtId="167" fontId="6" fillId="0" borderId="0" xfId="1" applyNumberFormat="1" applyAlignment="1">
      <alignment horizontal="center"/>
    </xf>
    <xf numFmtId="166" fontId="8" fillId="0" borderId="0" xfId="1" applyNumberFormat="1" applyFont="1"/>
    <xf numFmtId="165" fontId="32" fillId="0" borderId="0" xfId="3" applyFont="1"/>
    <xf numFmtId="166" fontId="27" fillId="0" borderId="34" xfId="1" applyNumberFormat="1" applyFont="1" applyBorder="1" applyAlignment="1">
      <alignment horizontal="center" vertical="center"/>
    </xf>
    <xf numFmtId="166" fontId="7" fillId="24" borderId="34" xfId="1" applyNumberFormat="1" applyFont="1" applyFill="1" applyBorder="1" applyAlignment="1">
      <alignment horizontal="center" vertical="center" wrapText="1"/>
    </xf>
    <xf numFmtId="166" fontId="33" fillId="21" borderId="33" xfId="1" applyNumberFormat="1" applyFont="1" applyFill="1" applyBorder="1" applyAlignment="1">
      <alignment horizontal="left"/>
    </xf>
    <xf numFmtId="166" fontId="33" fillId="21" borderId="34" xfId="1" applyNumberFormat="1" applyFont="1" applyFill="1" applyBorder="1" applyAlignment="1">
      <alignment horizontal="left"/>
    </xf>
    <xf numFmtId="0" fontId="32" fillId="0" borderId="0" xfId="1" applyFont="1"/>
    <xf numFmtId="44" fontId="32" fillId="0" borderId="0" xfId="1" applyNumberFormat="1" applyFont="1"/>
    <xf numFmtId="1" fontId="22" fillId="8" borderId="33" xfId="1" applyNumberFormat="1" applyFont="1" applyFill="1" applyBorder="1" applyAlignment="1">
      <alignment horizontal="center" vertical="center"/>
    </xf>
    <xf numFmtId="44" fontId="34" fillId="0" borderId="0" xfId="1" applyNumberFormat="1" applyFont="1"/>
    <xf numFmtId="44" fontId="35" fillId="0" borderId="0" xfId="1" applyNumberFormat="1" applyFont="1"/>
    <xf numFmtId="14" fontId="36" fillId="26" borderId="39" xfId="0" applyNumberFormat="1" applyFont="1" applyFill="1" applyBorder="1" applyAlignment="1">
      <alignment horizontal="center" vertical="center"/>
    </xf>
    <xf numFmtId="14" fontId="24" fillId="27" borderId="33" xfId="1" applyNumberFormat="1" applyFont="1" applyFill="1" applyBorder="1" applyAlignment="1">
      <alignment horizontal="center" vertical="center"/>
    </xf>
    <xf numFmtId="0" fontId="22" fillId="28" borderId="33" xfId="1" applyFont="1" applyFill="1" applyBorder="1" applyAlignment="1">
      <alignment horizontal="center" vertical="center"/>
    </xf>
    <xf numFmtId="0" fontId="26" fillId="28" borderId="33" xfId="1" applyFont="1" applyFill="1" applyBorder="1" applyAlignment="1">
      <alignment horizontal="center" vertical="center"/>
    </xf>
    <xf numFmtId="0" fontId="22" fillId="28" borderId="33" xfId="1" applyFont="1" applyFill="1" applyBorder="1" applyAlignment="1">
      <alignment horizontal="left" vertical="center" wrapText="1"/>
    </xf>
    <xf numFmtId="0" fontId="23" fillId="28" borderId="33" xfId="1" applyFont="1" applyFill="1" applyBorder="1" applyAlignment="1">
      <alignment horizontal="justify"/>
    </xf>
    <xf numFmtId="166" fontId="20" fillId="28" borderId="33" xfId="1" applyNumberFormat="1" applyFont="1" applyFill="1" applyBorder="1" applyAlignment="1">
      <alignment horizontal="center" vertical="center" wrapText="1"/>
    </xf>
    <xf numFmtId="166" fontId="7" fillId="28" borderId="34" xfId="1" applyNumberFormat="1" applyFont="1" applyFill="1" applyBorder="1" applyAlignment="1">
      <alignment horizontal="center" vertical="center" wrapText="1"/>
    </xf>
    <xf numFmtId="167" fontId="26" fillId="28" borderId="8" xfId="1" applyNumberFormat="1" applyFont="1" applyFill="1" applyBorder="1" applyAlignment="1">
      <alignment horizontal="center" vertical="center"/>
    </xf>
    <xf numFmtId="166" fontId="6" fillId="21" borderId="34" xfId="1" applyNumberFormat="1" applyFill="1" applyBorder="1" applyAlignment="1">
      <alignment horizontal="left"/>
    </xf>
    <xf numFmtId="0" fontId="26" fillId="0" borderId="0" xfId="1" applyFont="1" applyAlignment="1">
      <alignment horizontal="center"/>
    </xf>
    <xf numFmtId="0" fontId="6" fillId="8" borderId="0" xfId="1" applyFill="1" applyAlignment="1">
      <alignment horizontal="center"/>
    </xf>
    <xf numFmtId="14" fontId="24" fillId="22" borderId="42" xfId="1" applyNumberFormat="1" applyFont="1" applyFill="1" applyBorder="1" applyAlignment="1">
      <alignment horizontal="center" vertical="center"/>
    </xf>
    <xf numFmtId="0" fontId="27" fillId="19" borderId="42" xfId="1" applyFont="1" applyFill="1" applyBorder="1" applyAlignment="1">
      <alignment horizontal="center" vertical="center"/>
    </xf>
    <xf numFmtId="0" fontId="37" fillId="19" borderId="42" xfId="1" applyFont="1" applyFill="1" applyBorder="1" applyAlignment="1">
      <alignment horizontal="left" wrapText="1"/>
    </xf>
    <xf numFmtId="0" fontId="37" fillId="19" borderId="42" xfId="1" applyFont="1" applyFill="1" applyBorder="1" applyAlignment="1">
      <alignment horizontal="left" vertical="center" wrapText="1"/>
    </xf>
    <xf numFmtId="0" fontId="20" fillId="19" borderId="42" xfId="1" applyFont="1" applyFill="1" applyBorder="1" applyAlignment="1">
      <alignment horizontal="center" vertical="center"/>
    </xf>
    <xf numFmtId="0" fontId="20" fillId="19" borderId="42" xfId="1" applyFont="1" applyFill="1" applyBorder="1" applyAlignment="1">
      <alignment horizontal="center" vertical="center" wrapText="1"/>
    </xf>
    <xf numFmtId="0" fontId="20" fillId="19" borderId="0" xfId="1" applyFont="1" applyFill="1" applyAlignment="1">
      <alignment horizontal="center" vertical="center"/>
    </xf>
    <xf numFmtId="3" fontId="38" fillId="0" borderId="0" xfId="1" applyNumberFormat="1" applyFont="1" applyAlignment="1">
      <alignment horizontal="center"/>
    </xf>
    <xf numFmtId="14" fontId="21" fillId="29" borderId="43" xfId="1" applyNumberFormat="1" applyFont="1" applyFill="1" applyBorder="1" applyAlignment="1">
      <alignment horizontal="right"/>
    </xf>
    <xf numFmtId="1" fontId="21" fillId="29" borderId="44" xfId="1" applyNumberFormat="1" applyFont="1" applyFill="1" applyBorder="1" applyAlignment="1">
      <alignment horizontal="center"/>
    </xf>
    <xf numFmtId="0" fontId="39" fillId="0" borderId="44" xfId="1" applyFont="1" applyBorder="1" applyAlignment="1">
      <alignment horizontal="right"/>
    </xf>
    <xf numFmtId="168" fontId="21" fillId="30" borderId="44" xfId="1" applyNumberFormat="1" applyFont="1" applyFill="1" applyBorder="1"/>
    <xf numFmtId="3" fontId="21" fillId="30" borderId="44" xfId="1" applyNumberFormat="1" applyFont="1" applyFill="1" applyBorder="1"/>
    <xf numFmtId="3" fontId="21" fillId="30" borderId="0" xfId="1" applyNumberFormat="1" applyFont="1" applyFill="1"/>
    <xf numFmtId="3" fontId="29" fillId="15" borderId="8" xfId="1" applyNumberFormat="1" applyFont="1" applyFill="1" applyBorder="1" applyAlignment="1">
      <alignment horizontal="center"/>
    </xf>
    <xf numFmtId="14" fontId="27" fillId="0" borderId="0" xfId="1" applyNumberFormat="1" applyFont="1" applyAlignment="1">
      <alignment horizontal="center" vertical="center"/>
    </xf>
    <xf numFmtId="0" fontId="27" fillId="0" borderId="0" xfId="1" applyFont="1" applyAlignment="1">
      <alignment horizontal="center" vertical="center"/>
    </xf>
    <xf numFmtId="0" fontId="6" fillId="0" borderId="0" xfId="1" applyAlignment="1">
      <alignment horizontal="center" vertical="center"/>
    </xf>
    <xf numFmtId="0" fontId="40" fillId="22" borderId="13" xfId="1" applyFont="1" applyFill="1" applyBorder="1" applyAlignment="1">
      <alignment horizontal="center" vertical="center" wrapText="1"/>
    </xf>
    <xf numFmtId="3" fontId="41" fillId="22" borderId="0" xfId="1" applyNumberFormat="1" applyFont="1" applyFill="1" applyAlignment="1">
      <alignment horizontal="center" vertical="center"/>
    </xf>
    <xf numFmtId="168" fontId="32" fillId="15" borderId="8" xfId="1" applyNumberFormat="1" applyFont="1" applyFill="1" applyBorder="1"/>
    <xf numFmtId="170" fontId="42" fillId="15" borderId="8" xfId="1" applyNumberFormat="1" applyFont="1" applyFill="1" applyBorder="1"/>
    <xf numFmtId="170" fontId="43" fillId="0" borderId="0" xfId="1" applyNumberFormat="1" applyFont="1"/>
    <xf numFmtId="170" fontId="32" fillId="0" borderId="0" xfId="1" applyNumberFormat="1" applyFont="1"/>
    <xf numFmtId="3" fontId="41" fillId="22" borderId="0" xfId="1" applyNumberFormat="1" applyFont="1" applyFill="1" applyAlignment="1">
      <alignment horizontal="right" vertical="center"/>
    </xf>
    <xf numFmtId="14" fontId="21" fillId="0" borderId="0" xfId="1" applyNumberFormat="1" applyFont="1" applyAlignment="1">
      <alignment horizontal="center" vertical="center"/>
    </xf>
    <xf numFmtId="171" fontId="44" fillId="32" borderId="53" xfId="1" applyNumberFormat="1" applyFont="1" applyFill="1" applyBorder="1" applyAlignment="1">
      <alignment horizontal="center" vertical="center" wrapText="1"/>
    </xf>
    <xf numFmtId="172" fontId="44" fillId="32" borderId="54" xfId="1" applyNumberFormat="1" applyFont="1" applyFill="1" applyBorder="1" applyAlignment="1">
      <alignment horizontal="center" vertical="center" wrapText="1"/>
    </xf>
    <xf numFmtId="0" fontId="44" fillId="32" borderId="54" xfId="1" applyFont="1" applyFill="1" applyBorder="1" applyAlignment="1">
      <alignment horizontal="center" vertical="center" wrapText="1"/>
    </xf>
    <xf numFmtId="0" fontId="45" fillId="32" borderId="55" xfId="1" applyFont="1" applyFill="1" applyBorder="1" applyAlignment="1">
      <alignment horizontal="center" vertical="center" wrapText="1"/>
    </xf>
    <xf numFmtId="168" fontId="46" fillId="12" borderId="0" xfId="1" applyNumberFormat="1" applyFont="1" applyFill="1" applyAlignment="1">
      <alignment horizontal="center"/>
    </xf>
    <xf numFmtId="173" fontId="47" fillId="33" borderId="8" xfId="1" applyNumberFormat="1" applyFont="1" applyFill="1" applyBorder="1" applyAlignment="1">
      <alignment horizontal="center" vertical="center" wrapText="1"/>
    </xf>
    <xf numFmtId="20" fontId="47" fillId="33" borderId="8" xfId="1" applyNumberFormat="1" applyFont="1" applyFill="1" applyBorder="1" applyAlignment="1">
      <alignment horizontal="center" vertical="center" wrapText="1"/>
    </xf>
    <xf numFmtId="49" fontId="47" fillId="33" borderId="8" xfId="1" applyNumberFormat="1" applyFont="1" applyFill="1" applyBorder="1" applyAlignment="1">
      <alignment horizontal="center" vertical="center" wrapText="1"/>
    </xf>
    <xf numFmtId="0" fontId="48" fillId="34" borderId="7" xfId="0" applyFont="1" applyFill="1" applyBorder="1" applyAlignment="1">
      <alignment horizontal="center" vertical="center"/>
    </xf>
    <xf numFmtId="0" fontId="48" fillId="34" borderId="8" xfId="0" applyFont="1" applyFill="1" applyBorder="1" applyAlignment="1">
      <alignment horizontal="center" vertical="center" wrapText="1"/>
    </xf>
    <xf numFmtId="166" fontId="10" fillId="35" borderId="5" xfId="1" applyNumberFormat="1" applyFont="1" applyFill="1" applyBorder="1" applyAlignment="1">
      <alignment horizontal="center" vertical="center"/>
    </xf>
    <xf numFmtId="0" fontId="46" fillId="0" borderId="0" xfId="1" applyFont="1" applyAlignment="1">
      <alignment horizontal="center"/>
    </xf>
    <xf numFmtId="49" fontId="45" fillId="36" borderId="0" xfId="1" applyNumberFormat="1" applyFont="1" applyFill="1" applyAlignment="1">
      <alignment horizontal="center" vertical="center" wrapText="1"/>
    </xf>
    <xf numFmtId="49" fontId="6" fillId="8" borderId="0" xfId="1" applyNumberFormat="1" applyFill="1"/>
    <xf numFmtId="49" fontId="6" fillId="0" borderId="0" xfId="1" applyNumberFormat="1"/>
    <xf numFmtId="49" fontId="46" fillId="8" borderId="0" xfId="1" applyNumberFormat="1" applyFont="1" applyFill="1" applyAlignment="1">
      <alignment horizontal="center"/>
    </xf>
    <xf numFmtId="49" fontId="46" fillId="0" borderId="0" xfId="1" applyNumberFormat="1" applyFont="1" applyAlignment="1">
      <alignment horizontal="center"/>
    </xf>
    <xf numFmtId="49" fontId="46" fillId="0" borderId="9" xfId="1" applyNumberFormat="1" applyFont="1" applyBorder="1" applyAlignment="1">
      <alignment horizontal="center"/>
    </xf>
    <xf numFmtId="49" fontId="45" fillId="0" borderId="0" xfId="1" applyNumberFormat="1" applyFont="1" applyAlignment="1">
      <alignment horizontal="center" vertical="center" wrapText="1"/>
    </xf>
    <xf numFmtId="169" fontId="45" fillId="0" borderId="0" xfId="3" applyNumberFormat="1" applyFont="1" applyFill="1" applyBorder="1" applyAlignment="1">
      <alignment horizontal="center" vertical="center" wrapText="1"/>
    </xf>
    <xf numFmtId="164" fontId="49" fillId="0" borderId="0" xfId="4" applyFont="1" applyAlignment="1">
      <alignment horizontal="center"/>
    </xf>
    <xf numFmtId="49" fontId="50" fillId="0" borderId="0" xfId="1" applyNumberFormat="1" applyFont="1" applyAlignment="1">
      <alignment horizontal="center" wrapText="1"/>
    </xf>
    <xf numFmtId="49" fontId="50" fillId="8" borderId="0" xfId="1" applyNumberFormat="1" applyFont="1" applyFill="1" applyAlignment="1">
      <alignment horizontal="center" wrapText="1"/>
    </xf>
    <xf numFmtId="173" fontId="47" fillId="33" borderId="7" xfId="1" applyNumberFormat="1" applyFont="1" applyFill="1" applyBorder="1" applyAlignment="1">
      <alignment horizontal="center" vertical="center" wrapText="1"/>
    </xf>
    <xf numFmtId="21" fontId="42" fillId="0" borderId="56" xfId="1" applyNumberFormat="1" applyFont="1" applyBorder="1" applyAlignment="1">
      <alignment horizontal="center" vertical="center" wrapText="1"/>
    </xf>
    <xf numFmtId="0" fontId="8" fillId="0" borderId="56" xfId="1" applyFont="1" applyBorder="1" applyAlignment="1">
      <alignment horizontal="center" vertical="center" wrapText="1"/>
    </xf>
    <xf numFmtId="169" fontId="51" fillId="22" borderId="38" xfId="5" applyNumberFormat="1" applyFont="1" applyFill="1" applyBorder="1" applyAlignment="1" applyProtection="1">
      <alignment horizontal="center" vertical="center" wrapText="1"/>
    </xf>
    <xf numFmtId="3" fontId="42" fillId="0" borderId="0" xfId="1" applyNumberFormat="1" applyFont="1" applyAlignment="1">
      <alignment horizontal="center" vertical="center" wrapText="1"/>
    </xf>
    <xf numFmtId="0" fontId="42" fillId="8" borderId="0" xfId="1" applyFont="1" applyFill="1" applyAlignment="1">
      <alignment horizontal="center" vertical="center" wrapText="1"/>
    </xf>
    <xf numFmtId="167" fontId="43" fillId="0" borderId="0" xfId="1" applyNumberFormat="1" applyFont="1"/>
    <xf numFmtId="175" fontId="6" fillId="0" borderId="0" xfId="1" applyNumberFormat="1"/>
    <xf numFmtId="0" fontId="42" fillId="0" borderId="0" xfId="1" applyFont="1" applyAlignment="1">
      <alignment horizontal="center" vertical="center" wrapText="1"/>
    </xf>
    <xf numFmtId="3" fontId="6" fillId="6" borderId="0" xfId="1" applyNumberFormat="1" applyFill="1" applyAlignment="1">
      <alignment horizontal="center"/>
    </xf>
    <xf numFmtId="0" fontId="37" fillId="6" borderId="0" xfId="1" applyFont="1" applyFill="1" applyAlignment="1">
      <alignment horizontal="left"/>
    </xf>
    <xf numFmtId="0" fontId="6" fillId="6" borderId="0" xfId="1" applyFill="1"/>
    <xf numFmtId="169" fontId="43" fillId="8" borderId="0" xfId="1" applyNumberFormat="1" applyFont="1" applyFill="1" applyAlignment="1">
      <alignment horizontal="center" vertical="center" wrapText="1"/>
    </xf>
    <xf numFmtId="3" fontId="43" fillId="0" borderId="0" xfId="1" applyNumberFormat="1" applyFont="1"/>
    <xf numFmtId="3" fontId="6" fillId="0" borderId="0" xfId="1" applyNumberFormat="1"/>
    <xf numFmtId="0" fontId="7" fillId="5" borderId="0" xfId="0" applyFont="1" applyFill="1" applyAlignment="1">
      <alignment horizontal="center" vertical="center"/>
    </xf>
    <xf numFmtId="49" fontId="7" fillId="5" borderId="0" xfId="0" applyNumberFormat="1" applyFont="1" applyFill="1" applyAlignment="1">
      <alignment horizontal="center" vertical="center"/>
    </xf>
    <xf numFmtId="166" fontId="10" fillId="6" borderId="0" xfId="1" applyNumberFormat="1" applyFont="1" applyFill="1" applyAlignment="1">
      <alignment horizontal="center" vertical="center"/>
    </xf>
    <xf numFmtId="166" fontId="55" fillId="5" borderId="0" xfId="1" applyNumberFormat="1" applyFont="1" applyFill="1" applyAlignment="1">
      <alignment horizontal="center" vertical="center"/>
    </xf>
    <xf numFmtId="3" fontId="57" fillId="0" borderId="0" xfId="1" applyNumberFormat="1" applyFont="1"/>
    <xf numFmtId="169" fontId="0" fillId="0" borderId="0" xfId="0" applyNumberFormat="1" applyAlignment="1">
      <alignment horizontal="center" vertical="center"/>
    </xf>
    <xf numFmtId="0" fontId="28" fillId="0" borderId="0" xfId="1" applyFont="1" applyAlignment="1">
      <alignment horizontal="center"/>
    </xf>
    <xf numFmtId="169" fontId="46" fillId="0" borderId="0" xfId="1" applyNumberFormat="1" applyFont="1"/>
    <xf numFmtId="3" fontId="35" fillId="0" borderId="0" xfId="1" applyNumberFormat="1" applyFont="1"/>
    <xf numFmtId="3" fontId="28" fillId="0" borderId="0" xfId="1" applyNumberFormat="1" applyFont="1"/>
    <xf numFmtId="176" fontId="59" fillId="0" borderId="0" xfId="5" applyNumberFormat="1" applyFont="1" applyFill="1" applyBorder="1" applyAlignment="1" applyProtection="1">
      <alignment vertical="center"/>
    </xf>
    <xf numFmtId="0" fontId="15" fillId="0" borderId="0" xfId="1" applyFont="1" applyAlignment="1">
      <alignment horizontal="center"/>
    </xf>
    <xf numFmtId="0" fontId="61" fillId="0" borderId="0" xfId="0" applyFont="1"/>
    <xf numFmtId="0" fontId="60" fillId="0" borderId="8" xfId="0" applyFont="1" applyBorder="1" applyAlignment="1">
      <alignment horizontal="center"/>
    </xf>
    <xf numFmtId="0" fontId="60" fillId="0" borderId="60" xfId="0" applyFont="1" applyBorder="1" applyAlignment="1">
      <alignment horizontal="center" wrapText="1"/>
    </xf>
    <xf numFmtId="0" fontId="61" fillId="0" borderId="8" xfId="0" applyFont="1" applyBorder="1" applyAlignment="1">
      <alignment horizontal="center"/>
    </xf>
    <xf numFmtId="164" fontId="61" fillId="0" borderId="8" xfId="4" applyFont="1" applyBorder="1"/>
    <xf numFmtId="177" fontId="62" fillId="15" borderId="8" xfId="0" applyNumberFormat="1" applyFont="1" applyFill="1" applyBorder="1"/>
    <xf numFmtId="0" fontId="61" fillId="11" borderId="0" xfId="0" applyFont="1" applyFill="1"/>
    <xf numFmtId="164" fontId="61" fillId="0" borderId="0" xfId="0" applyNumberFormat="1" applyFont="1"/>
    <xf numFmtId="164" fontId="60" fillId="0" borderId="0" xfId="0" applyNumberFormat="1" applyFont="1"/>
    <xf numFmtId="177" fontId="61" fillId="0" borderId="0" xfId="0" applyNumberFormat="1" applyFont="1"/>
    <xf numFmtId="177" fontId="63" fillId="15" borderId="16" xfId="0" applyNumberFormat="1" applyFont="1" applyFill="1" applyBorder="1"/>
    <xf numFmtId="164" fontId="0" fillId="0" borderId="0" xfId="0" applyNumberFormat="1"/>
    <xf numFmtId="178" fontId="0" fillId="0" borderId="0" xfId="0" applyNumberFormat="1"/>
    <xf numFmtId="17" fontId="0" fillId="0" borderId="0" xfId="0" applyNumberFormat="1"/>
    <xf numFmtId="177" fontId="61" fillId="0" borderId="8" xfId="4" applyNumberFormat="1" applyFont="1" applyBorder="1"/>
    <xf numFmtId="177" fontId="61" fillId="0" borderId="8" xfId="0" applyNumberFormat="1" applyFont="1" applyBorder="1"/>
    <xf numFmtId="0" fontId="0" fillId="11" borderId="0" xfId="0" applyFill="1"/>
    <xf numFmtId="164" fontId="61" fillId="8" borderId="8" xfId="4" applyFont="1" applyFill="1" applyBorder="1"/>
    <xf numFmtId="177" fontId="0" fillId="0" borderId="0" xfId="0" applyNumberFormat="1"/>
    <xf numFmtId="177" fontId="61" fillId="0" borderId="0" xfId="4" applyNumberFormat="1" applyFont="1" applyFill="1" applyBorder="1"/>
    <xf numFmtId="177" fontId="0" fillId="0" borderId="8" xfId="0" applyNumberFormat="1" applyBorder="1"/>
    <xf numFmtId="164" fontId="0" fillId="0" borderId="0" xfId="2" applyFont="1"/>
    <xf numFmtId="0" fontId="0" fillId="0" borderId="36" xfId="0" applyBorder="1"/>
    <xf numFmtId="0" fontId="0" fillId="0" borderId="37" xfId="0" applyBorder="1"/>
    <xf numFmtId="164" fontId="0" fillId="0" borderId="0" xfId="4" applyFont="1"/>
    <xf numFmtId="177" fontId="60" fillId="0" borderId="0" xfId="0" applyNumberFormat="1" applyFont="1"/>
    <xf numFmtId="164" fontId="0" fillId="0" borderId="8" xfId="2" applyFont="1" applyBorder="1"/>
    <xf numFmtId="177" fontId="63" fillId="15" borderId="0" xfId="0" applyNumberFormat="1" applyFont="1" applyFill="1"/>
    <xf numFmtId="0" fontId="4" fillId="0" borderId="8"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xf>
    <xf numFmtId="1" fontId="8" fillId="0" borderId="18" xfId="1" applyNumberFormat="1" applyFont="1" applyBorder="1"/>
    <xf numFmtId="0" fontId="0" fillId="0" borderId="8" xfId="0" applyBorder="1"/>
    <xf numFmtId="164" fontId="63" fillId="15" borderId="0" xfId="2" applyFont="1" applyFill="1"/>
    <xf numFmtId="3" fontId="0" fillId="0" borderId="0" xfId="0" applyNumberFormat="1"/>
    <xf numFmtId="164" fontId="0" fillId="0" borderId="0" xfId="2" applyFont="1" applyBorder="1"/>
    <xf numFmtId="0" fontId="63" fillId="15" borderId="0" xfId="0" applyFont="1" applyFill="1"/>
    <xf numFmtId="0" fontId="15" fillId="38" borderId="0" xfId="1" applyFont="1" applyFill="1"/>
    <xf numFmtId="169" fontId="15" fillId="38" borderId="0" xfId="1" applyNumberFormat="1" applyFont="1" applyFill="1"/>
    <xf numFmtId="1" fontId="15" fillId="38" borderId="0" xfId="1" applyNumberFormat="1" applyFont="1" applyFill="1"/>
    <xf numFmtId="0" fontId="15" fillId="0" borderId="0" xfId="1" applyFont="1" applyAlignment="1">
      <alignment horizontal="left"/>
    </xf>
    <xf numFmtId="0" fontId="60" fillId="8" borderId="8" xfId="0" applyFont="1" applyFill="1" applyBorder="1" applyAlignment="1">
      <alignment horizontal="center"/>
    </xf>
    <xf numFmtId="0" fontId="61" fillId="8" borderId="8" xfId="0" applyFont="1" applyFill="1" applyBorder="1" applyAlignment="1">
      <alignment horizontal="center"/>
    </xf>
    <xf numFmtId="177" fontId="0" fillId="8" borderId="8" xfId="0" applyNumberFormat="1" applyFill="1" applyBorder="1"/>
    <xf numFmtId="164" fontId="0" fillId="8" borderId="8" xfId="2" applyFont="1" applyFill="1" applyBorder="1"/>
    <xf numFmtId="164" fontId="0" fillId="8" borderId="0" xfId="2" applyFont="1" applyFill="1"/>
    <xf numFmtId="177" fontId="61" fillId="8" borderId="8" xfId="0" applyNumberFormat="1" applyFont="1" applyFill="1" applyBorder="1"/>
    <xf numFmtId="0" fontId="15" fillId="8" borderId="0" xfId="1" applyFont="1" applyFill="1"/>
    <xf numFmtId="0" fontId="8" fillId="0" borderId="0" xfId="1" applyFont="1" applyAlignment="1">
      <alignment wrapText="1"/>
    </xf>
    <xf numFmtId="0" fontId="7" fillId="5" borderId="8" xfId="0" applyFont="1" applyFill="1" applyBorder="1" applyAlignment="1">
      <alignment horizontal="center" vertical="center" wrapText="1"/>
    </xf>
    <xf numFmtId="0" fontId="8" fillId="0" borderId="17" xfId="1" applyFont="1" applyBorder="1" applyAlignment="1">
      <alignment wrapText="1"/>
    </xf>
    <xf numFmtId="0" fontId="8" fillId="14" borderId="21" xfId="1" applyFont="1" applyFill="1" applyBorder="1" applyAlignment="1">
      <alignment wrapText="1"/>
    </xf>
    <xf numFmtId="0" fontId="8" fillId="15" borderId="7" xfId="1" applyFont="1" applyFill="1" applyBorder="1" applyAlignment="1">
      <alignment horizontal="center" vertical="center" wrapText="1"/>
    </xf>
    <xf numFmtId="167" fontId="8" fillId="0" borderId="25" xfId="1" applyNumberFormat="1" applyFont="1" applyBorder="1" applyAlignment="1">
      <alignment horizontal="center" vertical="center" wrapText="1"/>
    </xf>
    <xf numFmtId="0" fontId="6" fillId="0" borderId="0" xfId="1" applyAlignment="1">
      <alignment wrapText="1"/>
    </xf>
    <xf numFmtId="0" fontId="15" fillId="0" borderId="0" xfId="1" applyFont="1" applyAlignment="1">
      <alignment wrapText="1"/>
    </xf>
    <xf numFmtId="0" fontId="67" fillId="39" borderId="66" xfId="0" applyFont="1" applyFill="1" applyBorder="1" applyAlignment="1">
      <alignment horizontal="center" vertical="center"/>
    </xf>
    <xf numFmtId="0" fontId="67" fillId="39" borderId="67" xfId="0" applyFont="1" applyFill="1" applyBorder="1" applyAlignment="1">
      <alignment horizontal="center" vertical="center"/>
    </xf>
    <xf numFmtId="0" fontId="67" fillId="39" borderId="67" xfId="0" applyFont="1" applyFill="1" applyBorder="1" applyAlignment="1">
      <alignment horizontal="center" vertical="center" wrapText="1"/>
    </xf>
    <xf numFmtId="0" fontId="11" fillId="40" borderId="8" xfId="0" applyFont="1" applyFill="1" applyBorder="1" applyAlignment="1">
      <alignment horizontal="center"/>
    </xf>
    <xf numFmtId="0" fontId="8" fillId="0" borderId="9" xfId="0" applyFont="1" applyBorder="1" applyAlignment="1">
      <alignment horizontal="center" vertical="center"/>
    </xf>
    <xf numFmtId="1" fontId="68" fillId="41" borderId="68" xfId="0" applyNumberFormat="1" applyFont="1" applyFill="1" applyBorder="1" applyAlignment="1" applyProtection="1">
      <alignment horizontal="center" vertical="center"/>
      <protection locked="0" hidden="1"/>
    </xf>
    <xf numFmtId="0" fontId="69" fillId="0" borderId="9" xfId="0" applyFont="1" applyBorder="1" applyAlignment="1">
      <alignment horizontal="center" vertical="center"/>
    </xf>
    <xf numFmtId="0" fontId="68" fillId="41" borderId="68" xfId="0" applyFont="1" applyFill="1" applyBorder="1" applyAlignment="1">
      <alignment horizontal="center" vertical="center"/>
    </xf>
    <xf numFmtId="0" fontId="67" fillId="41" borderId="10" xfId="0" applyFont="1" applyFill="1" applyBorder="1" applyAlignment="1">
      <alignment horizontal="center" vertical="center"/>
    </xf>
    <xf numFmtId="0" fontId="67" fillId="41" borderId="9" xfId="0" applyFont="1" applyFill="1" applyBorder="1" applyAlignment="1">
      <alignment horizontal="center" vertical="center"/>
    </xf>
    <xf numFmtId="0" fontId="11" fillId="40" borderId="38" xfId="0" applyFont="1" applyFill="1" applyBorder="1" applyAlignment="1">
      <alignment horizontal="center"/>
    </xf>
    <xf numFmtId="0" fontId="8" fillId="0" borderId="37" xfId="0" applyFont="1" applyBorder="1" applyAlignment="1">
      <alignment horizontal="center" vertical="center"/>
    </xf>
    <xf numFmtId="0" fontId="69" fillId="0" borderId="37" xfId="0" applyFont="1" applyBorder="1" applyAlignment="1">
      <alignment horizontal="center" vertical="center"/>
    </xf>
    <xf numFmtId="0" fontId="67" fillId="41" borderId="37" xfId="0" applyFont="1" applyFill="1" applyBorder="1" applyAlignment="1">
      <alignment horizontal="center" vertical="center"/>
    </xf>
    <xf numFmtId="0" fontId="11" fillId="40" borderId="16" xfId="0" applyFont="1" applyFill="1" applyBorder="1" applyAlignment="1">
      <alignment horizontal="center"/>
    </xf>
    <xf numFmtId="0" fontId="69" fillId="0" borderId="0" xfId="0" applyFont="1"/>
    <xf numFmtId="0" fontId="69" fillId="0" borderId="69" xfId="0" applyFont="1" applyBorder="1"/>
    <xf numFmtId="0" fontId="68" fillId="41" borderId="9" xfId="0" applyFont="1" applyFill="1" applyBorder="1" applyAlignment="1" applyProtection="1">
      <alignment horizontal="center" vertical="center"/>
      <protection locked="0" hidden="1"/>
    </xf>
    <xf numFmtId="0" fontId="69" fillId="0" borderId="69" xfId="0" applyFont="1" applyBorder="1" applyAlignment="1">
      <alignment horizontal="center" vertical="center"/>
    </xf>
    <xf numFmtId="0" fontId="69" fillId="0" borderId="9" xfId="0" applyFont="1" applyBorder="1"/>
    <xf numFmtId="0" fontId="68" fillId="41" borderId="9" xfId="0" applyFont="1" applyFill="1" applyBorder="1" applyAlignment="1">
      <alignment horizontal="center" vertical="center"/>
    </xf>
    <xf numFmtId="166" fontId="68" fillId="41" borderId="9" xfId="0" applyNumberFormat="1" applyFont="1" applyFill="1" applyBorder="1" applyAlignment="1">
      <alignment horizontal="center" vertical="center"/>
    </xf>
    <xf numFmtId="0" fontId="11" fillId="42" borderId="0" xfId="0" applyFont="1" applyFill="1" applyAlignment="1">
      <alignment horizontal="center"/>
    </xf>
    <xf numFmtId="0" fontId="68" fillId="41" borderId="0" xfId="0" applyFont="1" applyFill="1" applyAlignment="1">
      <alignment horizontal="center" vertical="center"/>
    </xf>
    <xf numFmtId="0" fontId="8" fillId="0" borderId="0" xfId="0" applyFont="1"/>
    <xf numFmtId="0" fontId="11" fillId="40" borderId="8" xfId="0" applyFont="1" applyFill="1" applyBorder="1" applyAlignment="1">
      <alignment horizontal="center" vertical="center"/>
    </xf>
    <xf numFmtId="0" fontId="11" fillId="40" borderId="38" xfId="0" applyFont="1" applyFill="1" applyBorder="1" applyAlignment="1">
      <alignment horizontal="center" vertical="center"/>
    </xf>
    <xf numFmtId="1" fontId="68" fillId="41" borderId="9" xfId="0" applyNumberFormat="1" applyFont="1" applyFill="1" applyBorder="1" applyAlignment="1" applyProtection="1">
      <alignment horizontal="center" vertical="center"/>
      <protection locked="0" hidden="1"/>
    </xf>
    <xf numFmtId="0" fontId="67" fillId="43" borderId="62" xfId="0" applyFont="1" applyFill="1" applyBorder="1" applyAlignment="1">
      <alignment horizontal="center" vertical="center" wrapText="1"/>
    </xf>
    <xf numFmtId="0" fontId="68" fillId="41" borderId="70" xfId="0" applyFont="1" applyFill="1" applyBorder="1" applyAlignment="1">
      <alignment horizontal="center" vertical="center"/>
    </xf>
    <xf numFmtId="0" fontId="11" fillId="44" borderId="38" xfId="0" applyFont="1" applyFill="1" applyBorder="1" applyAlignment="1">
      <alignment horizontal="center" vertical="center"/>
    </xf>
    <xf numFmtId="0" fontId="68" fillId="41" borderId="37" xfId="0" applyFont="1" applyFill="1" applyBorder="1" applyAlignment="1" applyProtection="1">
      <alignment horizontal="center" vertical="center"/>
      <protection locked="0" hidden="1"/>
    </xf>
    <xf numFmtId="0" fontId="68" fillId="41" borderId="71" xfId="0" applyFont="1" applyFill="1" applyBorder="1" applyAlignment="1">
      <alignment horizontal="center" vertical="center"/>
    </xf>
    <xf numFmtId="0" fontId="68" fillId="41" borderId="38" xfId="0" applyFont="1" applyFill="1" applyBorder="1" applyAlignment="1" applyProtection="1">
      <alignment horizontal="center" vertical="center"/>
      <protection locked="0" hidden="1"/>
    </xf>
    <xf numFmtId="0" fontId="68" fillId="41" borderId="36" xfId="0" applyFont="1" applyFill="1" applyBorder="1" applyAlignment="1">
      <alignment horizontal="center" vertical="center"/>
    </xf>
    <xf numFmtId="0" fontId="11" fillId="45" borderId="38" xfId="0" applyFont="1" applyFill="1" applyBorder="1" applyAlignment="1">
      <alignment horizontal="center"/>
    </xf>
    <xf numFmtId="0" fontId="8" fillId="0" borderId="8" xfId="0" applyFont="1" applyBorder="1" applyAlignment="1">
      <alignment horizontal="center"/>
    </xf>
    <xf numFmtId="1" fontId="8" fillId="0" borderId="17" xfId="1" applyNumberFormat="1" applyFont="1" applyBorder="1" applyAlignment="1">
      <alignment horizontal="center"/>
    </xf>
    <xf numFmtId="166" fontId="10" fillId="5" borderId="5" xfId="1" applyNumberFormat="1" applyFont="1" applyFill="1" applyBorder="1" applyAlignment="1">
      <alignment horizontal="center" vertical="center"/>
    </xf>
    <xf numFmtId="166" fontId="68" fillId="46" borderId="68" xfId="0" applyNumberFormat="1" applyFont="1" applyFill="1" applyBorder="1" applyAlignment="1">
      <alignment horizontal="center" vertical="center"/>
    </xf>
    <xf numFmtId="0" fontId="13" fillId="6" borderId="0" xfId="1" applyFont="1" applyFill="1" applyAlignment="1">
      <alignment vertical="top" wrapText="1"/>
    </xf>
    <xf numFmtId="0" fontId="13" fillId="6" borderId="61" xfId="1" applyFont="1" applyFill="1" applyBorder="1" applyAlignment="1">
      <alignment vertical="top" wrapText="1"/>
    </xf>
    <xf numFmtId="0" fontId="7" fillId="5" borderId="7" xfId="0" applyFont="1" applyFill="1" applyBorder="1" applyAlignment="1">
      <alignment horizontal="center" vertical="center" wrapText="1"/>
    </xf>
    <xf numFmtId="0" fontId="61" fillId="12" borderId="8" xfId="0" applyFont="1" applyFill="1" applyBorder="1" applyAlignment="1">
      <alignment horizontal="center"/>
    </xf>
    <xf numFmtId="14" fontId="47" fillId="33" borderId="8" xfId="1" applyNumberFormat="1" applyFont="1" applyFill="1" applyBorder="1" applyAlignment="1">
      <alignment horizontal="center" vertical="center" wrapText="1"/>
    </xf>
    <xf numFmtId="0" fontId="71" fillId="0" borderId="0" xfId="0" applyFont="1"/>
    <xf numFmtId="164" fontId="71" fillId="0" borderId="0" xfId="2" applyFont="1"/>
    <xf numFmtId="173" fontId="70" fillId="47" borderId="8" xfId="0" applyNumberFormat="1" applyFont="1" applyFill="1" applyBorder="1" applyAlignment="1">
      <alignment horizontal="center" vertical="center" wrapText="1"/>
    </xf>
    <xf numFmtId="0" fontId="22" fillId="0" borderId="33" xfId="1" applyFont="1" applyBorder="1" applyAlignment="1">
      <alignment vertical="center"/>
    </xf>
    <xf numFmtId="0" fontId="23" fillId="0" borderId="33" xfId="1" applyFont="1" applyBorder="1" applyAlignment="1">
      <alignment horizontal="justify" vertical="center"/>
    </xf>
    <xf numFmtId="166" fontId="29" fillId="0" borderId="33" xfId="1" applyNumberFormat="1" applyFont="1" applyBorder="1" applyAlignment="1">
      <alignment horizontal="center" vertical="center" wrapText="1"/>
    </xf>
    <xf numFmtId="166" fontId="39" fillId="0" borderId="33" xfId="1" applyNumberFormat="1" applyFont="1" applyBorder="1" applyAlignment="1">
      <alignment horizontal="center" vertical="center" wrapText="1"/>
    </xf>
    <xf numFmtId="20" fontId="70" fillId="47" borderId="8" xfId="0" applyNumberFormat="1" applyFont="1" applyFill="1" applyBorder="1" applyAlignment="1">
      <alignment horizontal="center" vertical="center" wrapText="1"/>
    </xf>
    <xf numFmtId="20" fontId="70" fillId="47" borderId="9" xfId="0" applyNumberFormat="1" applyFont="1" applyFill="1" applyBorder="1" applyAlignment="1">
      <alignment horizontal="center" vertical="center" wrapText="1"/>
    </xf>
    <xf numFmtId="49" fontId="70" fillId="47" borderId="8" xfId="0" applyNumberFormat="1" applyFont="1" applyFill="1" applyBorder="1" applyAlignment="1">
      <alignment horizontal="center" vertical="center" wrapText="1"/>
    </xf>
    <xf numFmtId="49" fontId="70" fillId="47" borderId="9" xfId="0" applyNumberFormat="1" applyFont="1" applyFill="1" applyBorder="1" applyAlignment="1">
      <alignment horizontal="center" vertical="center" wrapText="1"/>
    </xf>
    <xf numFmtId="0" fontId="3" fillId="0" borderId="7" xfId="0" applyFont="1" applyBorder="1" applyAlignment="1">
      <alignment horizontal="center" vertical="center"/>
    </xf>
    <xf numFmtId="0" fontId="3" fillId="0" borderId="8" xfId="0" applyFont="1" applyBorder="1" applyAlignment="1">
      <alignment horizontal="center" vertical="center"/>
    </xf>
    <xf numFmtId="0" fontId="3" fillId="0" borderId="8" xfId="0" applyFont="1" applyBorder="1" applyAlignment="1">
      <alignment horizontal="center"/>
    </xf>
    <xf numFmtId="166" fontId="10" fillId="48" borderId="5" xfId="1" applyNumberFormat="1" applyFont="1" applyFill="1" applyBorder="1" applyAlignment="1">
      <alignment horizontal="center" vertical="center"/>
    </xf>
    <xf numFmtId="0" fontId="2" fillId="0" borderId="7" xfId="0" applyFont="1" applyBorder="1" applyAlignment="1">
      <alignment horizontal="center" vertical="center"/>
    </xf>
    <xf numFmtId="0" fontId="2" fillId="0" borderId="8" xfId="0" applyFont="1" applyBorder="1" applyAlignment="1">
      <alignment horizontal="center" vertical="center"/>
    </xf>
    <xf numFmtId="0" fontId="2" fillId="0" borderId="8" xfId="0" applyFont="1" applyBorder="1" applyAlignment="1">
      <alignment horizontal="center"/>
    </xf>
    <xf numFmtId="166" fontId="10" fillId="49" borderId="5" xfId="1" applyNumberFormat="1" applyFont="1" applyFill="1" applyBorder="1" applyAlignment="1">
      <alignment horizontal="center" vertical="center"/>
    </xf>
    <xf numFmtId="0" fontId="10" fillId="6" borderId="7" xfId="0" applyFont="1" applyFill="1" applyBorder="1" applyAlignment="1">
      <alignment horizontal="center" vertical="center"/>
    </xf>
    <xf numFmtId="1" fontId="10" fillId="6" borderId="8" xfId="0" applyNumberFormat="1" applyFont="1" applyFill="1" applyBorder="1" applyAlignment="1" applyProtection="1">
      <alignment horizontal="center" vertical="center"/>
      <protection locked="0" hidden="1"/>
    </xf>
    <xf numFmtId="1" fontId="10" fillId="6" borderId="72" xfId="0" applyNumberFormat="1" applyFont="1" applyFill="1" applyBorder="1" applyAlignment="1" applyProtection="1">
      <alignment horizontal="center" vertical="center"/>
      <protection locked="0" hidden="1"/>
    </xf>
    <xf numFmtId="0" fontId="1" fillId="0" borderId="7" xfId="0" applyFont="1" applyBorder="1" applyAlignment="1">
      <alignment horizontal="center" vertical="center"/>
    </xf>
    <xf numFmtId="0" fontId="1" fillId="0" borderId="8" xfId="0" applyFont="1" applyBorder="1" applyAlignment="1">
      <alignment horizontal="center" vertical="center"/>
    </xf>
    <xf numFmtId="0" fontId="1" fillId="0" borderId="8" xfId="0" applyFont="1" applyBorder="1" applyAlignment="1">
      <alignment horizontal="center"/>
    </xf>
    <xf numFmtId="0" fontId="7" fillId="13" borderId="6" xfId="1" applyFont="1" applyFill="1" applyBorder="1" applyAlignment="1">
      <alignment horizontal="center" vertical="center"/>
    </xf>
    <xf numFmtId="166" fontId="10" fillId="50" borderId="8" xfId="1" applyNumberFormat="1" applyFont="1" applyFill="1" applyBorder="1" applyAlignment="1">
      <alignment horizontal="center" vertical="center"/>
    </xf>
    <xf numFmtId="166" fontId="10" fillId="50" borderId="5" xfId="1" applyNumberFormat="1" applyFont="1" applyFill="1" applyBorder="1" applyAlignment="1">
      <alignment horizontal="center" vertical="center"/>
    </xf>
    <xf numFmtId="0" fontId="47" fillId="33" borderId="8" xfId="1" applyFont="1" applyFill="1" applyBorder="1" applyAlignment="1">
      <alignment horizontal="center" vertical="center" wrapText="1"/>
    </xf>
    <xf numFmtId="14" fontId="24" fillId="22" borderId="33" xfId="1" applyNumberFormat="1" applyFont="1" applyFill="1" applyBorder="1" applyAlignment="1">
      <alignment horizontal="center" vertical="center"/>
    </xf>
    <xf numFmtId="14" fontId="24" fillId="22" borderId="34" xfId="1" applyNumberFormat="1" applyFont="1" applyFill="1" applyBorder="1" applyAlignment="1">
      <alignment horizontal="center" vertical="center"/>
    </xf>
    <xf numFmtId="14" fontId="24" fillId="25" borderId="8" xfId="1" applyNumberFormat="1" applyFont="1" applyFill="1" applyBorder="1" applyAlignment="1">
      <alignment horizontal="center" vertical="center" wrapText="1"/>
    </xf>
    <xf numFmtId="0" fontId="17" fillId="15" borderId="27" xfId="1" applyFont="1" applyFill="1" applyBorder="1" applyAlignment="1">
      <alignment horizontal="center" vertical="center"/>
    </xf>
    <xf numFmtId="0" fontId="18" fillId="15" borderId="28" xfId="1" applyFont="1" applyFill="1" applyBorder="1" applyAlignment="1">
      <alignment horizontal="center" vertical="center" wrapText="1"/>
    </xf>
    <xf numFmtId="14" fontId="24" fillId="23" borderId="8" xfId="1" applyNumberFormat="1" applyFont="1" applyFill="1" applyBorder="1" applyAlignment="1">
      <alignment horizontal="center" vertical="center" wrapText="1"/>
    </xf>
    <xf numFmtId="167" fontId="26" fillId="8" borderId="8" xfId="1" applyNumberFormat="1" applyFont="1" applyFill="1" applyBorder="1" applyAlignment="1">
      <alignment horizontal="center" vertical="center"/>
    </xf>
    <xf numFmtId="167" fontId="26" fillId="0" borderId="8" xfId="1" applyNumberFormat="1" applyFont="1" applyBorder="1" applyAlignment="1">
      <alignment horizontal="center" vertical="center"/>
    </xf>
    <xf numFmtId="167" fontId="28" fillId="12" borderId="10" xfId="1" applyNumberFormat="1" applyFont="1" applyFill="1" applyBorder="1" applyAlignment="1">
      <alignment horizontal="center"/>
    </xf>
    <xf numFmtId="167" fontId="28" fillId="12" borderId="37" xfId="1" applyNumberFormat="1" applyFont="1" applyFill="1" applyBorder="1" applyAlignment="1">
      <alignment horizontal="center"/>
    </xf>
    <xf numFmtId="167" fontId="26" fillId="11" borderId="7" xfId="1" applyNumberFormat="1" applyFont="1" applyFill="1" applyBorder="1" applyAlignment="1">
      <alignment horizontal="center"/>
    </xf>
    <xf numFmtId="167" fontId="26" fillId="11" borderId="38" xfId="1" applyNumberFormat="1" applyFont="1" applyFill="1" applyBorder="1" applyAlignment="1">
      <alignment horizontal="center"/>
    </xf>
    <xf numFmtId="14" fontId="24" fillId="22" borderId="40" xfId="1" applyNumberFormat="1" applyFont="1" applyFill="1" applyBorder="1" applyAlignment="1">
      <alignment horizontal="center" vertical="center"/>
    </xf>
    <xf numFmtId="14" fontId="24" fillId="22" borderId="41" xfId="1" applyNumberFormat="1" applyFont="1" applyFill="1" applyBorder="1" applyAlignment="1">
      <alignment horizontal="center" vertical="center"/>
    </xf>
    <xf numFmtId="14" fontId="24" fillId="25" borderId="7" xfId="1" applyNumberFormat="1" applyFont="1" applyFill="1" applyBorder="1" applyAlignment="1">
      <alignment horizontal="center" vertical="center" wrapText="1"/>
    </xf>
    <xf numFmtId="14" fontId="24" fillId="25" borderId="16" xfId="1" applyNumberFormat="1" applyFont="1" applyFill="1" applyBorder="1" applyAlignment="1">
      <alignment horizontal="center" vertical="center" wrapText="1"/>
    </xf>
    <xf numFmtId="14" fontId="24" fillId="25" borderId="38" xfId="1" applyNumberFormat="1" applyFont="1" applyFill="1" applyBorder="1" applyAlignment="1">
      <alignment horizontal="center" vertical="center" wrapText="1"/>
    </xf>
    <xf numFmtId="167" fontId="26" fillId="0" borderId="7" xfId="1" applyNumberFormat="1" applyFont="1" applyBorder="1" applyAlignment="1">
      <alignment horizontal="center" vertical="center"/>
    </xf>
    <xf numFmtId="167" fontId="26" fillId="0" borderId="16" xfId="1" applyNumberFormat="1" applyFont="1" applyBorder="1" applyAlignment="1">
      <alignment horizontal="center" vertical="center"/>
    </xf>
    <xf numFmtId="167" fontId="26" fillId="0" borderId="38" xfId="1" applyNumberFormat="1" applyFont="1" applyBorder="1" applyAlignment="1">
      <alignment horizontal="center" vertical="center"/>
    </xf>
    <xf numFmtId="167" fontId="28" fillId="12" borderId="7" xfId="1" applyNumberFormat="1" applyFont="1" applyFill="1" applyBorder="1" applyAlignment="1">
      <alignment horizontal="center"/>
    </xf>
    <xf numFmtId="167" fontId="28" fillId="12" borderId="38" xfId="1" applyNumberFormat="1" applyFont="1" applyFill="1" applyBorder="1" applyAlignment="1">
      <alignment horizontal="center"/>
    </xf>
    <xf numFmtId="3" fontId="41" fillId="22" borderId="45" xfId="1" applyNumberFormat="1" applyFont="1" applyFill="1" applyBorder="1" applyAlignment="1">
      <alignment horizontal="center" vertical="center"/>
    </xf>
    <xf numFmtId="3" fontId="41" fillId="22" borderId="46" xfId="1" applyNumberFormat="1" applyFont="1" applyFill="1" applyBorder="1" applyAlignment="1">
      <alignment horizontal="center" vertical="center"/>
    </xf>
    <xf numFmtId="3" fontId="41" fillId="22" borderId="47" xfId="1" applyNumberFormat="1" applyFont="1" applyFill="1" applyBorder="1" applyAlignment="1">
      <alignment horizontal="center" vertical="center"/>
    </xf>
    <xf numFmtId="3" fontId="41" fillId="22" borderId="48" xfId="1" applyNumberFormat="1" applyFont="1" applyFill="1" applyBorder="1" applyAlignment="1">
      <alignment horizontal="center" vertical="center"/>
    </xf>
    <xf numFmtId="3" fontId="41" fillId="22" borderId="49" xfId="1" applyNumberFormat="1" applyFont="1" applyFill="1" applyBorder="1" applyAlignment="1">
      <alignment horizontal="center" vertical="center"/>
    </xf>
    <xf numFmtId="3" fontId="41" fillId="22" borderId="50" xfId="1" applyNumberFormat="1" applyFont="1" applyFill="1" applyBorder="1" applyAlignment="1">
      <alignment horizontal="center" vertical="center"/>
    </xf>
    <xf numFmtId="3" fontId="58" fillId="0" borderId="0" xfId="1" applyNumberFormat="1" applyFont="1" applyAlignment="1">
      <alignment horizontal="center" vertical="center"/>
    </xf>
    <xf numFmtId="0" fontId="18" fillId="22" borderId="57" xfId="1" applyFont="1" applyFill="1" applyBorder="1" applyAlignment="1">
      <alignment horizontal="center" vertical="center" wrapText="1"/>
    </xf>
    <xf numFmtId="0" fontId="18" fillId="22" borderId="58" xfId="1" applyFont="1" applyFill="1" applyBorder="1" applyAlignment="1">
      <alignment horizontal="center" vertical="center" wrapText="1"/>
    </xf>
    <xf numFmtId="0" fontId="52" fillId="32" borderId="28" xfId="1" applyFont="1" applyFill="1" applyBorder="1" applyAlignment="1">
      <alignment horizontal="center" vertical="center"/>
    </xf>
    <xf numFmtId="3" fontId="52" fillId="37" borderId="28" xfId="1" applyNumberFormat="1" applyFont="1" applyFill="1" applyBorder="1" applyAlignment="1">
      <alignment horizontal="center" vertical="center"/>
    </xf>
    <xf numFmtId="3" fontId="52" fillId="32" borderId="28" xfId="1" applyNumberFormat="1" applyFont="1" applyFill="1" applyBorder="1" applyAlignment="1">
      <alignment horizontal="center" vertical="center"/>
    </xf>
    <xf numFmtId="0" fontId="53" fillId="0" borderId="59" xfId="1" applyFont="1" applyBorder="1" applyAlignment="1">
      <alignment horizontal="center" vertical="center"/>
    </xf>
    <xf numFmtId="176" fontId="54" fillId="0" borderId="59" xfId="5" applyNumberFormat="1" applyFont="1" applyFill="1" applyBorder="1" applyAlignment="1" applyProtection="1">
      <alignment horizontal="center" vertical="center"/>
    </xf>
    <xf numFmtId="14" fontId="21" fillId="31" borderId="51" xfId="1" applyNumberFormat="1" applyFont="1" applyFill="1" applyBorder="1" applyAlignment="1">
      <alignment horizontal="center" vertical="center"/>
    </xf>
    <xf numFmtId="14" fontId="21" fillId="31" borderId="52" xfId="1" applyNumberFormat="1" applyFont="1" applyFill="1" applyBorder="1" applyAlignment="1">
      <alignment horizontal="center" vertical="center"/>
    </xf>
    <xf numFmtId="0" fontId="56" fillId="0" borderId="0" xfId="1" applyFont="1" applyAlignment="1">
      <alignment horizontal="center"/>
    </xf>
    <xf numFmtId="0" fontId="6" fillId="0" borderId="0" xfId="1" applyAlignment="1">
      <alignment horizontal="center"/>
    </xf>
    <xf numFmtId="0" fontId="9" fillId="4" borderId="0" xfId="1" applyFont="1" applyFill="1" applyAlignment="1">
      <alignment horizontal="center" vertical="center"/>
    </xf>
    <xf numFmtId="0" fontId="67" fillId="39" borderId="63" xfId="0" applyFont="1" applyFill="1" applyBorder="1" applyAlignment="1">
      <alignment horizontal="center" vertical="center"/>
    </xf>
    <xf numFmtId="0" fontId="67" fillId="39" borderId="64" xfId="0" applyFont="1" applyFill="1" applyBorder="1" applyAlignment="1">
      <alignment horizontal="center" vertical="center"/>
    </xf>
    <xf numFmtId="0" fontId="67" fillId="39" borderId="65" xfId="0" applyFont="1" applyFill="1" applyBorder="1" applyAlignment="1">
      <alignment horizontal="center" vertical="center"/>
    </xf>
    <xf numFmtId="0" fontId="7" fillId="10" borderId="11" xfId="1" applyFont="1" applyFill="1" applyBorder="1" applyAlignment="1">
      <alignment horizontal="center" vertical="center"/>
    </xf>
    <xf numFmtId="0" fontId="7" fillId="2" borderId="1" xfId="1" applyFont="1" applyFill="1" applyBorder="1" applyAlignment="1">
      <alignment horizontal="center" vertical="center"/>
    </xf>
    <xf numFmtId="0" fontId="7" fillId="3" borderId="2" xfId="1" applyFont="1" applyFill="1" applyBorder="1" applyAlignment="1">
      <alignment horizontal="center" vertical="center"/>
    </xf>
    <xf numFmtId="0" fontId="7" fillId="3" borderId="3" xfId="1" applyFont="1" applyFill="1" applyBorder="1" applyAlignment="1">
      <alignment horizontal="center" vertical="center"/>
    </xf>
    <xf numFmtId="0" fontId="7" fillId="3" borderId="4" xfId="1" applyFont="1" applyFill="1" applyBorder="1" applyAlignment="1">
      <alignment horizontal="center" vertical="center"/>
    </xf>
    <xf numFmtId="0" fontId="7" fillId="2" borderId="11" xfId="1" applyFont="1" applyFill="1" applyBorder="1" applyAlignment="1">
      <alignment horizontal="center" vertical="center"/>
    </xf>
    <xf numFmtId="0" fontId="7" fillId="3" borderId="13" xfId="1" applyFont="1" applyFill="1" applyBorder="1" applyAlignment="1">
      <alignment horizontal="center" vertical="center"/>
    </xf>
    <xf numFmtId="0" fontId="7" fillId="3" borderId="12" xfId="1" applyFont="1" applyFill="1" applyBorder="1" applyAlignment="1">
      <alignment horizontal="center" vertical="center"/>
    </xf>
    <xf numFmtId="0" fontId="7" fillId="3" borderId="14" xfId="1" applyFont="1" applyFill="1" applyBorder="1" applyAlignment="1">
      <alignment horizontal="center" vertical="center"/>
    </xf>
    <xf numFmtId="0" fontId="7" fillId="10" borderId="1" xfId="1" applyFont="1" applyFill="1" applyBorder="1" applyAlignment="1">
      <alignment horizontal="center" vertical="center"/>
    </xf>
    <xf numFmtId="0" fontId="72" fillId="6" borderId="61" xfId="1" applyFont="1" applyFill="1" applyBorder="1" applyAlignment="1">
      <alignment horizontal="left" vertical="top" wrapText="1"/>
    </xf>
    <xf numFmtId="0" fontId="73" fillId="6" borderId="61" xfId="1" applyFont="1" applyFill="1" applyBorder="1" applyAlignment="1">
      <alignment horizontal="left" vertical="top" wrapText="1"/>
    </xf>
    <xf numFmtId="0" fontId="73" fillId="6" borderId="0" xfId="1" applyFont="1" applyFill="1" applyAlignment="1">
      <alignment horizontal="left" vertical="top" wrapText="1"/>
    </xf>
    <xf numFmtId="0" fontId="0" fillId="18" borderId="8" xfId="0" applyFill="1" applyBorder="1" applyAlignment="1">
      <alignment horizontal="center" wrapText="1"/>
    </xf>
    <xf numFmtId="0" fontId="0" fillId="18" borderId="8" xfId="0" applyFill="1" applyBorder="1" applyAlignment="1">
      <alignment horizontal="center"/>
    </xf>
    <xf numFmtId="0" fontId="7" fillId="13" borderId="1" xfId="1" applyFont="1" applyFill="1" applyBorder="1" applyAlignment="1">
      <alignment horizontal="center" vertical="center"/>
    </xf>
    <xf numFmtId="0" fontId="10" fillId="6" borderId="1" xfId="1" applyFont="1" applyFill="1" applyBorder="1" applyAlignment="1">
      <alignment horizontal="left" vertical="center" wrapText="1"/>
    </xf>
    <xf numFmtId="0" fontId="7" fillId="13" borderId="11" xfId="1" applyFont="1" applyFill="1" applyBorder="1" applyAlignment="1">
      <alignment horizontal="center" vertical="center"/>
    </xf>
    <xf numFmtId="166" fontId="11" fillId="16" borderId="23" xfId="1" applyNumberFormat="1" applyFont="1" applyFill="1" applyBorder="1" applyAlignment="1">
      <alignment horizontal="center" vertical="center"/>
    </xf>
    <xf numFmtId="166" fontId="11" fillId="16" borderId="24" xfId="1" applyNumberFormat="1" applyFont="1" applyFill="1" applyBorder="1" applyAlignment="1">
      <alignment horizontal="center" vertical="center"/>
    </xf>
    <xf numFmtId="0" fontId="12" fillId="0" borderId="23" xfId="1" applyFont="1" applyBorder="1" applyAlignment="1">
      <alignment horizontal="left" vertical="center"/>
    </xf>
    <xf numFmtId="0" fontId="12" fillId="0" borderId="26" xfId="1" applyFont="1" applyBorder="1" applyAlignment="1">
      <alignment horizontal="left" vertical="center"/>
    </xf>
    <xf numFmtId="0" fontId="12" fillId="0" borderId="24" xfId="1" applyFont="1" applyBorder="1" applyAlignment="1">
      <alignment horizontal="left" vertical="center"/>
    </xf>
    <xf numFmtId="0" fontId="13" fillId="6" borderId="61" xfId="1" applyFont="1" applyFill="1" applyBorder="1" applyAlignment="1">
      <alignment horizontal="left" vertical="top" wrapText="1"/>
    </xf>
    <xf numFmtId="0" fontId="13" fillId="6" borderId="0" xfId="1" applyFont="1" applyFill="1" applyAlignment="1">
      <alignment horizontal="left" vertical="top" wrapText="1"/>
    </xf>
    <xf numFmtId="164" fontId="64" fillId="0" borderId="0" xfId="0" applyNumberFormat="1" applyFont="1" applyAlignment="1">
      <alignment horizontal="center" vertical="center"/>
    </xf>
    <xf numFmtId="164" fontId="65" fillId="12" borderId="8" xfId="2" applyFont="1" applyFill="1" applyBorder="1" applyAlignment="1">
      <alignment horizontal="center" vertical="center"/>
    </xf>
    <xf numFmtId="14" fontId="64" fillId="12" borderId="8" xfId="0" applyNumberFormat="1" applyFont="1" applyFill="1" applyBorder="1" applyAlignment="1">
      <alignment horizontal="center"/>
    </xf>
    <xf numFmtId="0" fontId="60" fillId="0" borderId="8" xfId="0" applyFont="1" applyBorder="1" applyAlignment="1">
      <alignment horizontal="center"/>
    </xf>
    <xf numFmtId="0" fontId="60" fillId="0" borderId="8" xfId="0" applyFont="1" applyBorder="1" applyAlignment="1">
      <alignment horizontal="center" wrapText="1"/>
    </xf>
    <xf numFmtId="0" fontId="60" fillId="8" borderId="8" xfId="0" applyFont="1" applyFill="1" applyBorder="1" applyAlignment="1">
      <alignment horizontal="center" wrapText="1"/>
    </xf>
  </cellXfs>
  <cellStyles count="6">
    <cellStyle name="Millares 2" xfId="5" xr:uid="{3C271B91-864D-5B47-A8AE-1909E7AD8804}"/>
    <cellStyle name="Moneda [0]" xfId="2" builtinId="7"/>
    <cellStyle name="Moneda [0] 2" xfId="4" xr:uid="{7A277797-B9EF-4B4D-A6E1-B2F48D199ED8}"/>
    <cellStyle name="Moneda 2" xfId="3" xr:uid="{8C4751C9-2751-9A40-896C-B1767FEB86D9}"/>
    <cellStyle name="Normal" xfId="0" builtinId="0"/>
    <cellStyle name="Normal 2" xfId="1" xr:uid="{664C3131-864A-B941-AE29-7F464EE26FD7}"/>
  </cellStyles>
  <dxfs count="0"/>
  <tableStyles count="0" defaultTableStyle="TableStyleMedium2" defaultPivotStyle="PivotStyleLight16"/>
  <colors>
    <mruColors>
      <color rgb="FF9CF1FF"/>
      <color rgb="FF97DBFF"/>
      <color rgb="FFBEE7FF"/>
      <color rgb="FF68CFFF"/>
      <color rgb="FF55CDFF"/>
      <color rgb="FFFF7A47"/>
      <color rgb="FFD88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externalLink" Target="externalLinks/externalLink4.xml"/><Relationship Id="rId18" Type="http://schemas.openxmlformats.org/officeDocument/2006/relationships/theme" Target="theme/theme1.xml"/><Relationship Id="rId3" Type="http://schemas.openxmlformats.org/officeDocument/2006/relationships/worksheet" Target="worksheets/sheet3.xml"/><Relationship Id="rId21" Type="http://schemas.microsoft.com/office/2017/10/relationships/person" Target="persons/person.xml"/><Relationship Id="rId7" Type="http://schemas.openxmlformats.org/officeDocument/2006/relationships/worksheet" Target="worksheets/sheet7.xml"/><Relationship Id="rId12" Type="http://schemas.openxmlformats.org/officeDocument/2006/relationships/externalLink" Target="externalLinks/externalLink3.xml"/><Relationship Id="rId17" Type="http://schemas.openxmlformats.org/officeDocument/2006/relationships/externalLink" Target="externalLinks/externalLink8.xml"/><Relationship Id="rId2" Type="http://schemas.openxmlformats.org/officeDocument/2006/relationships/worksheet" Target="worksheets/sheet2.xml"/><Relationship Id="rId16" Type="http://schemas.openxmlformats.org/officeDocument/2006/relationships/externalLink" Target="externalLinks/externalLink7.xml"/><Relationship Id="rId20" Type="http://schemas.openxmlformats.org/officeDocument/2006/relationships/sharedStrings" Target="sharedString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externalLink" Target="externalLinks/externalLink2.xml"/><Relationship Id="rId5" Type="http://schemas.openxmlformats.org/officeDocument/2006/relationships/worksheet" Target="worksheets/sheet5.xml"/><Relationship Id="rId15" Type="http://schemas.openxmlformats.org/officeDocument/2006/relationships/externalLink" Target="externalLinks/externalLink6.xml"/><Relationship Id="rId10" Type="http://schemas.openxmlformats.org/officeDocument/2006/relationships/externalLink" Target="externalLinks/externalLink1.xml"/><Relationship Id="rId19" Type="http://schemas.openxmlformats.org/officeDocument/2006/relationships/styles" Target="styles.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externalLink" Target="externalLinks/externalLink5.xml"/><Relationship Id="rId22"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5</xdr:col>
      <xdr:colOff>2213428</xdr:colOff>
      <xdr:row>222</xdr:row>
      <xdr:rowOff>0</xdr:rowOff>
    </xdr:from>
    <xdr:to>
      <xdr:col>5</xdr:col>
      <xdr:colOff>4336142</xdr:colOff>
      <xdr:row>223</xdr:row>
      <xdr:rowOff>158244</xdr:rowOff>
    </xdr:to>
    <xdr:pic>
      <xdr:nvPicPr>
        <xdr:cNvPr id="2" name="Imagen 1">
          <a:extLst>
            <a:ext uri="{FF2B5EF4-FFF2-40B4-BE49-F238E27FC236}">
              <a16:creationId xmlns:a16="http://schemas.microsoft.com/office/drawing/2014/main" id="{ED324948-78B8-0EB1-2F7E-510CD08B94FF}"/>
            </a:ext>
          </a:extLst>
        </xdr:cNvPr>
        <xdr:cNvPicPr>
          <a:picLocks noChangeAspect="1"/>
        </xdr:cNvPicPr>
      </xdr:nvPicPr>
      <xdr:blipFill>
        <a:blip xmlns:r="http://schemas.openxmlformats.org/officeDocument/2006/relationships" r:embed="rId1"/>
        <a:stretch>
          <a:fillRect/>
        </a:stretch>
      </xdr:blipFill>
      <xdr:spPr>
        <a:xfrm>
          <a:off x="13316857" y="139536714"/>
          <a:ext cx="2122714" cy="956532"/>
        </a:xfrm>
        <a:prstGeom prst="rect">
          <a:avLst/>
        </a:prstGeom>
      </xdr:spPr>
    </xdr:pic>
    <xdr:clientData/>
  </xdr:twoCellAnchor>
  <xdr:twoCellAnchor editAs="oneCell">
    <xdr:from>
      <xdr:col>4</xdr:col>
      <xdr:colOff>1923144</xdr:colOff>
      <xdr:row>221</xdr:row>
      <xdr:rowOff>217714</xdr:rowOff>
    </xdr:from>
    <xdr:to>
      <xdr:col>5</xdr:col>
      <xdr:colOff>6714</xdr:colOff>
      <xdr:row>223</xdr:row>
      <xdr:rowOff>19958</xdr:rowOff>
    </xdr:to>
    <xdr:pic>
      <xdr:nvPicPr>
        <xdr:cNvPr id="4" name="Imagen 3">
          <a:extLst>
            <a:ext uri="{FF2B5EF4-FFF2-40B4-BE49-F238E27FC236}">
              <a16:creationId xmlns:a16="http://schemas.microsoft.com/office/drawing/2014/main" id="{6A07AE73-5F5C-9602-93AB-F9261E081D87}"/>
            </a:ext>
          </a:extLst>
        </xdr:cNvPr>
        <xdr:cNvPicPr>
          <a:picLocks noChangeAspect="1"/>
        </xdr:cNvPicPr>
      </xdr:nvPicPr>
      <xdr:blipFill>
        <a:blip xmlns:r="http://schemas.openxmlformats.org/officeDocument/2006/relationships" r:embed="rId2"/>
        <a:stretch>
          <a:fillRect/>
        </a:stretch>
      </xdr:blipFill>
      <xdr:spPr>
        <a:xfrm>
          <a:off x="8599715" y="139427857"/>
          <a:ext cx="2209800" cy="927100"/>
        </a:xfrm>
        <a:prstGeom prst="rect">
          <a:avLst/>
        </a:prstGeom>
      </xdr:spPr>
    </xdr:pic>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Users/Usuario/Downloads/PROGRAMACION%20DE%20SERVICIOS%20%20SEP%20A%20DICIEMBRE%20(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DE%20SERVICIOS%20JUVENTUD%201%20JULIO.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https://d.docs.live.net/Users/libardo.sanchez/Desktop/CICLOV&#205;A/2019/CONTRATOS/CTO%203053%20-%202019/SOLICITUDES%20ACTIVA%20365/JULIO/SOLICITUD%20DE%20SERVICIOS%20JUVENTUD%201%20JULIO.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SEPTIEMBRE/SOLICITUD%20SERVICIOS%20FESTIPARQUE%2015%20SEPTIEMBRE.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SERVICIOS%20INCLUYENTE%2031%20JULIO.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ACTIVA%20365/JULIO/SOLICITUD%20SERVICIOS%20JUVENTUD%2031%20JULIO%20Y%202%20AGOSTO.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Users/dew24/Desktop/1.PROGRAMACIONMENSUALDESERVICIOSV12%20ACTIVIDAD%20ESCUELA%20DE%20LA%20BICICLETA%20-%20BOSA%20-%20PORVENIR.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Users/libardo.sanchez/Desktop/CICLOV&#205;A/2019/CONTRATOS/CTO%203053%20-%202019/SOLICITUDES%20TEC/SOLICITUD%20DE%20SERVICIOS%20TEC%203%20Y%204%20DE%20SEPTIEMBRE.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L SERV"/>
      <sheetName val="DATOS"/>
    </sheetNames>
    <sheetDataSet>
      <sheetData sheetId="0"/>
      <sheetData sheetId="1">
        <row r="3">
          <cell r="D3" t="str">
            <v>DEPORTES - DEPORTE MEJOR PARA TODOS</v>
          </cell>
        </row>
        <row r="4">
          <cell r="D4" t="str">
            <v>DEPORTES - RENDIMIENTO DEPORTIVO AL 100 X 100</v>
          </cell>
          <cell r="H4" t="str">
            <v>1. MUÉVETE BOGOTÁ</v>
          </cell>
        </row>
        <row r="5">
          <cell r="D5" t="str">
            <v>DEPORTES - TIEMPO ESCOLAR COMPLEMENTARIO</v>
          </cell>
          <cell r="H5" t="str">
            <v>2. DEPORTE ESCOLAR</v>
          </cell>
        </row>
        <row r="6">
          <cell r="D6" t="str">
            <v>RECREACIÓN - RECREACIÓN ACTIVA 365</v>
          </cell>
          <cell r="H6" t="str">
            <v>3.1. AP CERT DEP 
Nuevas Tendencias Deportivas</v>
          </cell>
        </row>
        <row r="7">
          <cell r="H7" t="str">
            <v xml:space="preserve">3.2. AP CERT DEP 
Bogotá Corre Mejor para Todos </v>
          </cell>
        </row>
        <row r="8">
          <cell r="H8" t="str">
            <v xml:space="preserve">3.3. AP CERT DEP 
Eventos Deportivos                                                                             </v>
          </cell>
        </row>
        <row r="9">
          <cell r="H9" t="str">
            <v>4. FESTIVAL DE VERANO</v>
          </cell>
        </row>
        <row r="10">
          <cell r="H10" t="str">
            <v>5.1. ESC DEP 
Escuelas de mi Barrio</v>
          </cell>
        </row>
        <row r="11">
          <cell r="H11" t="str">
            <v>5.2 ESC DEP 
Escuelas de Natación Convenio</v>
          </cell>
        </row>
        <row r="12">
          <cell r="H12" t="str">
            <v>5.3 ESC DEP 
Escuelas de natación CASB</v>
          </cell>
        </row>
      </sheetData>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cell r="H4" t="str">
            <v>1. MUÉVETE BOGOTÁ</v>
          </cell>
          <cell r="I4" t="str">
            <v>1.1. REND DEP 
Desarrollo Técnico y Social</v>
          </cell>
          <cell r="J4" t="str">
            <v>1. CICLOVÍA</v>
          </cell>
          <cell r="K4" t="str">
            <v>1. SESIONES DE CLASE</v>
          </cell>
        </row>
        <row r="5">
          <cell r="D5" t="str">
            <v>DEPORTES - TIEMPO ESCOLAR COMPLEMENTARIO</v>
          </cell>
          <cell r="H5" t="str">
            <v>2. DEPORTE ESCOLAR</v>
          </cell>
          <cell r="I5" t="str">
            <v>1.2. REND DEP 
Medicina y Ciencias Aplicadas</v>
          </cell>
          <cell r="J5" t="str">
            <v>1.1. CICLOVÍA
Cicloexperiencias</v>
          </cell>
          <cell r="K5" t="str">
            <v>2.1. EV DEP Fest Dep Intramurales</v>
          </cell>
        </row>
        <row r="6">
          <cell r="D6" t="str">
            <v>RECREACIÓN - RECREACIÓN ACTIVA 365</v>
          </cell>
          <cell r="H6" t="str">
            <v>3.1. AP CERT DEP 
Nuevas Tendencias Deportivas</v>
          </cell>
          <cell r="I6" t="str">
            <v>2. APOYO GESTIÓN DE LIGAS</v>
          </cell>
          <cell r="J6" t="str">
            <v>2. RECREOVÍA</v>
          </cell>
          <cell r="K6" t="str">
            <v>2.2. EV DEP 
Fest Dep Inter IED</v>
          </cell>
        </row>
        <row r="7">
          <cell r="H7" t="str">
            <v xml:space="preserve">3.2. AP CERT DEP 
Bogotá Corre Mejor para Todos </v>
          </cell>
          <cell r="I7" t="str">
            <v>3. CENTROS DE PERFECCIONAMIENTO DEPORTIVO</v>
          </cell>
          <cell r="J7" t="str">
            <v>3. EVENTOS METROPOLITANOS</v>
          </cell>
          <cell r="K7" t="str">
            <v>2.3. EV DEP 
Fest Dep de Habilidades Especificas.</v>
          </cell>
        </row>
        <row r="8">
          <cell r="H8" t="str">
            <v xml:space="preserve">3.3. AP CERT DEP 
Eventos Deportivos                                                                             </v>
          </cell>
          <cell r="I8" t="str">
            <v>4. INVESTIGACIÓN Y DESRROLLO EVOLUCIÓN ATLETAS DEL REGISTRO DE BOGOTÁ TRABAJO EN ALTURA</v>
          </cell>
          <cell r="J8" t="str">
            <v>4. RECREACIÓN PARA LA INFANCIA</v>
          </cell>
          <cell r="K8" t="str">
            <v>3. SEMILLEROS DEPORTIVOS</v>
          </cell>
        </row>
        <row r="9">
          <cell r="H9" t="str">
            <v>4. FESTIVAL DE VERANO</v>
          </cell>
          <cell r="I9" t="str">
            <v>5. MEMORIA PROGRAMA RENDIMIENTO DEPORTIVO</v>
          </cell>
          <cell r="J9" t="str">
            <v>5. RECREACIÓN PARA LA JUVENTUD</v>
          </cell>
        </row>
        <row r="10">
          <cell r="H10" t="str">
            <v>5.1. ESC DEP 
Escuelas de mi Barrio</v>
          </cell>
          <cell r="I10" t="str">
            <v>6. ELABORACIÓN DEL PROGRAMA  DE FORMACIÓN PARA EL PERSONAL TÉCNICO DEL PROYECTO</v>
          </cell>
          <cell r="J10" t="str">
            <v>6. RECREACIÓN PARA PERSONAS MAYORES</v>
          </cell>
        </row>
        <row r="11">
          <cell r="H11" t="str">
            <v>5.2 ESC DEP 
Escuelas de Natación Convenio</v>
          </cell>
          <cell r="I11" t="str">
            <v>7. APOYO A LA GESTIÓN</v>
          </cell>
          <cell r="J11" t="str">
            <v>7. RECREACIÓN INCLUYENTE</v>
          </cell>
        </row>
        <row r="12">
          <cell r="H12" t="str">
            <v>5.3 ESC DEP 
Escuelas de natación CASB</v>
          </cell>
          <cell r="J12" t="str">
            <v>8. RECREACIÓN COMUNITARIA</v>
          </cell>
        </row>
      </sheetData>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cell r="H4" t="str">
            <v>1. MUÉVETE BOGOTÁ</v>
          </cell>
          <cell r="I4" t="str">
            <v>1.1. REND DEP 
Desarrollo Técnico y Social</v>
          </cell>
          <cell r="J4" t="str">
            <v>1. CICLOVÍA</v>
          </cell>
          <cell r="K4" t="str">
            <v>1. SESIONES DE CLASE</v>
          </cell>
        </row>
        <row r="5">
          <cell r="D5" t="str">
            <v>DEPORTES - TIEMPO ESCOLAR COMPLEMENTARIO</v>
          </cell>
          <cell r="H5" t="str">
            <v>2. DEPORTE ESCOLAR</v>
          </cell>
          <cell r="I5" t="str">
            <v>1.2. REND DEP 
Medicina y Ciencias Aplicadas</v>
          </cell>
          <cell r="J5" t="str">
            <v>1.1. CICLOVÍA
Cicloexperiencias</v>
          </cell>
          <cell r="K5" t="str">
            <v>2.1. EV DEP Fest Dep Intramurales</v>
          </cell>
        </row>
        <row r="6">
          <cell r="D6" t="str">
            <v>RECREACIÓN - RECREACIÓN ACTIVA 365</v>
          </cell>
          <cell r="H6" t="str">
            <v>3.1. AP CERT DEP 
Nuevas Tendencias Deportivas</v>
          </cell>
          <cell r="I6" t="str">
            <v>2. APOYO GESTIÓN DE LIGAS</v>
          </cell>
          <cell r="J6" t="str">
            <v>2. RECREOVÍA</v>
          </cell>
          <cell r="K6" t="str">
            <v>2.2. EV DEP 
Fest Dep Inter IED</v>
          </cell>
        </row>
        <row r="7">
          <cell r="H7" t="str">
            <v xml:space="preserve">3.2. AP CERT DEP 
Bogotá Corre Mejor para Todos </v>
          </cell>
          <cell r="I7" t="str">
            <v>3. CENTROS DE PERFECCIONAMIENTO DEPORTIVO</v>
          </cell>
          <cell r="J7" t="str">
            <v>3. EVENTOS METROPOLITANOS</v>
          </cell>
          <cell r="K7" t="str">
            <v>2.3. EV DEP 
Fest Dep de Habilidades Especificas.</v>
          </cell>
        </row>
        <row r="8">
          <cell r="H8" t="str">
            <v xml:space="preserve">3.3. AP CERT DEP 
Eventos Deportivos                                                                             </v>
          </cell>
          <cell r="I8" t="str">
            <v>4. INVESTIGACIÓN Y DESRROLLO EVOLUCIÓN ATLETAS DEL REGISTRO DE BOGOTÁ TRABAJO EN ALTURA</v>
          </cell>
          <cell r="J8" t="str">
            <v>4. RECREACIÓN PARA LA INFANCIA</v>
          </cell>
          <cell r="K8" t="str">
            <v>3. SEMILLEROS DEPORTIVOS</v>
          </cell>
        </row>
        <row r="9">
          <cell r="H9" t="str">
            <v>4. FESTIVAL DE VERANO</v>
          </cell>
          <cell r="I9" t="str">
            <v>5. MEMORIA PROGRAMA RENDIMIENTO DEPORTIVO</v>
          </cell>
          <cell r="J9" t="str">
            <v>5. RECREACIÓN PARA LA JUVENTUD</v>
          </cell>
        </row>
        <row r="10">
          <cell r="H10" t="str">
            <v>5.1. ESC DEP 
Escuelas de mi Barrio</v>
          </cell>
          <cell r="I10" t="str">
            <v>6. ELABORACIÓN DEL PROGRAMA  DE FORMACIÓN PARA EL PERSONAL TÉCNICO DEL PROYECTO</v>
          </cell>
          <cell r="J10" t="str">
            <v>6. RECREACIÓN PARA PERSONAS MAYORES</v>
          </cell>
        </row>
        <row r="11">
          <cell r="H11" t="str">
            <v>5.2 ESC DEP 
Escuelas de Natación Convenio</v>
          </cell>
          <cell r="I11" t="str">
            <v>7. APOYO A LA GESTIÓN</v>
          </cell>
          <cell r="J11" t="str">
            <v>7. RECREACIÓN INCLUYENTE</v>
          </cell>
        </row>
        <row r="12">
          <cell r="H12" t="str">
            <v>5.3 ESC DEP 
Escuelas de natación CASB</v>
          </cell>
          <cell r="J12" t="str">
            <v>8. RECREACIÓN COMUNITARIA</v>
          </cell>
        </row>
      </sheetData>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4">
          <cell r="K4" t="str">
            <v>1. SESIONES DE CLASE</v>
          </cell>
        </row>
        <row r="5">
          <cell r="K5" t="str">
            <v>2.1. EV DEP Fest Dep Intramurales</v>
          </cell>
        </row>
        <row r="6">
          <cell r="K6" t="str">
            <v>2.2. EV DEP 
Fest Dep Inter IED</v>
          </cell>
        </row>
        <row r="7">
          <cell r="K7" t="str">
            <v>2.3. EV DEP 
Fest Dep de Habilidades Especificas.</v>
          </cell>
        </row>
        <row r="8">
          <cell r="K8" t="str">
            <v>3. SEMILLEROS DEPORTIVOS</v>
          </cell>
        </row>
      </sheetData>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JULIO"/>
      <sheetName val="DATOS"/>
    </sheetNames>
    <sheetDataSet>
      <sheetData sheetId="0"/>
      <sheetData sheetId="1">
        <row r="4">
          <cell r="H4" t="str">
            <v>1. MUÉVETE BOGOTÁ</v>
          </cell>
          <cell r="J4" t="str">
            <v>1. CICLOVÍA</v>
          </cell>
        </row>
        <row r="5">
          <cell r="H5" t="str">
            <v>2. DEPORTE ESCOLAR</v>
          </cell>
          <cell r="J5" t="str">
            <v>1.1. CICLOVÍA
Cicloexperiencias</v>
          </cell>
        </row>
        <row r="6">
          <cell r="H6" t="str">
            <v>3.1. AP CERT DEP 
Nuevas Tendencias Deportivas</v>
          </cell>
          <cell r="J6" t="str">
            <v>2. RECREOVÍA</v>
          </cell>
        </row>
        <row r="7">
          <cell r="H7" t="str">
            <v xml:space="preserve">3.2. AP CERT DEP 
Bogotá Corre Mejor para Todos </v>
          </cell>
          <cell r="J7" t="str">
            <v>3. EVENTOS METROPOLITANOS</v>
          </cell>
        </row>
        <row r="8">
          <cell r="H8" t="str">
            <v xml:space="preserve">3.3. AP CERT DEP 
Eventos Deportivos                                                                             </v>
          </cell>
          <cell r="J8" t="str">
            <v>4. RECREACIÓN PARA LA INFANCIA</v>
          </cell>
        </row>
        <row r="9">
          <cell r="H9" t="str">
            <v>4. FESTIVAL DE VERANO</v>
          </cell>
          <cell r="J9" t="str">
            <v>5. RECREACIÓN PARA LA JUVENTUD</v>
          </cell>
        </row>
        <row r="10">
          <cell r="H10" t="str">
            <v>5.1. ESC DEP 
Escuelas de mi Barrio</v>
          </cell>
          <cell r="J10" t="str">
            <v>6. RECREACIÓN PARA PERSONAS MAYORES</v>
          </cell>
        </row>
        <row r="11">
          <cell r="H11" t="str">
            <v>5.2 ESC DEP 
Escuelas de Natación Convenio</v>
          </cell>
          <cell r="J11" t="str">
            <v>7. RECREACIÓN INCLUYENTE</v>
          </cell>
        </row>
        <row r="12">
          <cell r="H12" t="str">
            <v>5.3 ESC DEP 
Escuelas de natación CASB</v>
          </cell>
          <cell r="J12" t="str">
            <v>8. RECREACIÓN COMUNITARIA</v>
          </cell>
        </row>
      </sheetData>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4">
          <cell r="J4" t="str">
            <v>1. CICLOVÍA</v>
          </cell>
        </row>
        <row r="5">
          <cell r="J5" t="str">
            <v>1.1. CICLOVÍA
Cicloexperiencias</v>
          </cell>
        </row>
        <row r="6">
          <cell r="J6" t="str">
            <v>2. RECREOVÍA</v>
          </cell>
        </row>
        <row r="7">
          <cell r="J7" t="str">
            <v>3. EVENTOS METROPOLITANOS</v>
          </cell>
        </row>
        <row r="8">
          <cell r="J8" t="str">
            <v>4. RECREACIÓN PARA LA INFANCIA</v>
          </cell>
        </row>
        <row r="9">
          <cell r="J9" t="str">
            <v>5. RECREACIÓN PARA LA JUVENTUD</v>
          </cell>
        </row>
        <row r="10">
          <cell r="J10" t="str">
            <v>6. RECREACIÓN PARA PERSONAS MAYORES</v>
          </cell>
        </row>
        <row r="11">
          <cell r="J11" t="str">
            <v>7. RECREACIÓN INCLUYENTE</v>
          </cell>
        </row>
        <row r="12">
          <cell r="J12" t="str">
            <v>8. RECREACIÓN COMUNITARIA</v>
          </cell>
        </row>
      </sheetData>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s>
    <sheetDataSet>
      <sheetData sheetId="0"/>
      <sheetData sheetId="1">
        <row r="3">
          <cell r="D3" t="str">
            <v>DEPORTES - DEPORTE MEJOR PARA TODOS</v>
          </cell>
        </row>
        <row r="4">
          <cell r="D4" t="str">
            <v>DEPORTES - RENDIMIENTO DEPORTIVO AL 100 X 100</v>
          </cell>
        </row>
        <row r="5">
          <cell r="D5" t="str">
            <v>DEPORTES - TIEMPO ESCOLAR COMPLEMENTARIO</v>
          </cell>
        </row>
        <row r="6">
          <cell r="D6" t="str">
            <v>RECREACIÓN - RECREACIÓN ACTIVA 365</v>
          </cell>
        </row>
      </sheetData>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P. MENSUAL SERVICIOS"/>
      <sheetName val="DATOS"/>
      <sheetName val="Hoja1"/>
    </sheetNames>
    <sheetDataSet>
      <sheetData sheetId="0"/>
      <sheetData sheetId="1">
        <row r="4">
          <cell r="I4" t="str">
            <v>1.1. REND DEP 
Desarrollo Técnico y Social</v>
          </cell>
        </row>
        <row r="5">
          <cell r="I5" t="str">
            <v>1.2. REND DEP 
Medicina y Ciencias Aplicadas</v>
          </cell>
        </row>
        <row r="6">
          <cell r="I6" t="str">
            <v>2. APOYO GESTIÓN DE LIGAS</v>
          </cell>
        </row>
        <row r="7">
          <cell r="I7" t="str">
            <v>3. CENTROS DE PERFECCIONAMIENTO DEPORTIVO</v>
          </cell>
        </row>
        <row r="8">
          <cell r="I8" t="str">
            <v>4. INVESTIGACIÓN Y DESRROLLO EVOLUCIÓN ATLETAS DEL REGISTRO DE BOGOTÁ TRABAJO EN ALTURA</v>
          </cell>
        </row>
        <row r="9">
          <cell r="I9" t="str">
            <v>5. MEMORIA PROGRAMA RENDIMIENTO DEPORTIVO</v>
          </cell>
        </row>
        <row r="10">
          <cell r="I10" t="str">
            <v>6. ELABORACIÓN DEL PROGRAMA  DE FORMACIÓN PARA EL PERSONAL TÉCNICO DEL PROYECTO</v>
          </cell>
        </row>
        <row r="11">
          <cell r="I11" t="str">
            <v>7. APOYO A LA GESTIÓN</v>
          </cell>
        </row>
      </sheetData>
      <sheetData sheetId="2"/>
    </sheetDataSet>
  </externalBook>
</externalLink>
</file>

<file path=xl/persons/person.xml><?xml version="1.0" encoding="utf-8"?>
<personList xmlns="http://schemas.microsoft.com/office/spreadsheetml/2018/threadedcomments" xmlns:x="http://schemas.openxmlformats.org/spreadsheetml/2006/main">
  <person displayName="LUIS MARTINEZ" id="{F270ED9C-3457-C841-95E3-43A764C2F689}" userId="f86206832d2588c8" providerId="Windows Live"/>
</personList>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B3" dT="2025-04-01T21:00:05.17" personId="{F270ED9C-3457-C841-95E3-43A764C2F689}" id="{D7C950BE-68CD-B049-AA64-C98A64BD39AF}">
    <text>IMPLEMENTACIÓN DEPORTIVA</text>
  </threadedComment>
  <threadedComment ref="B4" dT="2025-04-01T20:59:34.65" personId="{F270ED9C-3457-C841-95E3-43A764C2F689}" id="{8ACC55F8-57C8-C84D-B5FD-36E659D3B389}">
    <text>FORMACIÓN INTEGRAL PRIMERA INFANCIA</text>
  </threadedComment>
  <threadedComment ref="B5" dT="2025-04-01T21:01:04.18" personId="{F270ED9C-3457-C841-95E3-43A764C2F689}" id="{547FA292-F7A2-9F4A-B738-37C6313E1C34}">
    <text xml:space="preserve">DESARROLLO DE PROGRAMAS RECREATIVOS
</text>
  </threadedComment>
  <threadedComment ref="B6" dT="2025-04-01T21:00:34.87" personId="{F270ED9C-3457-C841-95E3-43A764C2F689}" id="{3B8A88E1-91D3-FC4A-A635-CDB8C9283A12}">
    <text>SAF</text>
  </threadedComment>
  <threadedComment ref="B12" dT="2025-04-01T21:00:05.17" personId="{F270ED9C-3457-C841-95E3-43A764C2F689}" id="{39A884A8-53A3-F64F-A2D6-EBC279783DDF}">
    <text>IMPLEMENTACIÓN DEPORTIVA</text>
  </threadedComment>
  <threadedComment ref="B13" dT="2025-04-01T20:59:34.65" personId="{F270ED9C-3457-C841-95E3-43A764C2F689}" id="{C8726049-954A-F74F-969A-F1AC20E68278}">
    <text>FORMACIÓN INTEGRAL PRIMERA INFANCIA</text>
  </threadedComment>
  <threadedComment ref="B14" dT="2025-04-01T21:01:04.18" personId="{F270ED9C-3457-C841-95E3-43A764C2F689}" id="{FF857572-2F88-CA43-B3D2-7EC16DBFF366}">
    <text xml:space="preserve">DESARROLLO DE PROGRAMAS RECREATIVOS
</text>
  </threadedComment>
  <threadedComment ref="B15" dT="2025-04-01T21:00:34.87" personId="{F270ED9C-3457-C841-95E3-43A764C2F689}" id="{4F2EAF75-59BE-E443-8CFB-226026E9ABF1}">
    <text>SAF</text>
  </threadedComment>
  <threadedComment ref="B21" dT="2025-04-01T21:00:05.17" personId="{F270ED9C-3457-C841-95E3-43A764C2F689}" id="{E7AD4C4F-EF45-F64F-8D84-D0C1B4019A01}">
    <text>IMPLEMENTACIÓN DEPORTIVA</text>
  </threadedComment>
  <threadedComment ref="B22" dT="2025-04-01T20:59:34.65" personId="{F270ED9C-3457-C841-95E3-43A764C2F689}" id="{2780EEC9-A5F4-064B-B8B6-206F40E3779E}">
    <text>FORMACIÓN INTEGRAL PRIMERA INFANCIA</text>
  </threadedComment>
  <threadedComment ref="B23" dT="2025-04-01T21:01:04.18" personId="{F270ED9C-3457-C841-95E3-43A764C2F689}" id="{2A7CFFB0-C24C-2746-ACDF-E01D22200834}">
    <text xml:space="preserve">DESARROLLO DE PROGRAMAS RECREATIVOS
</text>
  </threadedComment>
  <threadedComment ref="B24" dT="2025-04-01T21:00:34.87" personId="{F270ED9C-3457-C841-95E3-43A764C2F689}" id="{162C9BF1-2B19-C044-B4E6-394CF7F56B0A}">
    <text>SAF</text>
  </threadedComment>
  <threadedComment ref="B30" dT="2025-04-01T21:00:05.17" personId="{F270ED9C-3457-C841-95E3-43A764C2F689}" id="{4894D5CF-705A-894C-AD30-948238BEAE04}">
    <text>IMPLEMENTACIÓN DEPORTIVA</text>
  </threadedComment>
  <threadedComment ref="B31" dT="2025-04-01T20:59:34.65" personId="{F270ED9C-3457-C841-95E3-43A764C2F689}" id="{F57822BF-3C5A-3E44-BE98-444D0BD9AD5F}">
    <text>FORMACIÓN INTEGRAL PRIMERA INFANCIA</text>
  </threadedComment>
  <threadedComment ref="B32" dT="2025-04-01T21:01:04.18" personId="{F270ED9C-3457-C841-95E3-43A764C2F689}" id="{F46272F5-E0DC-0945-A3CF-2A628F7E1193}">
    <text xml:space="preserve">DESARROLLO DE PROGRAMAS RECREATIVOS
</text>
  </threadedComment>
  <threadedComment ref="B33" dT="2025-04-01T21:00:34.87" personId="{F270ED9C-3457-C841-95E3-43A764C2F689}" id="{98758041-09B5-BC4C-850A-B97A88686629}">
    <text>SAF</text>
  </threadedComment>
  <threadedComment ref="B39" dT="2025-04-01T21:00:05.17" personId="{F270ED9C-3457-C841-95E3-43A764C2F689}" id="{70D3A22E-F604-DF44-B8D9-52516F30F192}">
    <text>IMPLEMENTACIÓN DEPORTIVA</text>
  </threadedComment>
  <threadedComment ref="B40" dT="2025-04-01T20:59:34.65" personId="{F270ED9C-3457-C841-95E3-43A764C2F689}" id="{7E046F01-C731-114A-A8A2-291567F6402A}">
    <text>FORMACIÓN INTEGRAL PRIMERA INFANCIA</text>
  </threadedComment>
  <threadedComment ref="B41" dT="2025-04-01T21:01:04.18" personId="{F270ED9C-3457-C841-95E3-43A764C2F689}" id="{9ABDB42A-8F9C-FB4F-A937-C210EFC8C653}">
    <text xml:space="preserve">DESARROLLO DE PROGRAMAS RECREATIVOS
</text>
  </threadedComment>
  <threadedComment ref="B42" dT="2025-04-01T21:00:34.87" personId="{F270ED9C-3457-C841-95E3-43A764C2F689}" id="{A1FAC538-D3BB-BB44-B8E9-6CA2B0E1FE3C}">
    <text>SAF</text>
  </threadedComment>
  <threadedComment ref="B48" dT="2025-04-01T21:00:05.17" personId="{F270ED9C-3457-C841-95E3-43A764C2F689}" id="{B4009FD2-D467-A247-8BFE-58BD906F895A}">
    <text>IMPLEMENTACIÓN DEPORTIVA</text>
  </threadedComment>
  <threadedComment ref="B49" dT="2025-04-01T20:59:34.65" personId="{F270ED9C-3457-C841-95E3-43A764C2F689}" id="{73DDE9D8-2208-034E-A03F-35A4E3CBDE08}">
    <text>FORMACIÓN INTEGRAL PRIMERA INFANCIA</text>
  </threadedComment>
  <threadedComment ref="B50" dT="2025-04-01T21:01:04.18" personId="{F270ED9C-3457-C841-95E3-43A764C2F689}" id="{43B45153-5E04-C141-B2E5-63C290D16124}">
    <text xml:space="preserve">DESARROLLO DE PROGRAMAS RECREATIVOS
</text>
  </threadedComment>
  <threadedComment ref="B51" dT="2025-04-01T21:00:34.87" personId="{F270ED9C-3457-C841-95E3-43A764C2F689}" id="{14EB3A0E-3B00-B346-974A-6DC599668669}">
    <text>SAF</text>
  </threadedComment>
  <threadedComment ref="B57" dT="2025-04-01T21:00:05.17" personId="{F270ED9C-3457-C841-95E3-43A764C2F689}" id="{D836C2D6-E0B3-4647-B10B-8DAF648B7852}">
    <text>IMPLEMENTACIÓN DEPORTIVA</text>
  </threadedComment>
  <threadedComment ref="B58" dT="2025-04-01T20:59:34.65" personId="{F270ED9C-3457-C841-95E3-43A764C2F689}" id="{57F28E6E-0ACE-8C4C-A549-5BB9BFA3CE51}">
    <text>FORMACIÓN INTEGRAL PRIMERA INFANCIA</text>
  </threadedComment>
  <threadedComment ref="B59" dT="2025-04-01T21:01:04.18" personId="{F270ED9C-3457-C841-95E3-43A764C2F689}" id="{A1A8FEE8-85A2-9D42-A2C0-B7AB5A048B36}">
    <text xml:space="preserve">DESARROLLO DE PROGRAMAS RECREATIVOS
</text>
  </threadedComment>
  <threadedComment ref="B60" dT="2025-04-01T21:00:34.87" personId="{F270ED9C-3457-C841-95E3-43A764C2F689}" id="{1228252C-7568-4749-8C1E-DE0083CFC04D}">
    <text>SAF</text>
  </threadedComment>
  <threadedComment ref="C60" dT="2026-04-30T13:26:39.97" personId="{F270ED9C-3457-C841-95E3-43A764C2F689}" id="{688CB70A-9A32-A843-BE71-A912628494C0}">
    <text xml:space="preserve">RP 3607 DE ABRIL 
</text>
  </threadedComment>
  <threadedComment ref="B66" dT="2025-04-01T21:00:05.17" personId="{F270ED9C-3457-C841-95E3-43A764C2F689}" id="{6DE0F575-88AD-CB4E-91C4-F2AEB9ADAF0B}">
    <text>IMPLEMENTACIÓN DEPORTIVA</text>
  </threadedComment>
  <threadedComment ref="B67" dT="2025-04-01T20:59:34.65" personId="{F270ED9C-3457-C841-95E3-43A764C2F689}" id="{095F6D25-FD17-9041-B49F-4514D5A8F7FE}">
    <text>FORMACIÓN INTEGRAL PRIMERA INFANCIA</text>
  </threadedComment>
  <threadedComment ref="B68" dT="2025-04-01T21:01:04.18" personId="{F270ED9C-3457-C841-95E3-43A764C2F689}" id="{58681B66-AAF4-8748-9304-54BE42EE01C3}">
    <text xml:space="preserve">DESARROLLO DE PROGRAMAS RECREATIVOS
</text>
  </threadedComment>
  <threadedComment ref="B69" dT="2025-04-01T21:00:34.87" personId="{F270ED9C-3457-C841-95E3-43A764C2F689}" id="{9CAA054F-261F-A241-9ED8-AE6377C972A4}">
    <text>SAF</text>
  </threadedComment>
</ThreadedComments>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9.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8.bin"/><Relationship Id="rId4" Type="http://schemas.microsoft.com/office/2017/10/relationships/threadedComment" Target="../threadedComments/threadedComment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BFE4277-EE09-CF4E-B068-8E959FEA214B}">
  <sheetPr>
    <tabColor rgb="FF00B050"/>
  </sheetPr>
  <dimension ref="A1:AE222"/>
  <sheetViews>
    <sheetView view="pageBreakPreview" topLeftCell="J34" zoomScale="120" zoomScaleNormal="59" zoomScaleSheetLayoutView="120" workbookViewId="0">
      <selection activeCell="Y20" sqref="Y20:Y26"/>
    </sheetView>
  </sheetViews>
  <sheetFormatPr baseColWidth="10" defaultColWidth="11.42578125" defaultRowHeight="12.75" x14ac:dyDescent="0.2"/>
  <cols>
    <col min="1" max="1" width="43.140625" style="3" customWidth="1"/>
    <col min="2" max="2" width="27.42578125" style="3" customWidth="1"/>
    <col min="3" max="3" width="20.85546875" style="3" customWidth="1"/>
    <col min="4" max="4" width="33.42578125" style="3" customWidth="1"/>
    <col min="5" max="5" width="28.710937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43.42578125" style="301" customWidth="1"/>
    <col min="16" max="16" width="29.28515625" style="3" customWidth="1"/>
    <col min="17" max="17" width="23.85546875" style="3" customWidth="1"/>
    <col min="18" max="18" width="18.140625" style="3" customWidth="1"/>
    <col min="19" max="19" width="35.42578125" style="3" customWidth="1"/>
    <col min="20" max="20" width="20.28515625" style="3" customWidth="1"/>
    <col min="21" max="21" width="19" style="3" customWidth="1"/>
    <col min="22" max="23" width="25.42578125" style="3" customWidth="1"/>
    <col min="24" max="24" width="42.710937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422" t="s">
        <v>0</v>
      </c>
      <c r="B1" s="422"/>
      <c r="C1" s="422"/>
      <c r="D1" s="422"/>
      <c r="E1" s="422"/>
      <c r="F1" s="422"/>
      <c r="G1" s="422"/>
      <c r="H1" s="2"/>
      <c r="I1" s="2"/>
      <c r="J1" s="2"/>
      <c r="K1" s="2"/>
      <c r="L1" s="2"/>
      <c r="M1" s="2"/>
      <c r="N1" s="2"/>
      <c r="O1" s="295"/>
      <c r="P1" s="2"/>
      <c r="Q1" s="2"/>
      <c r="R1" s="2"/>
      <c r="S1" s="2"/>
      <c r="T1" s="2"/>
      <c r="U1" s="2"/>
      <c r="V1" s="2"/>
      <c r="W1" s="2"/>
      <c r="X1" s="2"/>
      <c r="Y1" s="2"/>
    </row>
    <row r="2" spans="1:31" ht="15.75" x14ac:dyDescent="0.2">
      <c r="A2" s="422" t="s">
        <v>1</v>
      </c>
      <c r="B2" s="422"/>
      <c r="C2" s="422"/>
      <c r="D2" s="422"/>
      <c r="E2" s="422"/>
      <c r="F2" s="422"/>
      <c r="G2" s="422"/>
      <c r="H2" s="2"/>
      <c r="I2" s="423" t="s">
        <v>2</v>
      </c>
      <c r="J2" s="424"/>
      <c r="K2" s="424"/>
      <c r="L2" s="424"/>
      <c r="M2" s="424"/>
      <c r="N2" s="424"/>
      <c r="O2" s="424"/>
      <c r="P2" s="425"/>
      <c r="Q2" s="2"/>
      <c r="R2" s="418" t="s">
        <v>3</v>
      </c>
      <c r="S2" s="419"/>
      <c r="T2" s="419"/>
      <c r="U2" s="419"/>
      <c r="V2" s="419"/>
      <c r="W2" s="419"/>
      <c r="X2" s="419"/>
      <c r="Y2" s="420"/>
      <c r="AA2" s="417"/>
      <c r="AB2" s="417"/>
      <c r="AC2" s="417"/>
      <c r="AD2" s="417"/>
      <c r="AE2" s="417"/>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303" t="s">
        <v>11</v>
      </c>
      <c r="S3" s="304" t="s">
        <v>4</v>
      </c>
      <c r="T3" s="305" t="s">
        <v>5</v>
      </c>
      <c r="U3" s="305" t="s">
        <v>6</v>
      </c>
      <c r="V3" s="305" t="s">
        <v>7</v>
      </c>
      <c r="W3" s="305" t="s">
        <v>8</v>
      </c>
      <c r="X3" s="305" t="s">
        <v>9</v>
      </c>
      <c r="Y3" s="305" t="s">
        <v>10</v>
      </c>
      <c r="AA3" s="4"/>
      <c r="AB3" s="9"/>
      <c r="AC3" s="9"/>
      <c r="AD3" s="9"/>
      <c r="AE3" s="9"/>
    </row>
    <row r="4" spans="1:31" ht="31.5" x14ac:dyDescent="0.25">
      <c r="A4" s="10" t="s">
        <v>12</v>
      </c>
      <c r="B4" s="11" t="str">
        <f>+IF(F4=0,0,MID(F4,LEN(F4)-4,3))</f>
        <v xml:space="preserve">04 </v>
      </c>
      <c r="C4" s="12">
        <v>1</v>
      </c>
      <c r="D4" s="12" t="s">
        <v>229</v>
      </c>
      <c r="E4" s="13" t="str">
        <f>+IF(F4=0,0,CONCATENATE(MID(F4,FIND("-",F4,1)+1,4),"ORAS"))</f>
        <v>15 HORAS</v>
      </c>
      <c r="F4" s="14" t="s">
        <v>351</v>
      </c>
      <c r="G4" s="362">
        <f>+IF(F4="","",VLOOKUP(F4,$H$139:$I$217,2,FALSE))</f>
        <v>1955007</v>
      </c>
      <c r="H4" s="2"/>
      <c r="I4" s="15" t="s">
        <v>13</v>
      </c>
      <c r="J4" s="14" t="s">
        <v>16</v>
      </c>
      <c r="K4" s="11" t="str">
        <f>+IF(O4=0,0,MID(O4,LEN(O4)-4,3))</f>
        <v xml:space="preserve">03 </v>
      </c>
      <c r="L4" s="17">
        <v>1</v>
      </c>
      <c r="M4" s="12" t="s">
        <v>229</v>
      </c>
      <c r="N4" s="13" t="str">
        <f>+IF(O4=0,0,CONCATENATE(MID(O4,FIND("-",O4,1)+1,4),"ORAS"))</f>
        <v>15 HORAS</v>
      </c>
      <c r="O4" s="296" t="s">
        <v>394</v>
      </c>
      <c r="P4" s="362">
        <f>+IF(O4="","",VLOOKUP(O4,$H$139:$I$217,2,FALSE))</f>
        <v>1019917</v>
      </c>
      <c r="Q4" s="2"/>
      <c r="R4" s="306" t="s">
        <v>13</v>
      </c>
      <c r="S4" s="307" t="s">
        <v>14</v>
      </c>
      <c r="T4" s="308">
        <v>4</v>
      </c>
      <c r="U4" s="309">
        <v>1</v>
      </c>
      <c r="V4" s="310" t="s">
        <v>229</v>
      </c>
      <c r="W4" s="13" t="str">
        <f>+IF(X4=0,0,CONCATENATE(MID(X4,FIND("-",X4,1)+1,4),"ORAS"))</f>
        <v>15 HORAS</v>
      </c>
      <c r="X4" s="296" t="s">
        <v>366</v>
      </c>
      <c r="Y4" s="362">
        <f>+IF(X4="","",VLOOKUP(X4,$H$139:$I$217,2,FALSE))</f>
        <v>1691890</v>
      </c>
      <c r="AA4" s="20"/>
      <c r="AB4" s="21"/>
      <c r="AC4" s="21"/>
      <c r="AD4" s="22"/>
      <c r="AE4" s="23"/>
    </row>
    <row r="5" spans="1:31" ht="31.5" x14ac:dyDescent="0.25">
      <c r="A5" s="14" t="s">
        <v>15</v>
      </c>
      <c r="B5" s="11" t="str">
        <f t="shared" ref="B5:B10" si="0">+IF(F5=0,0,MID(F5,LEN(F5)-4,3))</f>
        <v xml:space="preserve">03 </v>
      </c>
      <c r="C5" s="18">
        <v>1</v>
      </c>
      <c r="D5" s="12" t="s">
        <v>229</v>
      </c>
      <c r="E5" s="13" t="str">
        <f t="shared" ref="E5:E10" si="1">+IF(F5=0,0,CONCATENATE(MID(F5,FIND("-",F5,1)+1,4),"ORAS"))</f>
        <v>15 HORAS</v>
      </c>
      <c r="F5" s="14" t="s">
        <v>352</v>
      </c>
      <c r="G5" s="362">
        <f t="shared" ref="G5:G12" si="2">+IF(F5="","",VLOOKUP(F5,$H$139:$I$217,2,FALSE))</f>
        <v>1795972</v>
      </c>
      <c r="H5" s="2"/>
      <c r="I5" s="15" t="s">
        <v>13</v>
      </c>
      <c r="J5" s="14" t="s">
        <v>490</v>
      </c>
      <c r="K5" s="11" t="str">
        <f t="shared" ref="K5:K8" si="3">+IF(O5=0,0,MID(O5,LEN(O5)-4,3))</f>
        <v xml:space="preserve">01 </v>
      </c>
      <c r="L5" s="17">
        <v>1</v>
      </c>
      <c r="M5" s="12" t="s">
        <v>229</v>
      </c>
      <c r="N5" s="13" t="str">
        <f t="shared" ref="N5:N8" si="4">+IF(O5=0,0,CONCATENATE(MID(O5,FIND("-",O5,1)+1,4),"ORAS"))</f>
        <v>09 HORAS</v>
      </c>
      <c r="O5" s="296" t="s">
        <v>399</v>
      </c>
      <c r="P5" s="362">
        <f t="shared" ref="P5:P8" si="5">+IF(O5="","",VLOOKUP(O5,$H$139:$I$217,2,FALSE))</f>
        <v>481858</v>
      </c>
      <c r="Q5" s="2"/>
      <c r="R5" s="313" t="s">
        <v>13</v>
      </c>
      <c r="S5" s="314" t="s">
        <v>17</v>
      </c>
      <c r="T5" s="308">
        <v>4</v>
      </c>
      <c r="U5" s="315">
        <v>1</v>
      </c>
      <c r="V5" s="310" t="s">
        <v>229</v>
      </c>
      <c r="W5" s="13" t="str">
        <f>+IF(X5=0,0,CONCATENATE(MID(X5,FIND("-",X5,1)+1,4),"ORAS"))</f>
        <v>15 HORAS</v>
      </c>
      <c r="X5" s="296" t="s">
        <v>366</v>
      </c>
      <c r="Y5" s="362">
        <f>+IF(X5="","",VLOOKUP(X5,$H$139:$I$217,2,FALSE))</f>
        <v>1691890</v>
      </c>
      <c r="AA5" s="20"/>
      <c r="AB5" s="21"/>
      <c r="AC5" s="21"/>
      <c r="AD5" s="22"/>
      <c r="AE5" s="23"/>
    </row>
    <row r="6" spans="1:31" ht="31.5" x14ac:dyDescent="0.25">
      <c r="A6" s="14" t="s">
        <v>18</v>
      </c>
      <c r="B6" s="11" t="str">
        <f t="shared" si="0"/>
        <v xml:space="preserve">03 </v>
      </c>
      <c r="C6" s="18">
        <v>1</v>
      </c>
      <c r="D6" s="12" t="s">
        <v>229</v>
      </c>
      <c r="E6" s="13" t="str">
        <f t="shared" si="1"/>
        <v>15 HORAS</v>
      </c>
      <c r="F6" s="14" t="s">
        <v>352</v>
      </c>
      <c r="G6" s="362">
        <f t="shared" si="2"/>
        <v>1795972</v>
      </c>
      <c r="H6" s="2"/>
      <c r="I6" s="15"/>
      <c r="J6" s="14"/>
      <c r="K6" s="11">
        <f t="shared" si="3"/>
        <v>0</v>
      </c>
      <c r="L6" s="17"/>
      <c r="M6" s="12"/>
      <c r="N6" s="13">
        <f t="shared" si="4"/>
        <v>0</v>
      </c>
      <c r="O6" s="296">
        <v>0</v>
      </c>
      <c r="P6" s="341">
        <f t="shared" si="5"/>
        <v>0</v>
      </c>
      <c r="Q6" s="2"/>
      <c r="R6" s="313" t="s">
        <v>13</v>
      </c>
      <c r="S6" s="314" t="s">
        <v>19</v>
      </c>
      <c r="T6" s="308">
        <v>4</v>
      </c>
      <c r="U6" s="315">
        <v>1</v>
      </c>
      <c r="V6" s="310" t="s">
        <v>229</v>
      </c>
      <c r="W6" s="13" t="str">
        <f>+IF(X6=0,0,CONCATENATE(MID(X6,FIND("-",X6,1)+1,4),"ORAS"))</f>
        <v>15 HORAS</v>
      </c>
      <c r="X6" s="296" t="s">
        <v>366</v>
      </c>
      <c r="Y6" s="362">
        <f>+IF(X6="","",VLOOKUP(X6,$H$139:$I$217,2,FALSE))</f>
        <v>1691890</v>
      </c>
      <c r="AA6" s="20"/>
      <c r="AB6" s="21"/>
      <c r="AC6" s="21"/>
      <c r="AD6" s="22"/>
      <c r="AE6" s="23"/>
    </row>
    <row r="7" spans="1:31" ht="15.75" x14ac:dyDescent="0.25">
      <c r="A7" s="14" t="s">
        <v>20</v>
      </c>
      <c r="B7" s="11" t="str">
        <f t="shared" si="0"/>
        <v xml:space="preserve">03 </v>
      </c>
      <c r="C7" s="18">
        <v>1</v>
      </c>
      <c r="D7" s="12" t="s">
        <v>229</v>
      </c>
      <c r="E7" s="13" t="str">
        <f t="shared" si="1"/>
        <v>15 HORAS</v>
      </c>
      <c r="F7" s="14" t="s">
        <v>352</v>
      </c>
      <c r="G7" s="362">
        <f t="shared" si="2"/>
        <v>1795972</v>
      </c>
      <c r="H7" s="2"/>
      <c r="I7" s="15"/>
      <c r="J7" s="14"/>
      <c r="K7" s="11">
        <f t="shared" si="3"/>
        <v>0</v>
      </c>
      <c r="L7" s="17"/>
      <c r="M7" s="12"/>
      <c r="N7" s="13">
        <f t="shared" si="4"/>
        <v>0</v>
      </c>
      <c r="O7" s="296">
        <v>0</v>
      </c>
      <c r="P7" s="341">
        <f t="shared" si="5"/>
        <v>0</v>
      </c>
      <c r="Q7" s="2"/>
      <c r="R7" s="317"/>
      <c r="S7" s="319"/>
      <c r="T7" s="320"/>
      <c r="U7" s="321"/>
      <c r="V7" s="310"/>
      <c r="W7" s="311"/>
      <c r="X7" s="316">
        <v>0</v>
      </c>
      <c r="Y7" s="342">
        <v>0</v>
      </c>
      <c r="AA7" s="20"/>
      <c r="AB7" s="20"/>
      <c r="AC7" s="20"/>
      <c r="AD7" s="20"/>
      <c r="AE7" s="20"/>
    </row>
    <row r="8" spans="1:31" ht="15.75" x14ac:dyDescent="0.25">
      <c r="A8" s="14" t="s">
        <v>21</v>
      </c>
      <c r="B8" s="11" t="str">
        <f t="shared" si="0"/>
        <v xml:space="preserve">03 </v>
      </c>
      <c r="C8" s="18">
        <v>1</v>
      </c>
      <c r="D8" s="12" t="s">
        <v>229</v>
      </c>
      <c r="E8" s="13" t="str">
        <f t="shared" si="1"/>
        <v>15 HORAS</v>
      </c>
      <c r="F8" s="14" t="s">
        <v>352</v>
      </c>
      <c r="G8" s="362">
        <f t="shared" si="2"/>
        <v>1795972</v>
      </c>
      <c r="H8" s="2"/>
      <c r="I8" s="15"/>
      <c r="J8" s="14"/>
      <c r="K8" s="11">
        <f t="shared" si="3"/>
        <v>0</v>
      </c>
      <c r="L8" s="17"/>
      <c r="M8" s="12"/>
      <c r="N8" s="13">
        <f t="shared" si="4"/>
        <v>0</v>
      </c>
      <c r="O8" s="296">
        <v>0</v>
      </c>
      <c r="P8" s="341">
        <f t="shared" si="5"/>
        <v>0</v>
      </c>
      <c r="Q8" s="2"/>
      <c r="R8" s="306"/>
      <c r="S8" s="322"/>
      <c r="T8" s="315"/>
      <c r="U8" s="309">
        <v>3</v>
      </c>
      <c r="V8" s="323"/>
      <c r="W8" s="312"/>
      <c r="X8" s="316"/>
      <c r="Y8" s="324"/>
      <c r="AA8" s="20"/>
      <c r="AB8" s="20"/>
      <c r="AC8" s="20"/>
      <c r="AD8" s="20"/>
      <c r="AE8" s="20"/>
    </row>
    <row r="9" spans="1:31" ht="15.75" x14ac:dyDescent="0.25">
      <c r="A9" s="25" t="s">
        <v>381</v>
      </c>
      <c r="B9" s="11" t="str">
        <f t="shared" si="0"/>
        <v xml:space="preserve">03 </v>
      </c>
      <c r="C9" s="18">
        <v>1</v>
      </c>
      <c r="D9" s="12" t="s">
        <v>229</v>
      </c>
      <c r="E9" s="13" t="str">
        <f t="shared" si="1"/>
        <v>15 HORAS</v>
      </c>
      <c r="F9" s="14" t="s">
        <v>352</v>
      </c>
      <c r="G9" s="362">
        <f t="shared" si="2"/>
        <v>1795972</v>
      </c>
      <c r="H9" s="2"/>
      <c r="I9" s="15"/>
      <c r="J9" s="14"/>
      <c r="K9" s="11">
        <f>+IF(O9=0,0,MID(O9,LEN(O9)-4,3))</f>
        <v>0</v>
      </c>
      <c r="L9" s="17"/>
      <c r="M9" s="12"/>
      <c r="N9" s="13">
        <f>+IF(O9=0,0,CONCATENATE(MID(O9,FIND("-",O9,1)+1,4),"ORAS"))</f>
        <v>0</v>
      </c>
      <c r="O9" s="296">
        <v>0</v>
      </c>
      <c r="P9" s="341">
        <f>+IF(O9="","",VLOOKUP(O9,$H$139:$I$217,2,FALSE))</f>
        <v>0</v>
      </c>
      <c r="Q9" s="2"/>
      <c r="R9" s="325"/>
      <c r="S9" s="318"/>
      <c r="T9" s="318"/>
      <c r="U9" s="318"/>
      <c r="V9" s="326"/>
      <c r="W9" s="326"/>
      <c r="X9" s="326"/>
      <c r="Y9" s="327"/>
      <c r="AA9" s="20"/>
      <c r="AB9" s="20"/>
      <c r="AC9" s="20"/>
      <c r="AD9" s="20"/>
      <c r="AE9" s="20"/>
    </row>
    <row r="10" spans="1:31" ht="15.75" x14ac:dyDescent="0.25">
      <c r="A10" s="25" t="s">
        <v>382</v>
      </c>
      <c r="B10" s="11" t="str">
        <f t="shared" si="0"/>
        <v xml:space="preserve">04 </v>
      </c>
      <c r="C10" s="18">
        <v>1</v>
      </c>
      <c r="D10" s="12" t="s">
        <v>229</v>
      </c>
      <c r="E10" s="13" t="str">
        <f t="shared" si="1"/>
        <v>15 HORAS</v>
      </c>
      <c r="F10" s="14" t="s">
        <v>351</v>
      </c>
      <c r="G10" s="362">
        <f t="shared" si="2"/>
        <v>1955007</v>
      </c>
      <c r="H10" s="2"/>
      <c r="I10" s="26"/>
      <c r="J10" s="14"/>
      <c r="K10" s="16"/>
      <c r="L10" s="27"/>
      <c r="M10" s="27"/>
      <c r="N10" s="14"/>
      <c r="O10" s="296"/>
      <c r="P10" s="28"/>
      <c r="Q10" s="2"/>
      <c r="R10" s="325"/>
      <c r="S10" s="318"/>
      <c r="T10" s="318"/>
      <c r="U10" s="318"/>
      <c r="V10" s="326"/>
      <c r="W10" s="326"/>
      <c r="X10" s="326"/>
      <c r="Y10" s="327"/>
      <c r="AA10" s="20"/>
      <c r="AB10" s="20"/>
      <c r="AC10" s="20"/>
      <c r="AD10" s="20"/>
      <c r="AE10" s="20"/>
    </row>
    <row r="11" spans="1:31" ht="15.75" x14ac:dyDescent="0.25">
      <c r="A11" s="25" t="s">
        <v>393</v>
      </c>
      <c r="B11" s="11" t="str">
        <f>+IF(F11=0,0,MID(F11,LEN(F11)-4,3))</f>
        <v xml:space="preserve">04 </v>
      </c>
      <c r="C11" s="18">
        <v>1</v>
      </c>
      <c r="D11" s="18" t="s">
        <v>229</v>
      </c>
      <c r="E11" s="13" t="str">
        <f>+IF(F11=0,0,CONCATENATE(MID(F11,FIND("-",F11,1)+1,4),"ORAS"))</f>
        <v>15 HORAS</v>
      </c>
      <c r="F11" s="14" t="s">
        <v>351</v>
      </c>
      <c r="G11" s="362">
        <f t="shared" si="2"/>
        <v>1955007</v>
      </c>
      <c r="H11" s="2"/>
      <c r="I11" s="26"/>
      <c r="J11" s="14"/>
      <c r="K11" s="16"/>
      <c r="L11" s="27"/>
      <c r="M11" s="27"/>
      <c r="N11" s="14"/>
      <c r="O11" s="296"/>
      <c r="P11" s="29"/>
      <c r="Q11" s="2"/>
      <c r="R11" s="325"/>
      <c r="S11" s="318"/>
      <c r="T11" s="318"/>
      <c r="U11" s="318"/>
      <c r="V11" s="326"/>
      <c r="W11" s="326"/>
      <c r="X11" s="326"/>
      <c r="Y11" s="327"/>
      <c r="AA11" s="20"/>
      <c r="AB11" s="20"/>
      <c r="AC11" s="20"/>
      <c r="AD11" s="20"/>
      <c r="AE11" s="20"/>
    </row>
    <row r="12" spans="1:31" ht="15.75" x14ac:dyDescent="0.25">
      <c r="A12" s="30"/>
      <c r="B12" s="11"/>
      <c r="C12" s="18"/>
      <c r="D12" s="18"/>
      <c r="E12" s="13"/>
      <c r="F12" s="14"/>
      <c r="G12" s="341" t="str">
        <f t="shared" si="2"/>
        <v/>
      </c>
      <c r="H12" s="2"/>
      <c r="I12" s="26"/>
      <c r="J12" s="14"/>
      <c r="K12" s="16"/>
      <c r="L12" s="27"/>
      <c r="M12" s="27"/>
      <c r="N12" s="14"/>
      <c r="O12" s="296"/>
      <c r="P12" s="29"/>
      <c r="Q12" s="2"/>
      <c r="R12" s="325"/>
      <c r="S12" s="318"/>
      <c r="T12" s="318"/>
      <c r="U12" s="318"/>
      <c r="V12" s="326"/>
      <c r="W12" s="326"/>
      <c r="X12" s="326"/>
      <c r="Y12" s="327"/>
      <c r="AA12" s="20"/>
      <c r="AB12" s="20"/>
      <c r="AC12" s="20"/>
      <c r="AD12" s="20"/>
      <c r="AE12" s="20"/>
    </row>
    <row r="13" spans="1:31" ht="15.75" x14ac:dyDescent="0.25">
      <c r="A13" s="31"/>
      <c r="B13" s="11">
        <f>+B10+B9+B8+B7+B6+B5+B4</f>
        <v>23</v>
      </c>
      <c r="C13" s="11">
        <f>+C10+C9+C8+C7+C6+C5+C4</f>
        <v>7</v>
      </c>
      <c r="D13" s="32"/>
      <c r="E13" s="32"/>
      <c r="F13" s="14"/>
      <c r="G13" s="33">
        <f>SUM(G4:G12)</f>
        <v>14844881</v>
      </c>
      <c r="H13" s="2"/>
      <c r="I13" s="26"/>
      <c r="J13" s="14"/>
      <c r="K13" s="16"/>
      <c r="L13" s="17"/>
      <c r="M13" s="27"/>
      <c r="N13" s="14"/>
      <c r="O13" s="296"/>
      <c r="P13" s="34"/>
      <c r="Q13" s="2"/>
      <c r="R13" s="418" t="s">
        <v>22</v>
      </c>
      <c r="S13" s="419"/>
      <c r="T13" s="419"/>
      <c r="U13" s="419"/>
      <c r="V13" s="419"/>
      <c r="W13" s="419"/>
      <c r="X13" s="419"/>
      <c r="Y13" s="420"/>
      <c r="AA13" s="20"/>
      <c r="AB13" s="20"/>
      <c r="AC13" s="20"/>
      <c r="AD13" s="20"/>
      <c r="AE13" s="20"/>
    </row>
    <row r="14" spans="1:31" ht="16.5" customHeight="1" x14ac:dyDescent="0.25">
      <c r="A14" s="426" t="s">
        <v>23</v>
      </c>
      <c r="B14" s="426"/>
      <c r="C14" s="426"/>
      <c r="D14" s="426"/>
      <c r="E14" s="426"/>
      <c r="F14" s="426"/>
      <c r="G14" s="426"/>
      <c r="H14" s="2"/>
      <c r="I14" s="26"/>
      <c r="J14" s="14"/>
      <c r="K14" s="16"/>
      <c r="L14" s="17"/>
      <c r="M14" s="27"/>
      <c r="N14" s="14"/>
      <c r="O14" s="296"/>
      <c r="P14" s="35"/>
      <c r="Q14" s="2"/>
      <c r="R14" s="303" t="s">
        <v>11</v>
      </c>
      <c r="S14" s="304" t="s">
        <v>4</v>
      </c>
      <c r="T14" s="305" t="s">
        <v>5</v>
      </c>
      <c r="U14" s="305" t="s">
        <v>6</v>
      </c>
      <c r="V14" s="305" t="s">
        <v>7</v>
      </c>
      <c r="W14" s="305" t="s">
        <v>8</v>
      </c>
      <c r="X14" s="305" t="s">
        <v>9</v>
      </c>
      <c r="Y14" s="305" t="s">
        <v>10</v>
      </c>
      <c r="Z14" s="36"/>
    </row>
    <row r="15" spans="1:31" ht="15.75" x14ac:dyDescent="0.2">
      <c r="A15" s="1" t="s">
        <v>4</v>
      </c>
      <c r="B15" s="5" t="s">
        <v>5</v>
      </c>
      <c r="C15" s="5" t="s">
        <v>6</v>
      </c>
      <c r="D15" s="5" t="s">
        <v>7</v>
      </c>
      <c r="E15" s="5" t="s">
        <v>8</v>
      </c>
      <c r="F15" s="37" t="s">
        <v>9</v>
      </c>
      <c r="G15" s="5" t="s">
        <v>10</v>
      </c>
      <c r="H15" s="2"/>
      <c r="I15" s="31"/>
      <c r="J15" s="31"/>
      <c r="K15" s="31"/>
      <c r="L15" s="31"/>
      <c r="M15" s="31"/>
      <c r="N15" s="14"/>
      <c r="O15" s="296"/>
      <c r="P15" s="38"/>
      <c r="Q15" s="2"/>
      <c r="R15" s="328" t="s">
        <v>13</v>
      </c>
      <c r="S15" s="307" t="s">
        <v>24</v>
      </c>
      <c r="T15" s="308">
        <v>11</v>
      </c>
      <c r="U15" s="307">
        <v>0</v>
      </c>
      <c r="V15" s="310" t="s">
        <v>229</v>
      </c>
      <c r="W15" s="13" t="str">
        <f>+IF(X15=0,0,CONCATENATE(MID(X15,FIND("-",X15,1)+1,4),"ORAS"))</f>
        <v>15 HORAS</v>
      </c>
      <c r="X15" s="296" t="s">
        <v>410</v>
      </c>
      <c r="Y15" s="362">
        <f>+IF(X15="","",VLOOKUP(X15,$H$139:$I$217,2,FALSE))*T15</f>
        <v>3116641</v>
      </c>
    </row>
    <row r="16" spans="1:31" ht="18.75" customHeight="1" x14ac:dyDescent="0.2">
      <c r="A16" s="25"/>
      <c r="B16" s="11">
        <f>+IF(F16=0,0,MID(F16,LEN(F16)-4,3))</f>
        <v>0</v>
      </c>
      <c r="C16" s="359"/>
      <c r="D16" s="12"/>
      <c r="E16" s="13">
        <f>+IF(F16=0,0,CONCATENATE(MID(F16,FIND("-",F16,1)+1,4),"ORAS"))</f>
        <v>0</v>
      </c>
      <c r="F16" s="14">
        <v>0</v>
      </c>
      <c r="G16" s="341">
        <f t="shared" ref="G16:G21" si="6">+IF(F16="","",VLOOKUP(F16,$H$139:$I$217,2,FALSE))</f>
        <v>0</v>
      </c>
      <c r="H16" s="2"/>
      <c r="I16" s="427" t="s">
        <v>26</v>
      </c>
      <c r="J16" s="428"/>
      <c r="K16" s="428"/>
      <c r="L16" s="428"/>
      <c r="M16" s="428"/>
      <c r="N16" s="428"/>
      <c r="O16" s="428"/>
      <c r="P16" s="429"/>
      <c r="Q16" s="2"/>
      <c r="R16" s="329"/>
      <c r="S16" s="314"/>
      <c r="T16" s="330"/>
      <c r="U16" s="314"/>
      <c r="V16" s="323"/>
      <c r="W16" s="14">
        <f>+IF(X16=0,0,CONCATENATE(MID(X16,FIND("-",X16,1)+1,4),"ORAS"))</f>
        <v>0</v>
      </c>
      <c r="X16" s="296">
        <v>0</v>
      </c>
      <c r="Y16" s="35">
        <f>+IF(X16="","",VLOOKUP(X16,$H$139:$I$217,2,FALSE))*T16</f>
        <v>0</v>
      </c>
    </row>
    <row r="17" spans="1:31" ht="23.25" customHeight="1" x14ac:dyDescent="0.2">
      <c r="A17" s="40"/>
      <c r="B17" s="16"/>
      <c r="C17" s="360"/>
      <c r="D17" s="18"/>
      <c r="E17" s="14"/>
      <c r="F17" s="14">
        <v>0</v>
      </c>
      <c r="G17" s="341">
        <f t="shared" si="6"/>
        <v>0</v>
      </c>
      <c r="H17" s="2"/>
      <c r="I17" s="7" t="s">
        <v>11</v>
      </c>
      <c r="J17" s="7" t="s">
        <v>4</v>
      </c>
      <c r="K17" s="8" t="s">
        <v>5</v>
      </c>
      <c r="L17" s="8" t="s">
        <v>6</v>
      </c>
      <c r="M17" s="8" t="s">
        <v>7</v>
      </c>
      <c r="N17" s="8" t="s">
        <v>8</v>
      </c>
      <c r="O17" s="8" t="s">
        <v>9</v>
      </c>
      <c r="P17" s="8" t="s">
        <v>10</v>
      </c>
      <c r="Q17" s="2"/>
      <c r="R17" s="327"/>
      <c r="S17" s="327"/>
      <c r="T17" s="327"/>
      <c r="U17" s="327"/>
      <c r="V17" s="327"/>
      <c r="W17" s="327"/>
      <c r="X17" s="327"/>
      <c r="Y17" s="327"/>
    </row>
    <row r="18" spans="1:31" ht="15.75" x14ac:dyDescent="0.25">
      <c r="A18" s="40"/>
      <c r="B18" s="16"/>
      <c r="C18" s="360"/>
      <c r="D18" s="18"/>
      <c r="E18" s="14"/>
      <c r="F18" s="14">
        <v>0</v>
      </c>
      <c r="G18" s="341">
        <f t="shared" si="6"/>
        <v>0</v>
      </c>
      <c r="H18" s="2"/>
      <c r="I18" s="15"/>
      <c r="J18" s="14"/>
      <c r="K18" s="11">
        <f t="shared" ref="K18:K20" si="7">+IF(O18=0,0,MID(O18,LEN(O18)-4,3))</f>
        <v>0</v>
      </c>
      <c r="L18" s="17"/>
      <c r="M18" s="12"/>
      <c r="N18" s="13">
        <f>+IF(O18=0,0,CONCATENATE(MID(O18,FIND("-",O18,1)+1,4),"ORAS"))</f>
        <v>0</v>
      </c>
      <c r="O18" s="296">
        <v>0</v>
      </c>
      <c r="P18" s="341">
        <f t="shared" ref="P18:P22" si="8">+IF(O18="","",VLOOKUP(O18,$H$139:$I$217,2,FALSE))</f>
        <v>0</v>
      </c>
      <c r="Q18" s="2"/>
      <c r="R18" s="418" t="s">
        <v>27</v>
      </c>
      <c r="S18" s="419"/>
      <c r="T18" s="419"/>
      <c r="U18" s="419"/>
      <c r="V18" s="419"/>
      <c r="W18" s="419"/>
      <c r="X18" s="419"/>
      <c r="Y18" s="420"/>
    </row>
    <row r="19" spans="1:31" ht="15.75" x14ac:dyDescent="0.25">
      <c r="A19" s="41"/>
      <c r="B19" s="16"/>
      <c r="C19" s="18"/>
      <c r="D19" s="18"/>
      <c r="E19" s="14"/>
      <c r="F19" s="14">
        <v>0</v>
      </c>
      <c r="G19" s="341">
        <f t="shared" si="6"/>
        <v>0</v>
      </c>
      <c r="H19" s="2"/>
      <c r="I19" s="15"/>
      <c r="J19" s="14"/>
      <c r="K19" s="11">
        <f t="shared" si="7"/>
        <v>0</v>
      </c>
      <c r="L19" s="42"/>
      <c r="M19" s="12"/>
      <c r="N19" s="13">
        <f>+IF(O19=0,0,CONCATENATE(MID(O19,FIND("-",O19,1)+1,4),"ORAS"))</f>
        <v>0</v>
      </c>
      <c r="O19" s="296">
        <v>0</v>
      </c>
      <c r="P19" s="341">
        <f t="shared" si="8"/>
        <v>0</v>
      </c>
      <c r="Q19" s="2"/>
      <c r="R19" s="303" t="s">
        <v>11</v>
      </c>
      <c r="S19" s="304" t="s">
        <v>4</v>
      </c>
      <c r="T19" s="305" t="s">
        <v>5</v>
      </c>
      <c r="U19" s="305" t="s">
        <v>6</v>
      </c>
      <c r="V19" s="305" t="s">
        <v>7</v>
      </c>
      <c r="W19" s="305" t="s">
        <v>8</v>
      </c>
      <c r="X19" s="305" t="s">
        <v>9</v>
      </c>
      <c r="Y19" s="305" t="s">
        <v>10</v>
      </c>
      <c r="AA19" s="20"/>
      <c r="AB19" s="20"/>
      <c r="AC19" s="20"/>
      <c r="AD19" s="20"/>
      <c r="AE19" s="20"/>
    </row>
    <row r="20" spans="1:31" ht="15.75" x14ac:dyDescent="0.25">
      <c r="A20" s="43"/>
      <c r="B20" s="16"/>
      <c r="C20" s="44"/>
      <c r="D20" s="44"/>
      <c r="E20" s="14"/>
      <c r="F20" s="14">
        <v>0</v>
      </c>
      <c r="G20" s="341">
        <f t="shared" si="6"/>
        <v>0</v>
      </c>
      <c r="H20" s="2"/>
      <c r="I20" s="15"/>
      <c r="J20" s="13"/>
      <c r="K20" s="11">
        <f t="shared" si="7"/>
        <v>0</v>
      </c>
      <c r="L20" s="45"/>
      <c r="M20" s="12"/>
      <c r="N20" s="13">
        <f>+IF(O20=0,0,CONCATENATE(MID(O20,FIND("-",O20,1)+1,4),"ORAS"))</f>
        <v>0</v>
      </c>
      <c r="O20" s="296">
        <v>0</v>
      </c>
      <c r="P20" s="341">
        <f t="shared" si="8"/>
        <v>0</v>
      </c>
      <c r="Q20" s="2"/>
      <c r="R20" s="331" t="s">
        <v>28</v>
      </c>
      <c r="S20" s="307" t="s">
        <v>390</v>
      </c>
      <c r="T20" s="320" t="s">
        <v>25</v>
      </c>
      <c r="U20" s="307" t="s">
        <v>25</v>
      </c>
      <c r="V20" s="332" t="s">
        <v>229</v>
      </c>
      <c r="W20" s="14" t="e">
        <f t="shared" ref="W20:W29" si="9">+IF(X20=0,0,CONCATENATE(MID(X20,FIND("-",X20,1)+1,4),"ORAS"))</f>
        <v>#VALUE!</v>
      </c>
      <c r="X20" s="296" t="s">
        <v>413</v>
      </c>
      <c r="Y20" s="362">
        <f t="shared" ref="Y20:Y29" si="10">+IF(X20="","",VLOOKUP(X20,$H$139:$I$217,2,FALSE))</f>
        <v>477011</v>
      </c>
      <c r="AA20" s="20"/>
      <c r="AB20" s="20"/>
      <c r="AC20" s="20"/>
      <c r="AD20" s="20"/>
      <c r="AE20" s="20"/>
    </row>
    <row r="21" spans="1:31" ht="15.75" x14ac:dyDescent="0.25">
      <c r="A21" s="43"/>
      <c r="B21" s="16"/>
      <c r="C21" s="44"/>
      <c r="D21" s="44"/>
      <c r="E21" s="14"/>
      <c r="F21" s="14">
        <v>0</v>
      </c>
      <c r="G21" s="341">
        <f t="shared" si="6"/>
        <v>0</v>
      </c>
      <c r="H21" s="2"/>
      <c r="I21" s="26"/>
      <c r="J21" s="13"/>
      <c r="K21" s="16"/>
      <c r="L21" s="45"/>
      <c r="M21" s="19"/>
      <c r="N21" s="13"/>
      <c r="O21" s="296">
        <v>0</v>
      </c>
      <c r="P21" s="341">
        <f t="shared" si="8"/>
        <v>0</v>
      </c>
      <c r="Q21" s="2"/>
      <c r="R21" s="333" t="s">
        <v>28</v>
      </c>
      <c r="S21" s="314" t="s">
        <v>24</v>
      </c>
      <c r="T21" s="334" t="s">
        <v>25</v>
      </c>
      <c r="U21" s="314" t="s">
        <v>25</v>
      </c>
      <c r="V21" s="332" t="s">
        <v>229</v>
      </c>
      <c r="W21" s="14" t="str">
        <f t="shared" si="9"/>
        <v>15 HORAS</v>
      </c>
      <c r="X21" s="296" t="s">
        <v>403</v>
      </c>
      <c r="Y21" s="362">
        <f t="shared" si="10"/>
        <v>1128712</v>
      </c>
      <c r="AA21" s="20"/>
      <c r="AB21" s="20"/>
      <c r="AC21" s="20"/>
      <c r="AD21" s="20"/>
      <c r="AE21" s="20"/>
    </row>
    <row r="22" spans="1:31" ht="15.75" x14ac:dyDescent="0.25">
      <c r="A22" s="46" t="s">
        <v>29</v>
      </c>
      <c r="B22" s="47">
        <f>SUM(B4:B13)+B16+B17+B18+B19+B20+B21</f>
        <v>23</v>
      </c>
      <c r="C22" s="47">
        <f>+C4+C5+C6+C7+C8+C9+C10+C16</f>
        <v>7</v>
      </c>
      <c r="D22" s="48"/>
      <c r="E22" s="49"/>
      <c r="F22" s="48"/>
      <c r="G22" s="33">
        <f>SUM(G13,G16:G21)</f>
        <v>14844881</v>
      </c>
      <c r="H22" s="2"/>
      <c r="I22" s="26"/>
      <c r="J22" s="14"/>
      <c r="K22" s="16"/>
      <c r="L22" s="42"/>
      <c r="M22" s="42"/>
      <c r="N22" s="13"/>
      <c r="O22" s="296">
        <v>0</v>
      </c>
      <c r="P22" s="341">
        <f t="shared" si="8"/>
        <v>0</v>
      </c>
      <c r="Q22" s="2"/>
      <c r="R22" s="333" t="s">
        <v>28</v>
      </c>
      <c r="S22" s="314" t="s">
        <v>24</v>
      </c>
      <c r="T22" s="334" t="s">
        <v>25</v>
      </c>
      <c r="U22" s="314" t="s">
        <v>25</v>
      </c>
      <c r="V22" s="332" t="s">
        <v>229</v>
      </c>
      <c r="W22" s="14" t="str">
        <f t="shared" si="9"/>
        <v>15 HORAS</v>
      </c>
      <c r="X22" s="296" t="s">
        <v>403</v>
      </c>
      <c r="Y22" s="362">
        <f t="shared" si="10"/>
        <v>1128712</v>
      </c>
      <c r="AA22" s="20"/>
      <c r="AB22" s="20"/>
      <c r="AC22" s="20"/>
      <c r="AD22" s="20"/>
      <c r="AE22" s="20"/>
    </row>
    <row r="23" spans="1:31" ht="15.75" x14ac:dyDescent="0.25">
      <c r="A23" s="430" t="s">
        <v>30</v>
      </c>
      <c r="B23" s="430"/>
      <c r="C23" s="430"/>
      <c r="D23" s="430"/>
      <c r="E23" s="430"/>
      <c r="F23" s="430"/>
      <c r="G23" s="430"/>
      <c r="H23" s="2"/>
      <c r="I23" s="51"/>
      <c r="J23" s="14"/>
      <c r="K23" s="16"/>
      <c r="L23" s="42"/>
      <c r="M23" s="19"/>
      <c r="N23" s="13"/>
      <c r="O23" s="296"/>
      <c r="P23" s="52"/>
      <c r="Q23" s="2"/>
      <c r="R23" s="329" t="s">
        <v>227</v>
      </c>
      <c r="S23" s="314" t="s">
        <v>391</v>
      </c>
      <c r="T23" s="334" t="s">
        <v>25</v>
      </c>
      <c r="U23" s="314" t="s">
        <v>25</v>
      </c>
      <c r="V23" s="335" t="s">
        <v>229</v>
      </c>
      <c r="W23" s="14" t="e">
        <f t="shared" si="9"/>
        <v>#VALUE!</v>
      </c>
      <c r="X23" s="296" t="s">
        <v>413</v>
      </c>
      <c r="Y23" s="362">
        <f t="shared" si="10"/>
        <v>477011</v>
      </c>
      <c r="AA23" s="20"/>
      <c r="AB23" s="20"/>
      <c r="AC23" s="20"/>
      <c r="AD23" s="20"/>
      <c r="AE23" s="20"/>
    </row>
    <row r="24" spans="1:31" ht="21.95" customHeight="1" x14ac:dyDescent="0.25">
      <c r="A24" s="430" t="s">
        <v>1</v>
      </c>
      <c r="B24" s="430"/>
      <c r="C24" s="430"/>
      <c r="D24" s="430"/>
      <c r="E24" s="430"/>
      <c r="F24" s="430"/>
      <c r="G24" s="430"/>
      <c r="H24" s="2"/>
      <c r="I24" s="26"/>
      <c r="J24" s="53"/>
      <c r="K24" s="16"/>
      <c r="L24" s="27"/>
      <c r="M24" s="27"/>
      <c r="N24" s="14"/>
      <c r="O24" s="296"/>
      <c r="P24" s="54"/>
      <c r="Q24" s="2"/>
      <c r="R24" s="329" t="s">
        <v>227</v>
      </c>
      <c r="S24" s="339" t="s">
        <v>386</v>
      </c>
      <c r="T24" s="336" t="s">
        <v>25</v>
      </c>
      <c r="U24" s="314">
        <v>1</v>
      </c>
      <c r="V24" s="337" t="s">
        <v>387</v>
      </c>
      <c r="W24" s="14" t="str">
        <f t="shared" si="9"/>
        <v>15 HORAS</v>
      </c>
      <c r="X24" s="296" t="s">
        <v>395</v>
      </c>
      <c r="Y24" s="362">
        <f t="shared" si="10"/>
        <v>832623</v>
      </c>
      <c r="AA24" s="20"/>
      <c r="AB24" s="20"/>
      <c r="AC24" s="20"/>
      <c r="AD24" s="20"/>
      <c r="AE24" s="20"/>
    </row>
    <row r="25" spans="1:31" ht="15.75" x14ac:dyDescent="0.25">
      <c r="A25" s="50" t="s">
        <v>4</v>
      </c>
      <c r="B25" s="55" t="s">
        <v>5</v>
      </c>
      <c r="C25" s="55" t="s">
        <v>6</v>
      </c>
      <c r="D25" s="55" t="s">
        <v>7</v>
      </c>
      <c r="E25" s="55" t="s">
        <v>8</v>
      </c>
      <c r="F25" s="55" t="s">
        <v>9</v>
      </c>
      <c r="G25" s="55" t="s">
        <v>10</v>
      </c>
      <c r="H25" s="2"/>
      <c r="I25" s="2"/>
      <c r="J25" s="56" t="s">
        <v>32</v>
      </c>
      <c r="K25" s="340">
        <f>K4+K5+K6+K7+K8+K9+K18+K19+K20</f>
        <v>4</v>
      </c>
      <c r="L25" s="57">
        <f>SUM(L4:L24)</f>
        <v>2</v>
      </c>
      <c r="M25" s="56"/>
      <c r="N25" s="56"/>
      <c r="O25" s="297"/>
      <c r="P25" s="58">
        <f>SUM(P4:P24)</f>
        <v>1501775</v>
      </c>
      <c r="Q25" s="2"/>
      <c r="R25" s="338" t="s">
        <v>31</v>
      </c>
      <c r="S25" s="339" t="s">
        <v>24</v>
      </c>
      <c r="T25" s="336" t="s">
        <v>25</v>
      </c>
      <c r="U25" s="314" t="s">
        <v>25</v>
      </c>
      <c r="V25" s="337" t="s">
        <v>387</v>
      </c>
      <c r="W25" s="14" t="str">
        <f t="shared" si="9"/>
        <v>15 HORAS</v>
      </c>
      <c r="X25" s="296" t="s">
        <v>403</v>
      </c>
      <c r="Y25" s="362">
        <f t="shared" si="10"/>
        <v>1128712</v>
      </c>
      <c r="AA25" s="62"/>
      <c r="AB25" s="62"/>
      <c r="AC25" s="62"/>
      <c r="AD25" s="62"/>
      <c r="AE25" s="63"/>
    </row>
    <row r="26" spans="1:31" ht="15.75" x14ac:dyDescent="0.25">
      <c r="A26" s="64" t="s">
        <v>33</v>
      </c>
      <c r="B26" s="11" t="str">
        <f t="shared" ref="B26:B28" si="11">+IF(F26=0,0,MID(F26,LEN(F26)-4,3))</f>
        <v xml:space="preserve">04 </v>
      </c>
      <c r="C26" s="12">
        <v>1</v>
      </c>
      <c r="D26" s="12" t="s">
        <v>229</v>
      </c>
      <c r="E26" s="13" t="str">
        <f>+IF(F26=0,0,CONCATENATE(MID(F26,FIND("-",F26,1)+1,4),"ORAS"))</f>
        <v>15 HORAS</v>
      </c>
      <c r="F26" s="14" t="s">
        <v>351</v>
      </c>
      <c r="G26" s="362">
        <f t="shared" ref="G26:G31" si="12">+IF(F26="","",VLOOKUP(F26,$H$139:$I$217,2,FALSE))</f>
        <v>1955007</v>
      </c>
      <c r="H26" s="2"/>
      <c r="I26" s="2"/>
      <c r="J26" s="2"/>
      <c r="K26" s="2"/>
      <c r="L26" s="2"/>
      <c r="M26" s="2"/>
      <c r="N26" s="2"/>
      <c r="O26" s="295"/>
      <c r="P26" s="2"/>
      <c r="Q26" s="2"/>
      <c r="R26" s="338" t="s">
        <v>31</v>
      </c>
      <c r="S26" s="307" t="s">
        <v>392</v>
      </c>
      <c r="T26" s="334" t="s">
        <v>25</v>
      </c>
      <c r="U26" s="314" t="s">
        <v>25</v>
      </c>
      <c r="V26" s="337" t="s">
        <v>388</v>
      </c>
      <c r="W26" s="14" t="e">
        <f t="shared" si="9"/>
        <v>#VALUE!</v>
      </c>
      <c r="X26" s="296" t="s">
        <v>413</v>
      </c>
      <c r="Y26" s="362">
        <f t="shared" si="10"/>
        <v>477011</v>
      </c>
      <c r="AA26" s="20"/>
      <c r="AB26" s="20"/>
      <c r="AC26" s="20"/>
      <c r="AD26" s="20"/>
      <c r="AE26" s="20"/>
    </row>
    <row r="27" spans="1:31" ht="20.100000000000001" customHeight="1" x14ac:dyDescent="0.25">
      <c r="A27" s="64" t="s">
        <v>34</v>
      </c>
      <c r="B27" s="11" t="str">
        <f t="shared" si="11"/>
        <v xml:space="preserve">04 </v>
      </c>
      <c r="C27" s="65">
        <v>1</v>
      </c>
      <c r="D27" s="12" t="s">
        <v>229</v>
      </c>
      <c r="E27" s="13" t="str">
        <f>+IF(F27=0,0,CONCATENATE(MID(F27,FIND("-",F27,1)+1,4),"ORAS"))</f>
        <v>15 HORAS</v>
      </c>
      <c r="F27" s="14" t="s">
        <v>351</v>
      </c>
      <c r="G27" s="362">
        <f t="shared" si="12"/>
        <v>1955007</v>
      </c>
      <c r="H27" s="2"/>
      <c r="I27" s="2"/>
      <c r="J27" s="2"/>
      <c r="K27" s="2"/>
      <c r="L27" s="2"/>
      <c r="M27" s="2"/>
      <c r="N27" s="2"/>
      <c r="O27" s="295"/>
      <c r="P27" s="2"/>
      <c r="Q27" s="2"/>
      <c r="R27" s="338"/>
      <c r="S27" s="307"/>
      <c r="T27" s="334"/>
      <c r="U27" s="314"/>
      <c r="V27" s="337"/>
      <c r="W27" s="14">
        <f t="shared" si="9"/>
        <v>0</v>
      </c>
      <c r="X27" s="296">
        <v>0</v>
      </c>
      <c r="Y27" s="341">
        <f t="shared" si="10"/>
        <v>0</v>
      </c>
    </row>
    <row r="28" spans="1:31" ht="15.75" customHeight="1" x14ac:dyDescent="0.25">
      <c r="A28" s="64" t="s">
        <v>35</v>
      </c>
      <c r="B28" s="11" t="str">
        <f t="shared" si="11"/>
        <v xml:space="preserve">04 </v>
      </c>
      <c r="C28" s="65">
        <v>1</v>
      </c>
      <c r="D28" s="12" t="s">
        <v>229</v>
      </c>
      <c r="E28" s="13" t="str">
        <f>+IF(F28=0,0,CONCATENATE(MID(F28,FIND("-",F28,1)+1,4),"ORAS"))</f>
        <v>15 HORAS</v>
      </c>
      <c r="F28" s="14" t="s">
        <v>351</v>
      </c>
      <c r="G28" s="362">
        <f t="shared" si="12"/>
        <v>1955007</v>
      </c>
      <c r="H28" s="2"/>
      <c r="I28" s="2"/>
      <c r="J28" s="2"/>
      <c r="K28" s="2"/>
      <c r="L28" s="2"/>
      <c r="M28" s="2"/>
      <c r="N28" s="2"/>
      <c r="O28" s="295"/>
      <c r="P28" s="2"/>
      <c r="Q28" s="2"/>
      <c r="R28" s="338"/>
      <c r="S28" s="314"/>
      <c r="T28" s="334"/>
      <c r="U28" s="314"/>
      <c r="V28" s="337"/>
      <c r="W28" s="14">
        <f t="shared" si="9"/>
        <v>0</v>
      </c>
      <c r="X28" s="296">
        <v>0</v>
      </c>
      <c r="Y28" s="341">
        <f t="shared" si="10"/>
        <v>0</v>
      </c>
    </row>
    <row r="29" spans="1:31" ht="15.75" x14ac:dyDescent="0.25">
      <c r="A29" s="66" t="s">
        <v>36</v>
      </c>
      <c r="B29" s="11" t="str">
        <f>+IF(F29=0,0,MID(F29,LEN(F29)-4,3))</f>
        <v xml:space="preserve">03 </v>
      </c>
      <c r="C29" s="12">
        <v>1</v>
      </c>
      <c r="D29" s="12" t="s">
        <v>229</v>
      </c>
      <c r="E29" s="13" t="str">
        <f>+IF(F29=0,0,CONCATENATE(MID(F29,FIND("-",F29,1)+1,4),"ORAS"))</f>
        <v>15 HORAS</v>
      </c>
      <c r="F29" s="14" t="s">
        <v>352</v>
      </c>
      <c r="G29" s="362">
        <f t="shared" si="12"/>
        <v>1795972</v>
      </c>
      <c r="H29" s="2"/>
      <c r="I29" s="2"/>
      <c r="J29" s="2"/>
      <c r="K29" s="2"/>
      <c r="L29" s="2"/>
      <c r="M29" s="2"/>
      <c r="N29" s="2"/>
      <c r="O29" s="295"/>
      <c r="P29" s="2"/>
      <c r="Q29" s="2"/>
      <c r="R29" s="338"/>
      <c r="S29" s="314"/>
      <c r="T29" s="334"/>
      <c r="U29" s="314"/>
      <c r="V29" s="337"/>
      <c r="W29" s="13">
        <f t="shared" si="9"/>
        <v>0</v>
      </c>
      <c r="X29" s="345">
        <v>0</v>
      </c>
      <c r="Y29" s="341">
        <f t="shared" si="10"/>
        <v>0</v>
      </c>
    </row>
    <row r="30" spans="1:31" ht="15.75" x14ac:dyDescent="0.25">
      <c r="A30" s="66"/>
      <c r="B30" s="39"/>
      <c r="C30" s="65"/>
      <c r="D30" s="19"/>
      <c r="E30" s="13"/>
      <c r="F30" s="14">
        <v>0</v>
      </c>
      <c r="G30" s="341">
        <f t="shared" si="12"/>
        <v>0</v>
      </c>
      <c r="H30" s="2"/>
      <c r="I30" s="2"/>
      <c r="J30" s="2"/>
      <c r="K30" s="2"/>
      <c r="L30" s="2"/>
      <c r="M30" s="2"/>
      <c r="N30" s="2"/>
      <c r="O30" s="295"/>
      <c r="P30" s="2"/>
      <c r="Q30" s="2"/>
      <c r="R30" s="338"/>
      <c r="S30" s="314"/>
      <c r="T30" s="334"/>
      <c r="U30" s="314"/>
      <c r="V30" s="337"/>
      <c r="W30" s="14">
        <f>+IF(X30=0,0,CONCATENATE(MID(X30,FIND("-",X30,1)+1,4),"ORAS"))</f>
        <v>0</v>
      </c>
      <c r="X30" s="296">
        <v>0</v>
      </c>
      <c r="Y30" s="35">
        <f>+IF(X30="","",VLOOKUP(X30,$H$139:$I$217,2,FALSE))</f>
        <v>0</v>
      </c>
    </row>
    <row r="31" spans="1:31" ht="15.75" x14ac:dyDescent="0.2">
      <c r="A31" s="66"/>
      <c r="B31" s="65"/>
      <c r="C31" s="65"/>
      <c r="D31" s="19"/>
      <c r="E31" s="13"/>
      <c r="F31" s="44"/>
      <c r="G31" s="341" t="str">
        <f t="shared" si="12"/>
        <v/>
      </c>
      <c r="H31" s="2"/>
      <c r="I31" s="2"/>
      <c r="J31" s="2"/>
      <c r="K31" s="2"/>
      <c r="L31" s="2"/>
      <c r="M31" s="2"/>
      <c r="N31" s="2"/>
      <c r="O31" s="295"/>
      <c r="P31" s="2"/>
      <c r="Q31" s="2"/>
      <c r="R31" s="2"/>
      <c r="S31" s="2"/>
      <c r="T31" s="2"/>
      <c r="U31" s="2"/>
      <c r="V31" s="2"/>
      <c r="W31" s="2"/>
      <c r="X31" s="2"/>
      <c r="Y31" s="2"/>
    </row>
    <row r="32" spans="1:31" ht="15.75" x14ac:dyDescent="0.2">
      <c r="A32" s="421" t="s">
        <v>23</v>
      </c>
      <c r="B32" s="421"/>
      <c r="C32" s="421"/>
      <c r="D32" s="421"/>
      <c r="E32" s="421"/>
      <c r="F32" s="421"/>
      <c r="G32" s="421"/>
      <c r="H32" s="2"/>
      <c r="I32" s="2"/>
      <c r="J32" s="2"/>
      <c r="K32" s="2"/>
      <c r="L32" s="2"/>
      <c r="M32" s="2"/>
      <c r="N32" s="2"/>
      <c r="O32" s="295"/>
      <c r="P32" s="2"/>
      <c r="Q32" s="2"/>
      <c r="R32" s="2"/>
      <c r="S32" s="2"/>
      <c r="T32" s="2"/>
      <c r="U32" s="2"/>
      <c r="V32" s="2"/>
      <c r="W32" s="2"/>
      <c r="X32" s="2"/>
      <c r="Y32" s="2"/>
    </row>
    <row r="33" spans="1:25" ht="15.75" x14ac:dyDescent="0.2">
      <c r="A33" s="50"/>
      <c r="B33" s="55" t="s">
        <v>5</v>
      </c>
      <c r="C33" s="55" t="s">
        <v>6</v>
      </c>
      <c r="D33" s="55" t="s">
        <v>7</v>
      </c>
      <c r="E33" s="55"/>
      <c r="F33" s="55" t="s">
        <v>9</v>
      </c>
      <c r="G33" s="55" t="s">
        <v>10</v>
      </c>
      <c r="H33" s="2"/>
      <c r="I33" s="2"/>
      <c r="J33" s="2"/>
      <c r="K33" s="2"/>
      <c r="L33" s="2"/>
      <c r="M33" s="2"/>
      <c r="N33" s="2"/>
      <c r="O33" s="295"/>
      <c r="P33" s="2"/>
      <c r="Q33" s="2"/>
      <c r="R33" s="2"/>
      <c r="S33" s="59" t="s">
        <v>32</v>
      </c>
      <c r="T33" s="60">
        <f>+T15+T16+T4+T5+T6+T7</f>
        <v>23</v>
      </c>
      <c r="U33" s="60">
        <f>SUM(U4:U7,U24)</f>
        <v>4</v>
      </c>
      <c r="V33" s="59"/>
      <c r="W33" s="59"/>
      <c r="X33" s="59"/>
      <c r="Y33" s="61">
        <f>SUM(Y4:Y30)</f>
        <v>13842103</v>
      </c>
    </row>
    <row r="34" spans="1:25" ht="15.75" x14ac:dyDescent="0.25">
      <c r="A34" s="10" t="s">
        <v>37</v>
      </c>
      <c r="B34" s="11" t="str">
        <f t="shared" ref="B34:B37" si="13">+IF(F34=0,0,MID(F34,LEN(F34)-4,3))</f>
        <v xml:space="preserve">03 </v>
      </c>
      <c r="C34" s="361">
        <v>1</v>
      </c>
      <c r="D34" s="12" t="s">
        <v>229</v>
      </c>
      <c r="E34" s="13" t="str">
        <f>+IF(F34=0,0,CONCATENATE(MID(F34,FIND("-",F34,1)+1,4),"ORAS"))</f>
        <v>15 HORAS</v>
      </c>
      <c r="F34" s="14" t="s">
        <v>367</v>
      </c>
      <c r="G34" s="362">
        <f t="shared" ref="G34:G39" si="14">+IF(F34="","",VLOOKUP(F34,$H$139:$I$217,2,FALSE))</f>
        <v>1505234</v>
      </c>
      <c r="H34" s="2"/>
      <c r="I34" s="2"/>
      <c r="J34" s="2"/>
      <c r="K34" s="2"/>
      <c r="L34" s="2"/>
      <c r="M34" s="2"/>
      <c r="N34" s="2"/>
      <c r="O34" s="295"/>
      <c r="P34" s="2"/>
      <c r="Q34" s="2"/>
      <c r="R34" s="2"/>
      <c r="S34" s="2"/>
      <c r="T34" s="2"/>
      <c r="U34" s="2"/>
      <c r="V34" s="2"/>
      <c r="W34" s="2"/>
      <c r="X34" s="2"/>
      <c r="Y34" s="67"/>
    </row>
    <row r="35" spans="1:25" ht="15.75" x14ac:dyDescent="0.25">
      <c r="A35" s="64" t="s">
        <v>38</v>
      </c>
      <c r="B35" s="11" t="str">
        <f t="shared" si="13"/>
        <v xml:space="preserve">03 </v>
      </c>
      <c r="C35" s="361">
        <v>1</v>
      </c>
      <c r="D35" s="12" t="s">
        <v>229</v>
      </c>
      <c r="E35" s="13" t="str">
        <f>+IF(F35=0,0,CONCATENATE(MID(F35,FIND("-",F35,1)+1,4),"ORAS"))</f>
        <v>15 HORAS</v>
      </c>
      <c r="F35" s="14" t="s">
        <v>367</v>
      </c>
      <c r="G35" s="362">
        <f t="shared" si="14"/>
        <v>1505234</v>
      </c>
      <c r="H35" s="2"/>
      <c r="I35" s="2"/>
      <c r="J35" s="2"/>
      <c r="K35" s="2"/>
      <c r="L35" s="2"/>
      <c r="M35" s="2"/>
      <c r="N35" s="2"/>
      <c r="O35" s="295"/>
      <c r="P35" s="2"/>
      <c r="Q35" s="2"/>
      <c r="R35" s="2"/>
      <c r="S35" s="2"/>
      <c r="T35" s="2"/>
      <c r="U35" s="2"/>
      <c r="V35" s="2"/>
      <c r="W35" s="2"/>
      <c r="X35" s="2"/>
      <c r="Y35" s="2"/>
    </row>
    <row r="36" spans="1:25" ht="15.75" x14ac:dyDescent="0.25">
      <c r="A36" s="64" t="s">
        <v>39</v>
      </c>
      <c r="B36" s="11" t="str">
        <f t="shared" si="13"/>
        <v xml:space="preserve">03 </v>
      </c>
      <c r="C36" s="361">
        <v>1</v>
      </c>
      <c r="D36" s="12" t="s">
        <v>229</v>
      </c>
      <c r="E36" s="13" t="str">
        <f>+IF(F36=0,0,CONCATENATE(MID(F36,FIND("-",F36,1)+1,4),"ORAS"))</f>
        <v>15 HORAS</v>
      </c>
      <c r="F36" s="14" t="s">
        <v>367</v>
      </c>
      <c r="G36" s="362">
        <f t="shared" si="14"/>
        <v>1505234</v>
      </c>
      <c r="H36" s="2"/>
      <c r="I36" s="2"/>
      <c r="J36" s="2"/>
      <c r="K36" s="2"/>
      <c r="L36" s="2"/>
      <c r="M36" s="2"/>
      <c r="N36" s="2"/>
      <c r="O36" s="295"/>
      <c r="P36" s="2"/>
      <c r="Q36" s="2"/>
      <c r="R36" s="2"/>
      <c r="S36" s="2"/>
      <c r="T36" s="2"/>
      <c r="U36" s="2"/>
      <c r="V36" s="2"/>
      <c r="W36" s="2"/>
      <c r="X36" s="2"/>
      <c r="Y36" s="2"/>
    </row>
    <row r="37" spans="1:25" ht="15.75" x14ac:dyDescent="0.25">
      <c r="A37" s="26" t="s">
        <v>383</v>
      </c>
      <c r="B37" s="11" t="str">
        <f t="shared" si="13"/>
        <v xml:space="preserve">03 </v>
      </c>
      <c r="C37" s="361">
        <v>1</v>
      </c>
      <c r="D37" s="12" t="s">
        <v>229</v>
      </c>
      <c r="E37" s="13" t="str">
        <f>+IF(F37=0,0,CONCATENATE(MID(F37,FIND("-",F37,1)+1,4),"ORAS"))</f>
        <v>15 HORAS</v>
      </c>
      <c r="F37" s="14" t="s">
        <v>367</v>
      </c>
      <c r="G37" s="362">
        <f t="shared" si="14"/>
        <v>1505234</v>
      </c>
      <c r="H37" s="2"/>
      <c r="I37" s="2"/>
      <c r="J37" s="2"/>
      <c r="K37" s="2"/>
      <c r="L37" s="2"/>
      <c r="M37" s="2"/>
      <c r="N37" s="2"/>
      <c r="O37" s="295"/>
      <c r="P37" s="2"/>
      <c r="Q37" s="2"/>
      <c r="R37" s="2"/>
      <c r="S37" s="2"/>
      <c r="T37" s="2"/>
      <c r="U37" s="2"/>
      <c r="V37" s="2"/>
      <c r="W37" s="2"/>
      <c r="X37" s="2"/>
      <c r="Y37" s="2"/>
    </row>
    <row r="38" spans="1:25" ht="15.75" x14ac:dyDescent="0.25">
      <c r="A38" s="68"/>
      <c r="B38" s="11">
        <f>+IF(F38=0,0,MID(F38,LEN(F38)-4,3))</f>
        <v>0</v>
      </c>
      <c r="C38" s="361"/>
      <c r="D38" s="12" t="s">
        <v>229</v>
      </c>
      <c r="E38" s="13">
        <f>+IF(F38=0,0,CONCATENATE(MID(F38,FIND("-",F38,1)+1,4),"ORAS"))</f>
        <v>0</v>
      </c>
      <c r="F38" s="14">
        <v>0</v>
      </c>
      <c r="G38" s="341">
        <f t="shared" si="14"/>
        <v>0</v>
      </c>
      <c r="H38" s="2"/>
      <c r="I38" s="2"/>
      <c r="J38" s="2"/>
      <c r="K38" s="2"/>
      <c r="L38" s="2"/>
      <c r="M38" s="2"/>
      <c r="N38" s="2"/>
      <c r="O38" s="295"/>
      <c r="P38" s="2"/>
      <c r="Q38" s="2"/>
      <c r="R38" s="2"/>
      <c r="S38" s="2"/>
      <c r="T38" s="2"/>
      <c r="U38" s="2"/>
      <c r="V38" s="2"/>
      <c r="W38" s="2"/>
      <c r="X38" s="2"/>
      <c r="Y38" s="2"/>
    </row>
    <row r="39" spans="1:25" ht="15.75" x14ac:dyDescent="0.2">
      <c r="A39" s="69"/>
      <c r="B39" s="16"/>
      <c r="C39" s="70"/>
      <c r="D39" s="32"/>
      <c r="E39" s="13"/>
      <c r="F39" s="14">
        <v>0</v>
      </c>
      <c r="G39" s="341">
        <f t="shared" si="14"/>
        <v>0</v>
      </c>
      <c r="H39" s="2"/>
      <c r="I39" s="2"/>
      <c r="J39" s="2"/>
      <c r="K39" s="2"/>
      <c r="L39" s="2"/>
      <c r="M39" s="2"/>
      <c r="N39" s="2"/>
      <c r="O39" s="295"/>
      <c r="P39" s="2"/>
      <c r="Q39" s="2"/>
      <c r="R39" s="2"/>
      <c r="S39" s="2"/>
      <c r="T39" s="2"/>
      <c r="U39" s="2"/>
      <c r="V39" s="2"/>
      <c r="W39" s="2"/>
      <c r="X39" s="2"/>
      <c r="Y39" s="2"/>
    </row>
    <row r="40" spans="1:25" ht="15.75" x14ac:dyDescent="0.2">
      <c r="A40" s="46" t="s">
        <v>29</v>
      </c>
      <c r="B40" s="47">
        <f>+B26+B27+B28+B34+B35+B36+B37+B38</f>
        <v>24</v>
      </c>
      <c r="C40" s="48">
        <f>SUM(C26:C32)+C34+C35+C36+C37+C38+C39</f>
        <v>8</v>
      </c>
      <c r="D40" s="48"/>
      <c r="E40" s="13">
        <f>+IF(F40=0,0,CONCATENATE(MID(F40,FIND("-",F40,1)+1,3),"ORAS"))</f>
        <v>0</v>
      </c>
      <c r="F40" s="48"/>
      <c r="G40" s="33">
        <f>SUM(G26:G31,G34:G39)</f>
        <v>13681929</v>
      </c>
      <c r="H40" s="2"/>
      <c r="I40" s="2"/>
      <c r="J40" s="2"/>
      <c r="K40" s="2"/>
      <c r="L40" s="2"/>
      <c r="M40" s="2"/>
      <c r="N40" s="2"/>
      <c r="O40" s="295"/>
      <c r="P40" s="2"/>
      <c r="Q40" s="2"/>
      <c r="R40" s="2"/>
      <c r="S40" s="2"/>
      <c r="T40" s="2"/>
      <c r="U40" s="2"/>
      <c r="V40" s="2"/>
      <c r="W40" s="2"/>
      <c r="X40" s="2"/>
      <c r="Y40" s="2"/>
    </row>
    <row r="41" spans="1:25" ht="15.75" x14ac:dyDescent="0.2">
      <c r="A41" s="436" t="s">
        <v>40</v>
      </c>
      <c r="B41" s="436"/>
      <c r="C41" s="436"/>
      <c r="D41" s="436"/>
      <c r="E41" s="436"/>
      <c r="F41" s="436"/>
      <c r="G41" s="436"/>
      <c r="H41" s="2"/>
      <c r="I41" s="2"/>
      <c r="J41" s="2"/>
      <c r="K41" s="2"/>
      <c r="L41" s="2"/>
      <c r="M41" s="2"/>
      <c r="N41" s="2"/>
      <c r="O41" s="295"/>
      <c r="P41" s="2"/>
      <c r="Q41" s="2"/>
      <c r="R41" s="2"/>
      <c r="S41" s="2"/>
      <c r="T41" s="2"/>
      <c r="U41" s="2"/>
      <c r="V41" s="2"/>
      <c r="W41" s="2"/>
      <c r="X41" s="2"/>
      <c r="Y41" s="2"/>
    </row>
    <row r="42" spans="1:25" ht="15.75" x14ac:dyDescent="0.2">
      <c r="A42" s="436" t="s">
        <v>1</v>
      </c>
      <c r="B42" s="436"/>
      <c r="C42" s="436"/>
      <c r="D42" s="436"/>
      <c r="E42" s="436"/>
      <c r="F42" s="436"/>
      <c r="G42" s="436"/>
      <c r="H42" s="2"/>
      <c r="I42" s="2"/>
      <c r="J42" s="2"/>
      <c r="K42" s="2"/>
      <c r="L42" s="2"/>
      <c r="M42" s="2"/>
      <c r="N42" s="2"/>
      <c r="O42" s="295"/>
      <c r="P42" s="2"/>
      <c r="Q42" s="2"/>
      <c r="R42" s="2"/>
      <c r="S42" s="2"/>
      <c r="T42" s="2"/>
      <c r="U42" s="2"/>
      <c r="V42" s="2"/>
      <c r="W42" s="2"/>
      <c r="X42" s="2"/>
      <c r="Y42" s="2"/>
    </row>
    <row r="43" spans="1:25" ht="15.75" x14ac:dyDescent="0.2">
      <c r="A43" s="71" t="s">
        <v>4</v>
      </c>
      <c r="B43" s="72" t="s">
        <v>5</v>
      </c>
      <c r="C43" s="72" t="s">
        <v>6</v>
      </c>
      <c r="D43" s="72" t="s">
        <v>7</v>
      </c>
      <c r="E43" s="72" t="s">
        <v>8</v>
      </c>
      <c r="F43" s="72" t="s">
        <v>9</v>
      </c>
      <c r="G43" s="72" t="s">
        <v>10</v>
      </c>
      <c r="H43" s="2"/>
      <c r="I43" s="2"/>
      <c r="J43" s="2"/>
      <c r="K43" s="2"/>
      <c r="L43" s="2"/>
      <c r="M43" s="2"/>
      <c r="N43" s="2"/>
      <c r="O43" s="295"/>
      <c r="P43" s="2"/>
      <c r="Q43" s="2"/>
      <c r="R43" s="2"/>
      <c r="S43" s="2"/>
      <c r="T43" s="2"/>
      <c r="U43" s="2"/>
      <c r="V43" s="2"/>
      <c r="W43" s="2"/>
      <c r="X43" s="2"/>
      <c r="Y43" s="2"/>
    </row>
    <row r="44" spans="1:25" ht="15.75" x14ac:dyDescent="0.2">
      <c r="A44" s="73"/>
      <c r="B44" s="74"/>
      <c r="C44" s="74"/>
      <c r="D44" s="75"/>
      <c r="E44" s="75"/>
      <c r="F44" s="75"/>
      <c r="G44" s="76"/>
      <c r="H44" s="2"/>
      <c r="I44" s="2"/>
      <c r="J44" s="2"/>
      <c r="K44" s="2"/>
      <c r="L44" s="2"/>
      <c r="M44" s="2"/>
      <c r="N44" s="2"/>
      <c r="O44" s="295"/>
      <c r="P44" s="2"/>
      <c r="Q44" s="2"/>
      <c r="R44" s="2"/>
      <c r="S44" s="2"/>
      <c r="T44" s="2"/>
      <c r="U44" s="2"/>
      <c r="V44" s="2"/>
      <c r="W44" s="2"/>
      <c r="X44" s="2"/>
      <c r="Y44" s="2"/>
    </row>
    <row r="45" spans="1:25" ht="1.5" customHeight="1" x14ac:dyDescent="0.2">
      <c r="A45" s="73"/>
      <c r="B45" s="74"/>
      <c r="C45" s="74"/>
      <c r="D45" s="74"/>
      <c r="E45" s="74"/>
      <c r="F45" s="74"/>
      <c r="G45" s="74"/>
      <c r="H45" s="2"/>
      <c r="I45" s="2"/>
      <c r="J45" s="2"/>
      <c r="K45" s="2"/>
      <c r="L45" s="2"/>
      <c r="M45" s="2"/>
      <c r="N45" s="2"/>
      <c r="O45" s="295"/>
      <c r="P45" s="2"/>
      <c r="Q45" s="2"/>
      <c r="R45" s="2"/>
      <c r="S45" s="2"/>
      <c r="T45" s="2"/>
      <c r="U45" s="2"/>
      <c r="V45" s="2"/>
      <c r="W45" s="2"/>
      <c r="X45" s="2"/>
      <c r="Y45" s="2"/>
    </row>
    <row r="46" spans="1:25" ht="15.75" x14ac:dyDescent="0.25">
      <c r="A46" s="41" t="s">
        <v>476</v>
      </c>
      <c r="B46" s="11" t="str">
        <f t="shared" ref="B46:B51" si="15">+IF(F46=0,0,MID(F46,LEN(F46)-4,3))</f>
        <v xml:space="preserve">04 </v>
      </c>
      <c r="C46" s="361">
        <v>1</v>
      </c>
      <c r="D46" s="12" t="s">
        <v>229</v>
      </c>
      <c r="E46" s="13" t="str">
        <f>+IF(F46=0,0,CONCATENATE(MID(F46,FIND("-",F46,1)+1,4),"ORAS"))</f>
        <v>15 HORAS</v>
      </c>
      <c r="F46" s="14" t="s">
        <v>351</v>
      </c>
      <c r="G46" s="362">
        <f t="shared" ref="G46:G51" si="16">+IF(F46="","",VLOOKUP(F46,$H$139:$I$217,2,FALSE))</f>
        <v>1955007</v>
      </c>
      <c r="H46" s="2"/>
      <c r="I46" s="2"/>
      <c r="J46" s="437"/>
      <c r="K46" s="437"/>
      <c r="L46" s="437"/>
      <c r="M46" s="437"/>
      <c r="N46" s="437"/>
      <c r="O46" s="437"/>
      <c r="P46" s="437"/>
      <c r="Q46" s="2"/>
      <c r="R46" s="2"/>
      <c r="S46" s="2"/>
      <c r="T46" s="2"/>
      <c r="U46" s="2"/>
      <c r="V46" s="2"/>
      <c r="W46" s="2"/>
      <c r="X46" s="2"/>
      <c r="Y46" s="2"/>
    </row>
    <row r="47" spans="1:25" ht="15.75" x14ac:dyDescent="0.2">
      <c r="A47" s="77" t="s">
        <v>477</v>
      </c>
      <c r="B47" s="11" t="str">
        <f t="shared" si="15"/>
        <v xml:space="preserve">04 </v>
      </c>
      <c r="C47" s="44">
        <v>1</v>
      </c>
      <c r="D47" s="12" t="s">
        <v>229</v>
      </c>
      <c r="E47" s="13" t="str">
        <f>+IF(F47=0,0,CONCATENATE(MID(F47,FIND("-",F47,1)+1,4),"ORAS"))</f>
        <v>15 HORAS</v>
      </c>
      <c r="F47" s="14" t="s">
        <v>351</v>
      </c>
      <c r="G47" s="362">
        <f t="shared" si="16"/>
        <v>1955007</v>
      </c>
      <c r="H47" s="2"/>
      <c r="I47" s="2"/>
      <c r="J47" s="437"/>
      <c r="K47" s="437"/>
      <c r="L47" s="437"/>
      <c r="M47" s="437"/>
      <c r="N47" s="437"/>
      <c r="O47" s="437"/>
      <c r="P47" s="437"/>
      <c r="Q47" s="2"/>
      <c r="R47" s="2"/>
      <c r="S47" s="2"/>
      <c r="T47" s="2"/>
      <c r="U47" s="2"/>
      <c r="V47" s="2"/>
      <c r="W47" s="2"/>
      <c r="X47" s="2"/>
      <c r="Y47" s="2"/>
    </row>
    <row r="48" spans="1:25" ht="15.75" x14ac:dyDescent="0.2">
      <c r="A48" s="77"/>
      <c r="B48" s="11">
        <f t="shared" si="15"/>
        <v>0</v>
      </c>
      <c r="C48" s="44"/>
      <c r="D48" s="44"/>
      <c r="E48" s="13"/>
      <c r="F48" s="14">
        <v>0</v>
      </c>
      <c r="G48" s="341">
        <f t="shared" si="16"/>
        <v>0</v>
      </c>
      <c r="H48" s="2"/>
      <c r="I48" s="2"/>
      <c r="J48" s="437"/>
      <c r="K48" s="437"/>
      <c r="L48" s="437"/>
      <c r="M48" s="437"/>
      <c r="N48" s="437"/>
      <c r="O48" s="437"/>
      <c r="P48" s="437"/>
      <c r="Q48" s="2"/>
      <c r="R48" s="2"/>
      <c r="S48" s="2"/>
      <c r="T48" s="2"/>
      <c r="U48" s="2"/>
      <c r="V48" s="2"/>
      <c r="W48" s="2"/>
      <c r="X48" s="2"/>
      <c r="Y48" s="2"/>
    </row>
    <row r="49" spans="1:25" ht="15.75" x14ac:dyDescent="0.2">
      <c r="A49" s="77"/>
      <c r="B49" s="11">
        <f t="shared" si="15"/>
        <v>0</v>
      </c>
      <c r="C49" s="44"/>
      <c r="D49" s="44"/>
      <c r="E49" s="13"/>
      <c r="F49" s="14">
        <v>0</v>
      </c>
      <c r="G49" s="341">
        <f t="shared" si="16"/>
        <v>0</v>
      </c>
      <c r="H49" s="2"/>
      <c r="I49" s="2"/>
      <c r="J49" s="437"/>
      <c r="K49" s="437"/>
      <c r="L49" s="437"/>
      <c r="M49" s="437"/>
      <c r="N49" s="437"/>
      <c r="O49" s="437"/>
      <c r="P49" s="437"/>
      <c r="Q49" s="2"/>
      <c r="R49" s="2"/>
      <c r="S49" s="2"/>
      <c r="T49" s="2"/>
      <c r="U49" s="2"/>
      <c r="V49" s="2"/>
      <c r="W49" s="2"/>
      <c r="X49" s="2"/>
      <c r="Y49" s="2"/>
    </row>
    <row r="50" spans="1:25" ht="15.75" x14ac:dyDescent="0.2">
      <c r="A50" s="77"/>
      <c r="B50" s="11">
        <f t="shared" si="15"/>
        <v>0</v>
      </c>
      <c r="C50" s="44"/>
      <c r="D50" s="44"/>
      <c r="E50" s="13"/>
      <c r="F50" s="14">
        <v>0</v>
      </c>
      <c r="G50" s="341">
        <f t="shared" si="16"/>
        <v>0</v>
      </c>
      <c r="H50" s="2"/>
      <c r="I50" s="2"/>
      <c r="J50" s="437"/>
      <c r="K50" s="437"/>
      <c r="L50" s="437"/>
      <c r="M50" s="437"/>
      <c r="N50" s="437"/>
      <c r="O50" s="437"/>
      <c r="P50" s="437"/>
      <c r="Q50" s="2"/>
      <c r="R50" s="2"/>
      <c r="S50" s="2"/>
      <c r="T50" s="2"/>
      <c r="U50" s="2"/>
      <c r="V50" s="2"/>
      <c r="W50" s="2"/>
      <c r="X50" s="2"/>
      <c r="Y50" s="2"/>
    </row>
    <row r="51" spans="1:25" ht="15.75" x14ac:dyDescent="0.2">
      <c r="A51" s="77"/>
      <c r="B51" s="11">
        <f t="shared" si="15"/>
        <v>0</v>
      </c>
      <c r="C51" s="44"/>
      <c r="D51" s="44"/>
      <c r="E51" s="13"/>
      <c r="F51" s="14">
        <v>0</v>
      </c>
      <c r="G51" s="341">
        <f t="shared" si="16"/>
        <v>0</v>
      </c>
      <c r="H51" s="2"/>
      <c r="I51" s="2"/>
      <c r="J51" s="437"/>
      <c r="K51" s="437"/>
      <c r="L51" s="437"/>
      <c r="M51" s="437"/>
      <c r="N51" s="437"/>
      <c r="O51" s="437"/>
      <c r="P51" s="437"/>
      <c r="Q51" s="2"/>
      <c r="R51" s="2"/>
      <c r="S51" s="2"/>
      <c r="T51" s="2"/>
      <c r="U51" s="2"/>
      <c r="V51" s="2"/>
      <c r="W51" s="2"/>
      <c r="X51" s="2"/>
      <c r="Y51" s="2"/>
    </row>
    <row r="52" spans="1:25" ht="15.75" x14ac:dyDescent="0.2">
      <c r="A52" s="438" t="s">
        <v>23</v>
      </c>
      <c r="B52" s="438"/>
      <c r="C52" s="438"/>
      <c r="D52" s="438"/>
      <c r="E52" s="438"/>
      <c r="F52" s="438"/>
      <c r="G52" s="438"/>
      <c r="H52" s="2"/>
      <c r="I52" s="2"/>
      <c r="J52" s="437"/>
      <c r="K52" s="437"/>
      <c r="L52" s="437"/>
      <c r="M52" s="437"/>
      <c r="N52" s="437"/>
      <c r="O52" s="437"/>
      <c r="P52" s="437"/>
      <c r="Q52" s="2"/>
      <c r="R52" s="2"/>
      <c r="S52" s="2"/>
      <c r="T52" s="2"/>
      <c r="U52" s="2"/>
      <c r="V52" s="2"/>
      <c r="W52" s="2"/>
      <c r="X52" s="2"/>
      <c r="Y52" s="2"/>
    </row>
    <row r="53" spans="1:25" ht="15.75" x14ac:dyDescent="0.2">
      <c r="A53" s="71" t="s">
        <v>4</v>
      </c>
      <c r="B53" s="72" t="s">
        <v>5</v>
      </c>
      <c r="C53" s="72" t="s">
        <v>6</v>
      </c>
      <c r="D53" s="72" t="s">
        <v>7</v>
      </c>
      <c r="E53" s="72" t="s">
        <v>8</v>
      </c>
      <c r="F53" s="72" t="s">
        <v>9</v>
      </c>
      <c r="G53" s="72" t="s">
        <v>10</v>
      </c>
      <c r="H53" s="2"/>
      <c r="I53" s="2"/>
      <c r="J53" s="437"/>
      <c r="K53" s="437"/>
      <c r="L53" s="437"/>
      <c r="M53" s="437"/>
      <c r="N53" s="437"/>
      <c r="O53" s="437"/>
      <c r="P53" s="437"/>
      <c r="Q53" s="2"/>
      <c r="R53" s="2"/>
      <c r="S53" s="2"/>
      <c r="T53" s="2"/>
      <c r="U53" s="2"/>
      <c r="V53" s="2"/>
      <c r="W53" s="2"/>
      <c r="X53" s="2"/>
      <c r="Y53" s="2"/>
    </row>
    <row r="54" spans="1:25" ht="15.75" x14ac:dyDescent="0.25">
      <c r="A54" s="41" t="s">
        <v>41</v>
      </c>
      <c r="B54" s="11" t="str">
        <f t="shared" ref="B54:B63" si="17">+IF(F54=0,0,MID(F54,LEN(F54)-4,3))</f>
        <v xml:space="preserve">03 </v>
      </c>
      <c r="C54" s="361">
        <v>1</v>
      </c>
      <c r="D54" s="12" t="s">
        <v>229</v>
      </c>
      <c r="E54" s="13" t="str">
        <f t="shared" ref="E54:E63" si="18">+IF(F54=0,0,CONCATENATE(MID(F54,FIND("-",F54,1)+1,4),"ORAS"))</f>
        <v>15 HORAS</v>
      </c>
      <c r="F54" s="14" t="s">
        <v>367</v>
      </c>
      <c r="G54" s="362">
        <f t="shared" ref="G54:G64" si="19">+IF(F54="","",VLOOKUP(F54,$H$139:$I$217,2,FALSE))</f>
        <v>1505234</v>
      </c>
      <c r="H54" s="2"/>
      <c r="I54" s="2"/>
      <c r="J54" s="437"/>
      <c r="K54" s="437"/>
      <c r="L54" s="437"/>
      <c r="M54" s="437"/>
      <c r="N54" s="437"/>
      <c r="O54" s="437"/>
      <c r="P54" s="437"/>
      <c r="Q54" s="2"/>
      <c r="R54" s="2"/>
      <c r="S54" s="2"/>
      <c r="T54" s="2"/>
      <c r="U54" s="2"/>
      <c r="V54" s="2"/>
      <c r="W54" s="2"/>
      <c r="X54" s="2"/>
      <c r="Y54" s="2"/>
    </row>
    <row r="55" spans="1:25" ht="15.75" x14ac:dyDescent="0.25">
      <c r="A55" s="41" t="s">
        <v>42</v>
      </c>
      <c r="B55" s="11" t="str">
        <f t="shared" si="17"/>
        <v xml:space="preserve">03 </v>
      </c>
      <c r="C55" s="361">
        <v>1</v>
      </c>
      <c r="D55" s="12" t="s">
        <v>229</v>
      </c>
      <c r="E55" s="13" t="str">
        <f t="shared" si="18"/>
        <v>15 HORAS</v>
      </c>
      <c r="F55" s="14" t="s">
        <v>367</v>
      </c>
      <c r="G55" s="362">
        <f t="shared" si="19"/>
        <v>1505234</v>
      </c>
      <c r="H55" s="2"/>
      <c r="I55" s="2"/>
      <c r="J55" s="437"/>
      <c r="K55" s="437"/>
      <c r="L55" s="437"/>
      <c r="M55" s="437"/>
      <c r="N55" s="437"/>
      <c r="O55" s="437"/>
      <c r="P55" s="437"/>
      <c r="Q55" s="2"/>
      <c r="R55" s="2"/>
      <c r="S55" s="2"/>
      <c r="T55" s="2"/>
      <c r="U55" s="2"/>
      <c r="V55" s="2"/>
      <c r="W55" s="2"/>
      <c r="X55" s="2"/>
      <c r="Y55" s="2"/>
    </row>
    <row r="56" spans="1:25" ht="15.75" x14ac:dyDescent="0.25">
      <c r="A56" s="41" t="s">
        <v>43</v>
      </c>
      <c r="B56" s="11" t="str">
        <f t="shared" si="17"/>
        <v xml:space="preserve">03 </v>
      </c>
      <c r="C56" s="361">
        <v>1</v>
      </c>
      <c r="D56" s="12" t="s">
        <v>229</v>
      </c>
      <c r="E56" s="13" t="str">
        <f t="shared" si="18"/>
        <v>15 HORAS</v>
      </c>
      <c r="F56" s="14" t="s">
        <v>367</v>
      </c>
      <c r="G56" s="362">
        <f t="shared" si="19"/>
        <v>1505234</v>
      </c>
      <c r="H56" s="2"/>
      <c r="I56" s="2"/>
      <c r="J56" s="437"/>
      <c r="K56" s="437"/>
      <c r="L56" s="437"/>
      <c r="M56" s="437"/>
      <c r="N56" s="437"/>
      <c r="O56" s="437"/>
      <c r="P56" s="437"/>
      <c r="Q56" s="2"/>
      <c r="R56" s="2"/>
      <c r="S56" s="2"/>
      <c r="T56" s="2"/>
      <c r="U56" s="2"/>
      <c r="V56" s="2"/>
      <c r="W56" s="2"/>
      <c r="X56" s="2"/>
      <c r="Y56" s="2"/>
    </row>
    <row r="57" spans="1:25" ht="15.75" x14ac:dyDescent="0.25">
      <c r="A57" s="41" t="s">
        <v>169</v>
      </c>
      <c r="B57" s="11" t="str">
        <f t="shared" si="17"/>
        <v xml:space="preserve">03 </v>
      </c>
      <c r="C57" s="361">
        <v>1</v>
      </c>
      <c r="D57" s="12" t="s">
        <v>229</v>
      </c>
      <c r="E57" s="13" t="str">
        <f t="shared" si="18"/>
        <v>15 HORAS</v>
      </c>
      <c r="F57" s="14" t="s">
        <v>367</v>
      </c>
      <c r="G57" s="362">
        <f t="shared" si="19"/>
        <v>1505234</v>
      </c>
      <c r="H57" s="2"/>
      <c r="I57" s="2"/>
      <c r="J57" s="437"/>
      <c r="K57" s="437"/>
      <c r="L57" s="437"/>
      <c r="M57" s="437"/>
      <c r="N57" s="437"/>
      <c r="O57" s="437"/>
      <c r="P57" s="437"/>
      <c r="Q57" s="2"/>
      <c r="R57" s="2"/>
      <c r="S57" s="2"/>
      <c r="T57" s="2"/>
      <c r="U57" s="2"/>
      <c r="V57" s="2"/>
      <c r="W57" s="2"/>
      <c r="X57" s="2"/>
      <c r="Y57" s="2"/>
    </row>
    <row r="58" spans="1:25" ht="15.75" x14ac:dyDescent="0.25">
      <c r="A58" s="79" t="s">
        <v>170</v>
      </c>
      <c r="B58" s="11" t="str">
        <f t="shared" si="17"/>
        <v xml:space="preserve">03 </v>
      </c>
      <c r="C58" s="361">
        <v>1</v>
      </c>
      <c r="D58" s="12" t="s">
        <v>229</v>
      </c>
      <c r="E58" s="13" t="str">
        <f t="shared" si="18"/>
        <v>15 HORAS</v>
      </c>
      <c r="F58" s="14" t="s">
        <v>367</v>
      </c>
      <c r="G58" s="362">
        <f t="shared" si="19"/>
        <v>1505234</v>
      </c>
      <c r="H58" s="2"/>
      <c r="I58" s="2"/>
      <c r="J58" s="437"/>
      <c r="K58" s="437"/>
      <c r="L58" s="437"/>
      <c r="M58" s="437"/>
      <c r="N58" s="437"/>
      <c r="O58" s="437"/>
      <c r="P58" s="437"/>
      <c r="Q58" s="2"/>
      <c r="R58" s="2"/>
      <c r="S58" s="2"/>
      <c r="T58" s="2"/>
      <c r="U58" s="2"/>
      <c r="V58" s="2"/>
      <c r="W58" s="2"/>
      <c r="X58" s="2"/>
      <c r="Y58" s="2"/>
    </row>
    <row r="59" spans="1:25" ht="15.75" x14ac:dyDescent="0.25">
      <c r="A59" s="79" t="s">
        <v>171</v>
      </c>
      <c r="B59" s="11" t="str">
        <f t="shared" si="17"/>
        <v xml:space="preserve">03 </v>
      </c>
      <c r="C59" s="361">
        <v>1</v>
      </c>
      <c r="D59" s="12" t="s">
        <v>229</v>
      </c>
      <c r="E59" s="13" t="str">
        <f t="shared" si="18"/>
        <v>15 HORAS</v>
      </c>
      <c r="F59" s="14" t="s">
        <v>367</v>
      </c>
      <c r="G59" s="362">
        <f t="shared" si="19"/>
        <v>1505234</v>
      </c>
      <c r="H59" s="2"/>
      <c r="I59" s="2"/>
      <c r="J59" s="437"/>
      <c r="K59" s="437"/>
      <c r="L59" s="437"/>
      <c r="M59" s="437"/>
      <c r="N59" s="437"/>
      <c r="O59" s="437"/>
      <c r="P59" s="437"/>
      <c r="Q59" s="2"/>
      <c r="R59" s="2"/>
      <c r="S59" s="2"/>
      <c r="T59" s="2"/>
      <c r="U59" s="2"/>
      <c r="V59" s="2"/>
      <c r="W59" s="2"/>
      <c r="X59" s="2"/>
      <c r="Y59" s="2"/>
    </row>
    <row r="60" spans="1:25" ht="15.75" x14ac:dyDescent="0.25">
      <c r="A60" s="79" t="s">
        <v>172</v>
      </c>
      <c r="B60" s="11" t="str">
        <f t="shared" si="17"/>
        <v xml:space="preserve">03 </v>
      </c>
      <c r="C60" s="361">
        <v>1</v>
      </c>
      <c r="D60" s="12" t="s">
        <v>229</v>
      </c>
      <c r="E60" s="13" t="str">
        <f t="shared" si="18"/>
        <v>15 HORAS</v>
      </c>
      <c r="F60" s="14" t="s">
        <v>367</v>
      </c>
      <c r="G60" s="362">
        <f t="shared" si="19"/>
        <v>1505234</v>
      </c>
      <c r="H60" s="2"/>
      <c r="I60" s="2"/>
      <c r="J60" s="437"/>
      <c r="K60" s="437"/>
      <c r="L60" s="437"/>
      <c r="M60" s="437"/>
      <c r="N60" s="437"/>
      <c r="O60" s="437"/>
      <c r="P60" s="437"/>
      <c r="Q60" s="2"/>
      <c r="R60" s="2"/>
      <c r="S60" s="2"/>
      <c r="T60" s="2"/>
      <c r="U60" s="2"/>
      <c r="V60" s="2"/>
      <c r="W60" s="2"/>
      <c r="X60" s="2"/>
      <c r="Y60" s="2"/>
    </row>
    <row r="61" spans="1:25" ht="15.75" x14ac:dyDescent="0.25">
      <c r="A61" s="79" t="s">
        <v>173</v>
      </c>
      <c r="B61" s="11" t="str">
        <f t="shared" si="17"/>
        <v xml:space="preserve">03 </v>
      </c>
      <c r="C61" s="361">
        <v>1</v>
      </c>
      <c r="D61" s="12" t="s">
        <v>229</v>
      </c>
      <c r="E61" s="13" t="str">
        <f t="shared" si="18"/>
        <v>15 HORAS</v>
      </c>
      <c r="F61" s="14" t="s">
        <v>367</v>
      </c>
      <c r="G61" s="362">
        <f t="shared" si="19"/>
        <v>1505234</v>
      </c>
      <c r="H61" s="2"/>
      <c r="I61" s="2"/>
      <c r="J61" s="437"/>
      <c r="K61" s="437"/>
      <c r="L61" s="437"/>
      <c r="M61" s="437"/>
      <c r="N61" s="437"/>
      <c r="O61" s="437"/>
      <c r="P61" s="437"/>
      <c r="Q61" s="2"/>
      <c r="R61" s="2"/>
      <c r="S61" s="2"/>
      <c r="T61" s="2"/>
      <c r="U61" s="2"/>
      <c r="V61" s="2"/>
      <c r="W61" s="2"/>
      <c r="X61" s="2"/>
      <c r="Y61" s="2"/>
    </row>
    <row r="62" spans="1:25" ht="15.75" x14ac:dyDescent="0.25">
      <c r="A62" s="78" t="s">
        <v>44</v>
      </c>
      <c r="B62" s="11" t="str">
        <f t="shared" si="17"/>
        <v xml:space="preserve">03 </v>
      </c>
      <c r="C62" s="361">
        <v>1</v>
      </c>
      <c r="D62" s="12" t="s">
        <v>229</v>
      </c>
      <c r="E62" s="13" t="str">
        <f t="shared" si="18"/>
        <v>15 HORAS</v>
      </c>
      <c r="F62" s="14" t="s">
        <v>367</v>
      </c>
      <c r="G62" s="362">
        <f t="shared" si="19"/>
        <v>1505234</v>
      </c>
      <c r="H62" s="2"/>
      <c r="I62" s="2"/>
      <c r="J62" s="437"/>
      <c r="K62" s="437"/>
      <c r="L62" s="437"/>
      <c r="M62" s="437"/>
      <c r="N62" s="437"/>
      <c r="O62" s="437"/>
      <c r="P62" s="437"/>
      <c r="Q62" s="2"/>
      <c r="R62" s="2"/>
      <c r="S62" s="2"/>
      <c r="T62" s="2"/>
      <c r="U62" s="2"/>
      <c r="V62" s="2"/>
      <c r="W62" s="2"/>
      <c r="X62" s="2"/>
      <c r="Y62" s="2"/>
    </row>
    <row r="63" spans="1:25" ht="15.75" x14ac:dyDescent="0.25">
      <c r="A63" s="78" t="s">
        <v>45</v>
      </c>
      <c r="B63" s="11" t="str">
        <f t="shared" si="17"/>
        <v xml:space="preserve">03 </v>
      </c>
      <c r="C63" s="361">
        <v>1</v>
      </c>
      <c r="D63" s="12" t="s">
        <v>229</v>
      </c>
      <c r="E63" s="13" t="str">
        <f t="shared" si="18"/>
        <v>15 HORAS</v>
      </c>
      <c r="F63" s="14" t="s">
        <v>367</v>
      </c>
      <c r="G63" s="362">
        <f t="shared" si="19"/>
        <v>1505234</v>
      </c>
      <c r="H63" s="2"/>
      <c r="I63" s="2"/>
      <c r="J63" s="437"/>
      <c r="K63" s="437"/>
      <c r="L63" s="437"/>
      <c r="M63" s="437"/>
      <c r="N63" s="437"/>
      <c r="O63" s="437"/>
      <c r="P63" s="437"/>
      <c r="Q63" s="2"/>
      <c r="R63" s="2"/>
      <c r="S63" s="2"/>
      <c r="T63" s="2"/>
      <c r="U63" s="2"/>
      <c r="V63" s="2"/>
      <c r="W63" s="2"/>
      <c r="X63" s="2"/>
      <c r="Y63" s="2"/>
    </row>
    <row r="64" spans="1:25" ht="15.75" x14ac:dyDescent="0.25">
      <c r="A64" s="77"/>
      <c r="B64" s="16"/>
      <c r="C64" s="361"/>
      <c r="D64" s="80"/>
      <c r="E64" s="14"/>
      <c r="F64" s="14"/>
      <c r="G64" s="341" t="str">
        <f t="shared" si="19"/>
        <v/>
      </c>
      <c r="H64" s="2"/>
      <c r="I64" s="2"/>
      <c r="J64" s="437"/>
      <c r="K64" s="437"/>
      <c r="L64" s="437"/>
      <c r="M64" s="437"/>
      <c r="N64" s="437"/>
      <c r="O64" s="437"/>
      <c r="P64" s="437"/>
      <c r="Q64" s="2"/>
      <c r="R64" s="2"/>
      <c r="S64" s="2"/>
      <c r="T64" s="2"/>
      <c r="U64" s="2"/>
      <c r="V64" s="2"/>
      <c r="W64" s="2"/>
      <c r="X64" s="2"/>
      <c r="Y64" s="2"/>
    </row>
    <row r="65" spans="1:31" ht="15.75" x14ac:dyDescent="0.2">
      <c r="A65" s="77" t="s">
        <v>29</v>
      </c>
      <c r="B65" s="48">
        <f>+B54+B55+B56+B57+B58+B64+B59+B60+B61+B62+B63+B46+B47+B48+B49+B50+B51</f>
        <v>38</v>
      </c>
      <c r="C65" s="48">
        <f>C59+C60+C61+C62+C63+C46+C47+C48+C49+C50+C54+C55+C56+C57+C58+C64</f>
        <v>12</v>
      </c>
      <c r="D65" s="48"/>
      <c r="E65" s="81"/>
      <c r="F65" s="48"/>
      <c r="G65" s="33">
        <f>SUM(G46:G51,G54:G64)</f>
        <v>18962354</v>
      </c>
      <c r="H65" s="2"/>
      <c r="I65" s="2"/>
      <c r="J65" s="437"/>
      <c r="K65" s="437"/>
      <c r="L65" s="437"/>
      <c r="M65" s="437"/>
      <c r="N65" s="437"/>
      <c r="O65" s="437"/>
      <c r="P65" s="437"/>
      <c r="Q65" s="2"/>
      <c r="R65" s="2"/>
      <c r="S65" s="2"/>
      <c r="T65" s="2"/>
      <c r="U65" s="2"/>
      <c r="V65" s="2"/>
      <c r="W65" s="2"/>
      <c r="X65" s="2"/>
      <c r="Y65" s="2"/>
    </row>
    <row r="66" spans="1:31" ht="15" x14ac:dyDescent="0.2">
      <c r="A66" s="2"/>
      <c r="B66" s="2"/>
      <c r="C66" s="2"/>
      <c r="D66" s="2"/>
      <c r="E66" s="2"/>
      <c r="F66" s="2"/>
      <c r="G66" s="2"/>
      <c r="H66" s="2"/>
      <c r="I66" s="2"/>
      <c r="J66" s="2"/>
      <c r="K66" s="2"/>
      <c r="L66" s="2"/>
      <c r="M66" s="2"/>
      <c r="N66" s="2"/>
      <c r="O66" s="295"/>
      <c r="P66" s="2"/>
      <c r="Q66" s="2"/>
      <c r="R66" s="2"/>
      <c r="S66" s="2"/>
      <c r="T66" s="2"/>
      <c r="U66" s="2"/>
      <c r="V66" s="2"/>
      <c r="W66" s="2"/>
      <c r="X66" s="2"/>
      <c r="Y66" s="2"/>
    </row>
    <row r="67" spans="1:31" ht="15" x14ac:dyDescent="0.2">
      <c r="A67" s="59" t="s">
        <v>32</v>
      </c>
      <c r="B67" s="278">
        <f>B65+B40+B22</f>
        <v>85</v>
      </c>
      <c r="C67" s="278">
        <f>C65+C40+C22</f>
        <v>27</v>
      </c>
      <c r="D67" s="59">
        <f>D65+D40+D22</f>
        <v>0</v>
      </c>
      <c r="E67" s="2"/>
      <c r="F67" s="2"/>
      <c r="G67" s="33">
        <f>SUM(G22,G40,G65)</f>
        <v>47489164</v>
      </c>
      <c r="H67" s="2"/>
      <c r="I67" s="2"/>
      <c r="J67" s="2"/>
      <c r="K67" s="2"/>
      <c r="L67" s="2"/>
      <c r="M67" s="2"/>
      <c r="N67" s="2"/>
      <c r="O67" s="295"/>
      <c r="P67" s="2"/>
      <c r="Q67" s="2"/>
      <c r="R67" s="2"/>
      <c r="S67" s="2"/>
      <c r="T67" s="2"/>
      <c r="U67" s="2"/>
      <c r="V67" s="2"/>
      <c r="W67" s="2"/>
      <c r="X67" s="2"/>
      <c r="Y67" s="2"/>
    </row>
    <row r="68" spans="1:31" ht="15.75" x14ac:dyDescent="0.25">
      <c r="A68" s="2"/>
      <c r="B68" s="2"/>
      <c r="C68" s="2"/>
      <c r="D68" s="2"/>
      <c r="E68" s="2"/>
      <c r="F68" s="2"/>
      <c r="G68" s="2"/>
      <c r="H68" s="2"/>
      <c r="I68" s="2"/>
      <c r="J68" s="82" t="s">
        <v>46</v>
      </c>
      <c r="K68" s="83">
        <f>K25+B67+T33+AB25</f>
        <v>112</v>
      </c>
      <c r="L68" s="84"/>
      <c r="M68" s="85"/>
      <c r="N68" s="85"/>
      <c r="O68" s="298"/>
      <c r="P68" s="85"/>
      <c r="Q68" s="2"/>
      <c r="R68" s="2"/>
      <c r="S68" s="2"/>
      <c r="T68" s="2"/>
      <c r="U68" s="2"/>
      <c r="V68" s="2"/>
      <c r="W68" s="2"/>
      <c r="X68" s="2"/>
      <c r="Y68" s="2"/>
    </row>
    <row r="69" spans="1:31" ht="16.5" thickBot="1" x14ac:dyDescent="0.3">
      <c r="A69" s="2"/>
      <c r="B69" s="2"/>
      <c r="C69" s="2"/>
      <c r="D69" s="2"/>
      <c r="E69" s="2"/>
      <c r="F69" s="2"/>
      <c r="G69" s="2"/>
      <c r="H69" s="2"/>
      <c r="I69" s="2"/>
      <c r="J69" s="82" t="s">
        <v>47</v>
      </c>
      <c r="K69" s="86">
        <f>L25+C67+U33+AC25</f>
        <v>33</v>
      </c>
      <c r="L69" s="2"/>
      <c r="M69" s="87" t="s">
        <v>0</v>
      </c>
      <c r="N69" s="87" t="s">
        <v>30</v>
      </c>
      <c r="O69" s="299" t="s">
        <v>40</v>
      </c>
      <c r="P69" s="88"/>
      <c r="R69" s="89"/>
      <c r="T69" s="2"/>
      <c r="U69" s="2"/>
      <c r="V69" s="2"/>
      <c r="W69" s="2"/>
      <c r="X69" s="2"/>
      <c r="Y69" s="2"/>
    </row>
    <row r="70" spans="1:31" ht="27" customHeight="1" thickBot="1" x14ac:dyDescent="0.3">
      <c r="A70" s="2"/>
      <c r="B70" s="2"/>
      <c r="C70" s="2"/>
      <c r="D70" s="2"/>
      <c r="E70" s="2"/>
      <c r="F70" s="2"/>
      <c r="G70" s="2"/>
      <c r="H70" s="2"/>
      <c r="I70" s="2"/>
      <c r="J70" s="90" t="s">
        <v>48</v>
      </c>
      <c r="K70" s="439">
        <f>SUM(G67,P25,Y33)</f>
        <v>62833042</v>
      </c>
      <c r="L70" s="440"/>
      <c r="M70" s="91">
        <f>SUM(G22,Y20:Y22)</f>
        <v>17579316</v>
      </c>
      <c r="N70" s="92">
        <f>SUM(G40,P4:P15,P18:P24,Y4:Y8,Y15:Y16,Y23:Y24)</f>
        <v>24685649</v>
      </c>
      <c r="O70" s="300">
        <f>SUM(G46:G51,G54:G63,Y25:Y30)</f>
        <v>20568077</v>
      </c>
      <c r="P70" s="93">
        <f>SUM(M70:O70)</f>
        <v>62833042</v>
      </c>
      <c r="R70" s="94"/>
      <c r="S70" s="95"/>
      <c r="T70" s="2"/>
      <c r="U70" s="2"/>
      <c r="V70" s="2"/>
      <c r="W70" s="2"/>
      <c r="X70" s="2"/>
      <c r="Y70" s="2"/>
    </row>
    <row r="71" spans="1:31" ht="13.5" thickBot="1" x14ac:dyDescent="0.25"/>
    <row r="72" spans="1:31" ht="36" customHeight="1" thickBot="1" x14ac:dyDescent="0.25">
      <c r="A72" s="441" t="s">
        <v>49</v>
      </c>
      <c r="B72" s="442"/>
      <c r="C72" s="442"/>
      <c r="D72" s="442"/>
      <c r="E72" s="442"/>
      <c r="F72" s="442"/>
      <c r="G72" s="442"/>
      <c r="H72" s="442"/>
      <c r="I72" s="442"/>
      <c r="J72" s="442"/>
      <c r="K72" s="442"/>
      <c r="L72" s="442"/>
      <c r="M72" s="442"/>
      <c r="N72" s="442"/>
      <c r="O72" s="442"/>
      <c r="P72" s="442"/>
      <c r="Q72" s="442"/>
      <c r="R72" s="442"/>
      <c r="S72" s="442"/>
      <c r="T72" s="442"/>
      <c r="U72" s="442"/>
      <c r="V72" s="442"/>
      <c r="W72" s="442"/>
      <c r="X72" s="442"/>
      <c r="Y72" s="442"/>
      <c r="Z72" s="442"/>
      <c r="AA72" s="442"/>
      <c r="AB72" s="442"/>
      <c r="AC72" s="442"/>
      <c r="AD72" s="442"/>
      <c r="AE72" s="443"/>
    </row>
    <row r="73" spans="1:31" ht="286.5" customHeight="1" x14ac:dyDescent="0.2">
      <c r="A73" s="431" t="s">
        <v>478</v>
      </c>
      <c r="B73" s="432"/>
      <c r="C73" s="432"/>
      <c r="D73" s="432"/>
      <c r="E73" s="432"/>
      <c r="F73" s="432"/>
      <c r="G73" s="432"/>
      <c r="H73" s="432"/>
      <c r="I73" s="432"/>
      <c r="J73" s="432"/>
      <c r="K73" s="432"/>
      <c r="L73" s="432"/>
      <c r="M73" s="432"/>
      <c r="N73" s="432"/>
      <c r="O73" s="432"/>
      <c r="P73" s="432"/>
      <c r="Q73" s="432"/>
      <c r="R73" s="432"/>
      <c r="S73" s="432"/>
      <c r="T73" s="432"/>
      <c r="U73" s="432"/>
      <c r="V73" s="432"/>
      <c r="W73" s="432"/>
      <c r="X73" s="432"/>
      <c r="Y73" s="432"/>
      <c r="Z73" s="344"/>
      <c r="AA73" s="344"/>
      <c r="AB73" s="344"/>
      <c r="AC73" s="344"/>
      <c r="AD73" s="344"/>
      <c r="AE73" s="344"/>
    </row>
    <row r="74" spans="1:31" ht="222.75" customHeight="1" x14ac:dyDescent="0.2">
      <c r="A74" s="433"/>
      <c r="B74" s="433"/>
      <c r="C74" s="433"/>
      <c r="D74" s="433"/>
      <c r="E74" s="433"/>
      <c r="F74" s="433"/>
      <c r="G74" s="433"/>
      <c r="H74" s="433"/>
      <c r="I74" s="433"/>
      <c r="J74" s="433"/>
      <c r="K74" s="433"/>
      <c r="L74" s="433"/>
      <c r="M74" s="433"/>
      <c r="N74" s="433"/>
      <c r="O74" s="433"/>
      <c r="P74" s="433"/>
      <c r="Q74" s="433"/>
      <c r="R74" s="433"/>
      <c r="S74" s="433"/>
      <c r="T74" s="433"/>
      <c r="U74" s="433"/>
      <c r="V74" s="433"/>
      <c r="W74" s="433"/>
      <c r="X74" s="433"/>
      <c r="Y74" s="433"/>
      <c r="Z74" s="343"/>
      <c r="AA74" s="343"/>
      <c r="AB74" s="343"/>
      <c r="AC74" s="343"/>
      <c r="AD74" s="343"/>
      <c r="AE74" s="343"/>
    </row>
    <row r="75" spans="1:31" ht="109.5" customHeight="1" x14ac:dyDescent="0.2">
      <c r="A75" s="433"/>
      <c r="B75" s="433"/>
      <c r="C75" s="433"/>
      <c r="D75" s="433"/>
      <c r="E75" s="433"/>
      <c r="F75" s="433"/>
      <c r="G75" s="433"/>
      <c r="H75" s="433"/>
      <c r="I75" s="433"/>
      <c r="J75" s="433"/>
      <c r="K75" s="433"/>
      <c r="L75" s="433"/>
      <c r="M75" s="433"/>
      <c r="N75" s="433"/>
      <c r="O75" s="433"/>
      <c r="P75" s="433"/>
      <c r="Q75" s="433"/>
      <c r="R75" s="433"/>
      <c r="S75" s="433"/>
      <c r="T75" s="433"/>
      <c r="U75" s="433"/>
      <c r="V75" s="433"/>
      <c r="W75" s="433"/>
      <c r="X75" s="433"/>
      <c r="Y75" s="433"/>
      <c r="Z75" s="343"/>
      <c r="AA75" s="343"/>
      <c r="AB75" s="343"/>
      <c r="AC75" s="343"/>
      <c r="AD75" s="343"/>
      <c r="AE75" s="343"/>
    </row>
    <row r="76" spans="1:31" ht="148.5" customHeight="1" x14ac:dyDescent="0.2">
      <c r="A76" s="433"/>
      <c r="B76" s="433"/>
      <c r="C76" s="433"/>
      <c r="D76" s="433"/>
      <c r="E76" s="433"/>
      <c r="F76" s="433"/>
      <c r="G76" s="433"/>
      <c r="H76" s="433"/>
      <c r="I76" s="433"/>
      <c r="J76" s="433"/>
      <c r="K76" s="433"/>
      <c r="L76" s="433"/>
      <c r="M76" s="433"/>
      <c r="N76" s="433"/>
      <c r="O76" s="433"/>
      <c r="P76" s="433"/>
      <c r="Q76" s="433"/>
      <c r="R76" s="433"/>
      <c r="S76" s="433"/>
      <c r="T76" s="433"/>
      <c r="U76" s="433"/>
      <c r="V76" s="433"/>
      <c r="W76" s="433"/>
      <c r="X76" s="433"/>
      <c r="Y76" s="433"/>
      <c r="Z76" s="343"/>
      <c r="AA76" s="343"/>
      <c r="AB76" s="343"/>
      <c r="AC76" s="343"/>
      <c r="AD76" s="343"/>
      <c r="AE76" s="343"/>
    </row>
    <row r="77" spans="1:31" ht="90" customHeight="1" x14ac:dyDescent="0.2">
      <c r="A77" s="433"/>
      <c r="B77" s="433"/>
      <c r="C77" s="433"/>
      <c r="D77" s="433"/>
      <c r="E77" s="433"/>
      <c r="F77" s="433"/>
      <c r="G77" s="433"/>
      <c r="H77" s="433"/>
      <c r="I77" s="433"/>
      <c r="J77" s="433"/>
      <c r="K77" s="433"/>
      <c r="L77" s="433"/>
      <c r="M77" s="433"/>
      <c r="N77" s="433"/>
      <c r="O77" s="433"/>
      <c r="P77" s="433"/>
      <c r="Q77" s="433"/>
      <c r="R77" s="433"/>
      <c r="S77" s="433"/>
      <c r="T77" s="433"/>
      <c r="U77" s="433"/>
      <c r="V77" s="433"/>
      <c r="W77" s="433"/>
      <c r="X77" s="433"/>
      <c r="Y77" s="433"/>
      <c r="Z77" s="343"/>
      <c r="AA77" s="343"/>
      <c r="AB77" s="343"/>
      <c r="AC77" s="343"/>
      <c r="AD77" s="343"/>
      <c r="AE77" s="343"/>
    </row>
    <row r="78" spans="1:31" ht="156" customHeight="1" x14ac:dyDescent="0.2">
      <c r="A78" s="433"/>
      <c r="B78" s="433"/>
      <c r="C78" s="433"/>
      <c r="D78" s="433"/>
      <c r="E78" s="433"/>
      <c r="F78" s="433"/>
      <c r="G78" s="433"/>
      <c r="H78" s="433"/>
      <c r="I78" s="433"/>
      <c r="J78" s="433"/>
      <c r="K78" s="433"/>
      <c r="L78" s="433"/>
      <c r="M78" s="433"/>
      <c r="N78" s="433"/>
      <c r="O78" s="433"/>
      <c r="P78" s="433"/>
      <c r="Q78" s="433"/>
      <c r="R78" s="433"/>
      <c r="S78" s="433"/>
      <c r="T78" s="433"/>
      <c r="U78" s="433"/>
      <c r="V78" s="433"/>
      <c r="W78" s="433"/>
      <c r="X78" s="433"/>
      <c r="Y78" s="433"/>
      <c r="Z78" s="343"/>
      <c r="AA78" s="343"/>
      <c r="AB78" s="343"/>
      <c r="AC78" s="343"/>
      <c r="AD78" s="343"/>
      <c r="AE78" s="343"/>
    </row>
    <row r="79" spans="1:31" ht="258" customHeight="1" x14ac:dyDescent="0.2">
      <c r="A79" s="433"/>
      <c r="B79" s="433"/>
      <c r="C79" s="433"/>
      <c r="D79" s="433"/>
      <c r="E79" s="433"/>
      <c r="F79" s="433"/>
      <c r="G79" s="433"/>
      <c r="H79" s="433"/>
      <c r="I79" s="433"/>
      <c r="J79" s="433"/>
      <c r="K79" s="433"/>
      <c r="L79" s="433"/>
      <c r="M79" s="433"/>
      <c r="N79" s="433"/>
      <c r="O79" s="433"/>
      <c r="P79" s="433"/>
      <c r="Q79" s="433"/>
      <c r="R79" s="433"/>
      <c r="S79" s="433"/>
      <c r="T79" s="433"/>
      <c r="U79" s="433"/>
      <c r="V79" s="433"/>
      <c r="W79" s="433"/>
      <c r="X79" s="433"/>
      <c r="Y79" s="433"/>
      <c r="Z79" s="343"/>
      <c r="AA79" s="343"/>
      <c r="AB79" s="343"/>
      <c r="AC79" s="343"/>
      <c r="AD79" s="343"/>
      <c r="AE79" s="343"/>
    </row>
    <row r="80" spans="1:31" ht="18.95" customHeight="1" x14ac:dyDescent="0.2">
      <c r="A80" s="433"/>
      <c r="B80" s="433"/>
      <c r="C80" s="433"/>
      <c r="D80" s="433"/>
      <c r="E80" s="433"/>
      <c r="F80" s="433"/>
      <c r="G80" s="433"/>
      <c r="H80" s="433"/>
      <c r="I80" s="433"/>
      <c r="J80" s="433"/>
      <c r="K80" s="433"/>
      <c r="L80" s="433"/>
      <c r="M80" s="433"/>
      <c r="N80" s="433"/>
      <c r="O80" s="433"/>
      <c r="P80" s="433"/>
      <c r="Q80" s="433"/>
      <c r="R80" s="433"/>
      <c r="S80" s="433"/>
      <c r="T80" s="433"/>
      <c r="U80" s="433"/>
      <c r="V80" s="433"/>
      <c r="W80" s="433"/>
      <c r="X80" s="433"/>
      <c r="Y80" s="433"/>
      <c r="Z80" s="343"/>
      <c r="AA80" s="343"/>
      <c r="AB80" s="343"/>
      <c r="AC80" s="343"/>
      <c r="AD80" s="343"/>
      <c r="AE80" s="343"/>
    </row>
    <row r="81" spans="1:31" ht="18.95" customHeight="1" x14ac:dyDescent="0.2">
      <c r="A81" s="433"/>
      <c r="B81" s="433"/>
      <c r="C81" s="433"/>
      <c r="D81" s="433"/>
      <c r="E81" s="433"/>
      <c r="F81" s="433"/>
      <c r="G81" s="433"/>
      <c r="H81" s="433"/>
      <c r="I81" s="433"/>
      <c r="J81" s="433"/>
      <c r="K81" s="433"/>
      <c r="L81" s="433"/>
      <c r="M81" s="433"/>
      <c r="N81" s="433"/>
      <c r="O81" s="433"/>
      <c r="P81" s="433"/>
      <c r="Q81" s="433"/>
      <c r="R81" s="433"/>
      <c r="S81" s="433"/>
      <c r="T81" s="433"/>
      <c r="U81" s="433"/>
      <c r="V81" s="433"/>
      <c r="W81" s="433"/>
      <c r="X81" s="433"/>
      <c r="Y81" s="433"/>
      <c r="Z81" s="343"/>
      <c r="AA81" s="343"/>
      <c r="AB81" s="343"/>
      <c r="AC81" s="343"/>
      <c r="AD81" s="343"/>
      <c r="AE81" s="343"/>
    </row>
    <row r="82" spans="1:31" ht="18.95" customHeight="1" x14ac:dyDescent="0.2">
      <c r="A82" s="433"/>
      <c r="B82" s="433"/>
      <c r="C82" s="433"/>
      <c r="D82" s="433"/>
      <c r="E82" s="433"/>
      <c r="F82" s="433"/>
      <c r="G82" s="433"/>
      <c r="H82" s="433"/>
      <c r="I82" s="433"/>
      <c r="J82" s="433"/>
      <c r="K82" s="433"/>
      <c r="L82" s="433"/>
      <c r="M82" s="433"/>
      <c r="N82" s="433"/>
      <c r="O82" s="433"/>
      <c r="P82" s="433"/>
      <c r="Q82" s="433"/>
      <c r="R82" s="433"/>
      <c r="S82" s="433"/>
      <c r="T82" s="433"/>
      <c r="U82" s="433"/>
      <c r="V82" s="433"/>
      <c r="W82" s="433"/>
      <c r="X82" s="433"/>
      <c r="Y82" s="433"/>
      <c r="Z82" s="343"/>
      <c r="AA82" s="343"/>
      <c r="AB82" s="343"/>
      <c r="AC82" s="343"/>
      <c r="AD82" s="343"/>
      <c r="AE82" s="343"/>
    </row>
    <row r="83" spans="1:31" ht="18.95" customHeight="1" x14ac:dyDescent="0.2">
      <c r="A83" s="433"/>
      <c r="B83" s="433"/>
      <c r="C83" s="433"/>
      <c r="D83" s="433"/>
      <c r="E83" s="433"/>
      <c r="F83" s="433"/>
      <c r="G83" s="433"/>
      <c r="H83" s="433"/>
      <c r="I83" s="433"/>
      <c r="J83" s="433"/>
      <c r="K83" s="433"/>
      <c r="L83" s="433"/>
      <c r="M83" s="433"/>
      <c r="N83" s="433"/>
      <c r="O83" s="433"/>
      <c r="P83" s="433"/>
      <c r="Q83" s="433"/>
      <c r="R83" s="433"/>
      <c r="S83" s="433"/>
      <c r="T83" s="433"/>
      <c r="U83" s="433"/>
      <c r="V83" s="433"/>
      <c r="W83" s="433"/>
      <c r="X83" s="433"/>
      <c r="Y83" s="433"/>
      <c r="Z83" s="343"/>
      <c r="AA83" s="343"/>
      <c r="AB83" s="343"/>
      <c r="AC83" s="343"/>
      <c r="AD83" s="343"/>
      <c r="AE83" s="343"/>
    </row>
    <row r="84" spans="1:31" ht="18.95" customHeight="1" x14ac:dyDescent="0.2">
      <c r="A84" s="433"/>
      <c r="B84" s="433"/>
      <c r="C84" s="433"/>
      <c r="D84" s="433"/>
      <c r="E84" s="433"/>
      <c r="F84" s="433"/>
      <c r="G84" s="433"/>
      <c r="H84" s="433"/>
      <c r="I84" s="433"/>
      <c r="J84" s="433"/>
      <c r="K84" s="433"/>
      <c r="L84" s="433"/>
      <c r="M84" s="433"/>
      <c r="N84" s="433"/>
      <c r="O84" s="433"/>
      <c r="P84" s="433"/>
      <c r="Q84" s="433"/>
      <c r="R84" s="433"/>
      <c r="S84" s="433"/>
      <c r="T84" s="433"/>
      <c r="U84" s="433"/>
      <c r="V84" s="433"/>
      <c r="W84" s="433"/>
      <c r="X84" s="433"/>
      <c r="Y84" s="433"/>
      <c r="Z84" s="343"/>
      <c r="AA84" s="343"/>
      <c r="AB84" s="343"/>
      <c r="AC84" s="343"/>
      <c r="AD84" s="343"/>
      <c r="AE84" s="343"/>
    </row>
    <row r="85" spans="1:31" ht="18.95" customHeight="1" x14ac:dyDescent="0.2">
      <c r="A85" s="433"/>
      <c r="B85" s="433"/>
      <c r="C85" s="433"/>
      <c r="D85" s="433"/>
      <c r="E85" s="433"/>
      <c r="F85" s="433"/>
      <c r="G85" s="433"/>
      <c r="H85" s="433"/>
      <c r="I85" s="433"/>
      <c r="J85" s="433"/>
      <c r="K85" s="433"/>
      <c r="L85" s="433"/>
      <c r="M85" s="433"/>
      <c r="N85" s="433"/>
      <c r="O85" s="433"/>
      <c r="P85" s="433"/>
      <c r="Q85" s="433"/>
      <c r="R85" s="433"/>
      <c r="S85" s="433"/>
      <c r="T85" s="433"/>
      <c r="U85" s="433"/>
      <c r="V85" s="433"/>
      <c r="W85" s="433"/>
      <c r="X85" s="433"/>
      <c r="Y85" s="433"/>
      <c r="Z85" s="343"/>
      <c r="AA85" s="343"/>
      <c r="AB85" s="343"/>
      <c r="AC85" s="343"/>
      <c r="AD85" s="343"/>
      <c r="AE85" s="343"/>
    </row>
    <row r="86" spans="1:31" ht="18.95" customHeight="1" x14ac:dyDescent="0.2">
      <c r="A86" s="433"/>
      <c r="B86" s="433"/>
      <c r="C86" s="433"/>
      <c r="D86" s="433"/>
      <c r="E86" s="433"/>
      <c r="F86" s="433"/>
      <c r="G86" s="433"/>
      <c r="H86" s="433"/>
      <c r="I86" s="433"/>
      <c r="J86" s="433"/>
      <c r="K86" s="433"/>
      <c r="L86" s="433"/>
      <c r="M86" s="433"/>
      <c r="N86" s="433"/>
      <c r="O86" s="433"/>
      <c r="P86" s="433"/>
      <c r="Q86" s="433"/>
      <c r="R86" s="433"/>
      <c r="S86" s="433"/>
      <c r="T86" s="433"/>
      <c r="U86" s="433"/>
      <c r="V86" s="433"/>
      <c r="W86" s="433"/>
      <c r="X86" s="433"/>
      <c r="Y86" s="433"/>
      <c r="Z86" s="343"/>
      <c r="AA86" s="343"/>
      <c r="AB86" s="343"/>
      <c r="AC86" s="343"/>
      <c r="AD86" s="343"/>
      <c r="AE86" s="343"/>
    </row>
    <row r="87" spans="1:31" ht="18.95" customHeight="1" x14ac:dyDescent="0.2">
      <c r="A87" s="433"/>
      <c r="B87" s="433"/>
      <c r="C87" s="433"/>
      <c r="D87" s="433"/>
      <c r="E87" s="433"/>
      <c r="F87" s="433"/>
      <c r="G87" s="433"/>
      <c r="H87" s="433"/>
      <c r="I87" s="433"/>
      <c r="J87" s="433"/>
      <c r="K87" s="433"/>
      <c r="L87" s="433"/>
      <c r="M87" s="433"/>
      <c r="N87" s="433"/>
      <c r="O87" s="433"/>
      <c r="P87" s="433"/>
      <c r="Q87" s="433"/>
      <c r="R87" s="433"/>
      <c r="S87" s="433"/>
      <c r="T87" s="433"/>
      <c r="U87" s="433"/>
      <c r="V87" s="433"/>
      <c r="W87" s="433"/>
      <c r="X87" s="433"/>
      <c r="Y87" s="433"/>
      <c r="Z87" s="343"/>
      <c r="AA87" s="343"/>
      <c r="AB87" s="343"/>
      <c r="AC87" s="343"/>
      <c r="AD87" s="343"/>
      <c r="AE87" s="343"/>
    </row>
    <row r="88" spans="1:31" ht="18.95" customHeight="1" x14ac:dyDescent="0.2">
      <c r="A88" s="433"/>
      <c r="B88" s="433"/>
      <c r="C88" s="433"/>
      <c r="D88" s="433"/>
      <c r="E88" s="433"/>
      <c r="F88" s="433"/>
      <c r="G88" s="433"/>
      <c r="H88" s="433"/>
      <c r="I88" s="433"/>
      <c r="J88" s="433"/>
      <c r="K88" s="433"/>
      <c r="L88" s="433"/>
      <c r="M88" s="433"/>
      <c r="N88" s="433"/>
      <c r="O88" s="433"/>
      <c r="P88" s="433"/>
      <c r="Q88" s="433"/>
      <c r="R88" s="433"/>
      <c r="S88" s="433"/>
      <c r="T88" s="433"/>
      <c r="U88" s="433"/>
      <c r="V88" s="433"/>
      <c r="W88" s="433"/>
      <c r="X88" s="433"/>
      <c r="Y88" s="433"/>
    </row>
    <row r="89" spans="1:31" ht="18.95" customHeight="1" x14ac:dyDescent="0.2">
      <c r="A89" s="433"/>
      <c r="B89" s="433"/>
      <c r="C89" s="433"/>
      <c r="D89" s="433"/>
      <c r="E89" s="433"/>
      <c r="F89" s="433"/>
      <c r="G89" s="433"/>
      <c r="H89" s="433"/>
      <c r="I89" s="433"/>
      <c r="J89" s="433"/>
      <c r="K89" s="433"/>
      <c r="L89" s="433"/>
      <c r="M89" s="433"/>
      <c r="N89" s="433"/>
      <c r="O89" s="433"/>
      <c r="P89" s="433"/>
      <c r="Q89" s="433"/>
      <c r="R89" s="433"/>
      <c r="S89" s="433"/>
      <c r="T89" s="433"/>
      <c r="U89" s="433"/>
      <c r="V89" s="433"/>
      <c r="W89" s="433"/>
      <c r="X89" s="433"/>
      <c r="Y89" s="433"/>
    </row>
    <row r="90" spans="1:31" ht="18.95" customHeight="1" x14ac:dyDescent="0.2">
      <c r="A90" s="433"/>
      <c r="B90" s="433"/>
      <c r="C90" s="433"/>
      <c r="D90" s="433"/>
      <c r="E90" s="433"/>
      <c r="F90" s="433"/>
      <c r="G90" s="433"/>
      <c r="H90" s="433"/>
      <c r="I90" s="433"/>
      <c r="J90" s="433"/>
      <c r="K90" s="433"/>
      <c r="L90" s="433"/>
      <c r="M90" s="433"/>
      <c r="N90" s="433"/>
      <c r="O90" s="433"/>
      <c r="P90" s="433"/>
      <c r="Q90" s="433"/>
      <c r="R90" s="433"/>
      <c r="S90" s="433"/>
      <c r="T90" s="433"/>
      <c r="U90" s="433"/>
      <c r="V90" s="433"/>
      <c r="W90" s="433"/>
      <c r="X90" s="433"/>
      <c r="Y90" s="433"/>
    </row>
    <row r="91" spans="1:31" ht="18.95" customHeight="1" x14ac:dyDescent="0.2">
      <c r="A91" s="433"/>
      <c r="B91" s="433"/>
      <c r="C91" s="433"/>
      <c r="D91" s="433"/>
      <c r="E91" s="433"/>
      <c r="F91" s="433"/>
      <c r="G91" s="433"/>
      <c r="H91" s="433"/>
      <c r="I91" s="433"/>
      <c r="J91" s="433"/>
      <c r="K91" s="433"/>
      <c r="L91" s="433"/>
      <c r="M91" s="433"/>
      <c r="N91" s="433"/>
      <c r="O91" s="433"/>
      <c r="P91" s="433"/>
      <c r="Q91" s="433"/>
      <c r="R91" s="433"/>
      <c r="S91" s="433"/>
      <c r="T91" s="433"/>
      <c r="U91" s="433"/>
      <c r="V91" s="433"/>
      <c r="W91" s="433"/>
      <c r="X91" s="433"/>
      <c r="Y91" s="433"/>
    </row>
    <row r="92" spans="1:31" ht="12.75" customHeight="1" x14ac:dyDescent="0.25">
      <c r="A92" s="96"/>
    </row>
    <row r="93" spans="1:31" ht="12.75" customHeight="1" x14ac:dyDescent="0.2">
      <c r="A93" s="434" t="s">
        <v>50</v>
      </c>
    </row>
    <row r="94" spans="1:31" ht="12.75" customHeight="1" x14ac:dyDescent="0.2">
      <c r="A94" s="435"/>
    </row>
    <row r="95" spans="1:31" ht="12.75" customHeight="1" x14ac:dyDescent="0.2">
      <c r="A95" s="435"/>
    </row>
    <row r="96" spans="1:31" ht="249.75" customHeight="1" x14ac:dyDescent="0.2">
      <c r="A96" s="97"/>
    </row>
    <row r="97" spans="1:1" x14ac:dyDescent="0.2">
      <c r="A97" s="98"/>
    </row>
    <row r="98" spans="1:1" x14ac:dyDescent="0.2">
      <c r="A98" s="98"/>
    </row>
    <row r="99" spans="1:1" x14ac:dyDescent="0.2">
      <c r="A99" s="98"/>
    </row>
    <row r="100" spans="1:1" x14ac:dyDescent="0.2">
      <c r="A100" s="98"/>
    </row>
    <row r="101" spans="1:1" x14ac:dyDescent="0.2">
      <c r="A101" s="98"/>
    </row>
    <row r="102" spans="1:1" x14ac:dyDescent="0.2">
      <c r="A102" s="98"/>
    </row>
    <row r="103" spans="1:1" x14ac:dyDescent="0.2">
      <c r="A103" s="98"/>
    </row>
    <row r="138" spans="6:15" x14ac:dyDescent="0.2">
      <c r="J138" s="3" t="s">
        <v>51</v>
      </c>
      <c r="K138" s="3" t="s">
        <v>52</v>
      </c>
    </row>
    <row r="139" spans="6:15" s="99" customFormat="1" x14ac:dyDescent="0.2">
      <c r="F139" s="99">
        <v>0</v>
      </c>
      <c r="G139" s="99">
        <v>0</v>
      </c>
      <c r="H139" s="99">
        <v>0</v>
      </c>
      <c r="I139" s="99">
        <v>0</v>
      </c>
      <c r="J139" s="99">
        <v>0</v>
      </c>
      <c r="K139" s="99">
        <v>0</v>
      </c>
      <c r="L139" s="99">
        <v>0</v>
      </c>
      <c r="M139" s="99">
        <v>0</v>
      </c>
      <c r="N139" s="99" t="str">
        <f>+CONCATENATE(G139,"VEHICULO",M139)</f>
        <v>0VEHICULO0</v>
      </c>
      <c r="O139" s="302"/>
    </row>
    <row r="140" spans="6:15" s="99" customFormat="1" x14ac:dyDescent="0.2">
      <c r="F140" s="284" t="s">
        <v>230</v>
      </c>
      <c r="G140" s="284" t="s">
        <v>53</v>
      </c>
      <c r="H140" s="284" t="s">
        <v>351</v>
      </c>
      <c r="I140" s="285">
        <v>1955007</v>
      </c>
      <c r="J140" s="285" t="s">
        <v>54</v>
      </c>
      <c r="K140" s="286">
        <v>4</v>
      </c>
      <c r="L140" s="284" t="s">
        <v>55</v>
      </c>
      <c r="M140" s="284" t="s">
        <v>56</v>
      </c>
      <c r="N140" s="284" t="str">
        <f>+CONCATENATE(G140,F140)</f>
        <v>1.40m³/50m³ -15H-4OP</v>
      </c>
      <c r="O140" s="302"/>
    </row>
    <row r="141" spans="6:15" s="99" customFormat="1" x14ac:dyDescent="0.2">
      <c r="F141" s="284" t="s">
        <v>231</v>
      </c>
      <c r="G141" s="99" t="s">
        <v>57</v>
      </c>
      <c r="H141" s="284" t="s">
        <v>352</v>
      </c>
      <c r="I141" s="100">
        <v>1795972</v>
      </c>
      <c r="J141" s="100" t="s">
        <v>54</v>
      </c>
      <c r="K141" s="101">
        <v>3</v>
      </c>
      <c r="L141" s="99" t="s">
        <v>58</v>
      </c>
      <c r="M141" s="99" t="s">
        <v>56</v>
      </c>
      <c r="N141" s="99" t="str">
        <f t="shared" ref="N141:N216" si="20">+CONCATENATE(G141,F141)</f>
        <v>2.40m³/50m³ -15H-3OP</v>
      </c>
      <c r="O141" s="302"/>
    </row>
    <row r="142" spans="6:15" s="99" customFormat="1" x14ac:dyDescent="0.2">
      <c r="F142" s="99" t="s">
        <v>232</v>
      </c>
      <c r="G142" s="99" t="s">
        <v>59</v>
      </c>
      <c r="H142" s="99" t="s">
        <v>353</v>
      </c>
      <c r="I142" s="100">
        <v>1435144</v>
      </c>
      <c r="J142" s="100" t="s">
        <v>54</v>
      </c>
      <c r="K142" s="101">
        <v>2</v>
      </c>
      <c r="L142" s="99" t="s">
        <v>60</v>
      </c>
      <c r="M142" s="99" t="s">
        <v>56</v>
      </c>
      <c r="N142" s="99" t="str">
        <f t="shared" si="20"/>
        <v>3.40m³/50m³-15H-2OP</v>
      </c>
      <c r="O142" s="302"/>
    </row>
    <row r="143" spans="6:15" s="99" customFormat="1" x14ac:dyDescent="0.2">
      <c r="F143" s="99" t="s">
        <v>233</v>
      </c>
      <c r="G143" s="99" t="s">
        <v>61</v>
      </c>
      <c r="H143" s="99" t="s">
        <v>354</v>
      </c>
      <c r="I143" s="100">
        <v>942678</v>
      </c>
      <c r="J143" s="100" t="s">
        <v>54</v>
      </c>
      <c r="K143" s="101">
        <v>1</v>
      </c>
      <c r="L143" s="99" t="s">
        <v>62</v>
      </c>
      <c r="M143" s="99" t="s">
        <v>56</v>
      </c>
      <c r="N143" s="99" t="str">
        <f t="shared" si="20"/>
        <v>4.40m³/50m³-15H-1OP</v>
      </c>
      <c r="O143" s="302"/>
    </row>
    <row r="144" spans="6:15" s="99" customFormat="1" x14ac:dyDescent="0.2">
      <c r="F144" s="99" t="s">
        <v>234</v>
      </c>
      <c r="G144" s="99" t="s">
        <v>63</v>
      </c>
      <c r="H144" s="99" t="s">
        <v>355</v>
      </c>
      <c r="I144" s="100">
        <v>745988</v>
      </c>
      <c r="J144" s="100" t="s">
        <v>54</v>
      </c>
      <c r="K144" s="101">
        <v>0</v>
      </c>
      <c r="L144" s="99" t="s">
        <v>64</v>
      </c>
      <c r="M144" s="99" t="s">
        <v>56</v>
      </c>
      <c r="N144" s="99" t="str">
        <f t="shared" si="20"/>
        <v>5.40m³/50m³-15H-0OP</v>
      </c>
      <c r="O144" s="302"/>
    </row>
    <row r="145" spans="6:15" s="99" customFormat="1" x14ac:dyDescent="0.2">
      <c r="F145" s="99" t="s">
        <v>235</v>
      </c>
      <c r="G145" s="99" t="s">
        <v>65</v>
      </c>
      <c r="H145" s="99" t="s">
        <v>356</v>
      </c>
      <c r="I145" s="100">
        <v>1665773</v>
      </c>
      <c r="J145" s="100" t="s">
        <v>66</v>
      </c>
      <c r="K145" s="101">
        <v>4</v>
      </c>
      <c r="L145" s="99" t="s">
        <v>67</v>
      </c>
      <c r="M145" s="99" t="s">
        <v>56</v>
      </c>
      <c r="N145" s="99" t="str">
        <f t="shared" si="20"/>
        <v>6.40m³/50m³-9H-4OP</v>
      </c>
      <c r="O145" s="302"/>
    </row>
    <row r="146" spans="6:15" s="99" customFormat="1" x14ac:dyDescent="0.2">
      <c r="F146" s="99" t="s">
        <v>236</v>
      </c>
      <c r="G146" s="99" t="s">
        <v>68</v>
      </c>
      <c r="H146" s="99" t="s">
        <v>357</v>
      </c>
      <c r="I146" s="100">
        <v>1499814</v>
      </c>
      <c r="J146" s="100" t="s">
        <v>66</v>
      </c>
      <c r="K146" s="101">
        <v>3</v>
      </c>
      <c r="L146" s="99" t="s">
        <v>69</v>
      </c>
      <c r="M146" s="99" t="s">
        <v>56</v>
      </c>
      <c r="N146" s="99" t="str">
        <f t="shared" si="20"/>
        <v>7.40m³/50m³-9H-3OP</v>
      </c>
      <c r="O146" s="302"/>
    </row>
    <row r="147" spans="6:15" s="99" customFormat="1" x14ac:dyDescent="0.2">
      <c r="F147" s="99" t="s">
        <v>237</v>
      </c>
      <c r="G147" s="99" t="s">
        <v>70</v>
      </c>
      <c r="H147" s="99" t="s">
        <v>358</v>
      </c>
      <c r="I147" s="100">
        <v>1222505</v>
      </c>
      <c r="J147" s="100" t="s">
        <v>66</v>
      </c>
      <c r="K147" s="101">
        <v>2</v>
      </c>
      <c r="L147" s="99" t="s">
        <v>71</v>
      </c>
      <c r="M147" s="99" t="s">
        <v>56</v>
      </c>
      <c r="N147" s="99" t="str">
        <f t="shared" si="20"/>
        <v>8.40m³/50m³-9H-2OP</v>
      </c>
      <c r="O147" s="302"/>
    </row>
    <row r="148" spans="6:15" s="99" customFormat="1" x14ac:dyDescent="0.2">
      <c r="F148" s="99" t="s">
        <v>238</v>
      </c>
      <c r="G148" s="99" t="s">
        <v>72</v>
      </c>
      <c r="H148" s="99" t="s">
        <v>359</v>
      </c>
      <c r="I148" s="100">
        <v>769092</v>
      </c>
      <c r="J148" s="100" t="s">
        <v>66</v>
      </c>
      <c r="K148" s="101">
        <v>1</v>
      </c>
      <c r="L148" s="99" t="s">
        <v>73</v>
      </c>
      <c r="M148" s="99" t="s">
        <v>56</v>
      </c>
      <c r="N148" s="99" t="str">
        <f t="shared" si="20"/>
        <v>9.40m³/50m³-9H-1OP</v>
      </c>
      <c r="O148" s="302"/>
    </row>
    <row r="149" spans="6:15" s="99" customFormat="1" x14ac:dyDescent="0.2">
      <c r="F149" s="99" t="s">
        <v>239</v>
      </c>
      <c r="G149" s="99" t="s">
        <v>74</v>
      </c>
      <c r="H149" s="99" t="s">
        <v>360</v>
      </c>
      <c r="I149" s="100">
        <v>604794</v>
      </c>
      <c r="J149" s="100" t="s">
        <v>66</v>
      </c>
      <c r="K149" s="101">
        <v>0</v>
      </c>
      <c r="L149" s="99" t="s">
        <v>75</v>
      </c>
      <c r="M149" s="99" t="s">
        <v>56</v>
      </c>
      <c r="N149" s="99" t="str">
        <f t="shared" si="20"/>
        <v>10.40m³/50m³-9H-0OP</v>
      </c>
      <c r="O149" s="302"/>
    </row>
    <row r="150" spans="6:15" s="99" customFormat="1" x14ac:dyDescent="0.2">
      <c r="F150" s="99" t="s">
        <v>240</v>
      </c>
      <c r="G150" s="99" t="s">
        <v>76</v>
      </c>
      <c r="H150" s="99" t="s">
        <v>361</v>
      </c>
      <c r="I150" s="100">
        <v>1382917</v>
      </c>
      <c r="J150" s="100" t="s">
        <v>77</v>
      </c>
      <c r="K150" s="101">
        <v>4</v>
      </c>
      <c r="L150" s="99" t="s">
        <v>78</v>
      </c>
      <c r="M150" s="99" t="s">
        <v>56</v>
      </c>
      <c r="N150" s="99" t="str">
        <f t="shared" si="20"/>
        <v>11.40m³/50m³-4H-4OP</v>
      </c>
      <c r="O150" s="302"/>
    </row>
    <row r="151" spans="6:15" s="99" customFormat="1" x14ac:dyDescent="0.2">
      <c r="F151" s="99" t="s">
        <v>241</v>
      </c>
      <c r="G151" s="99" t="s">
        <v>79</v>
      </c>
      <c r="H151" s="99" t="s">
        <v>362</v>
      </c>
      <c r="I151" s="100">
        <v>1230935</v>
      </c>
      <c r="J151" s="100" t="s">
        <v>77</v>
      </c>
      <c r="K151" s="101">
        <v>3</v>
      </c>
      <c r="L151" s="99" t="s">
        <v>80</v>
      </c>
      <c r="M151" s="99" t="s">
        <v>56</v>
      </c>
      <c r="N151" s="99" t="str">
        <f t="shared" si="20"/>
        <v>12.40m³/50m³-4H-3OP</v>
      </c>
      <c r="O151" s="302"/>
    </row>
    <row r="152" spans="6:15" s="99" customFormat="1" x14ac:dyDescent="0.2">
      <c r="F152" s="99" t="s">
        <v>242</v>
      </c>
      <c r="G152" s="99" t="s">
        <v>81</v>
      </c>
      <c r="H152" s="99" t="s">
        <v>363</v>
      </c>
      <c r="I152" s="100">
        <v>1081630</v>
      </c>
      <c r="J152" s="100" t="s">
        <v>77</v>
      </c>
      <c r="K152" s="101">
        <v>2</v>
      </c>
      <c r="L152" s="99" t="s">
        <v>82</v>
      </c>
      <c r="M152" s="99" t="s">
        <v>56</v>
      </c>
      <c r="N152" s="99" t="str">
        <f t="shared" si="20"/>
        <v>13.40m³/50m³-4H-2OP</v>
      </c>
      <c r="O152" s="302"/>
    </row>
    <row r="153" spans="6:15" s="99" customFormat="1" x14ac:dyDescent="0.2">
      <c r="F153" s="99" t="s">
        <v>243</v>
      </c>
      <c r="G153" s="99" t="s">
        <v>83</v>
      </c>
      <c r="H153" s="99" t="s">
        <v>364</v>
      </c>
      <c r="I153" s="100">
        <v>575460</v>
      </c>
      <c r="J153" s="100" t="s">
        <v>77</v>
      </c>
      <c r="K153" s="101">
        <v>1</v>
      </c>
      <c r="L153" s="99" t="s">
        <v>84</v>
      </c>
      <c r="M153" s="99" t="s">
        <v>56</v>
      </c>
      <c r="N153" s="99" t="str">
        <f t="shared" si="20"/>
        <v>14.40m³/50m³-4H-1OP</v>
      </c>
      <c r="O153" s="302"/>
    </row>
    <row r="154" spans="6:15" s="99" customFormat="1" x14ac:dyDescent="0.2">
      <c r="F154" s="99" t="s">
        <v>244</v>
      </c>
      <c r="G154" s="99" t="s">
        <v>85</v>
      </c>
      <c r="H154" s="99" t="s">
        <v>365</v>
      </c>
      <c r="I154" s="100">
        <v>477806</v>
      </c>
      <c r="J154" s="100" t="s">
        <v>77</v>
      </c>
      <c r="K154" s="101">
        <v>0</v>
      </c>
      <c r="L154" s="99" t="s">
        <v>86</v>
      </c>
      <c r="M154" s="99" t="s">
        <v>56</v>
      </c>
      <c r="N154" s="99" t="str">
        <f t="shared" si="20"/>
        <v>15.40m³50m³-4H-0OP</v>
      </c>
      <c r="O154" s="302"/>
    </row>
    <row r="155" spans="6:15" s="99" customFormat="1" x14ac:dyDescent="0.2">
      <c r="F155" s="99" t="s">
        <v>87</v>
      </c>
      <c r="G155" s="99" t="s">
        <v>88</v>
      </c>
      <c r="H155" s="99" t="s">
        <v>366</v>
      </c>
      <c r="I155" s="100">
        <v>1691890</v>
      </c>
      <c r="J155" s="100" t="s">
        <v>54</v>
      </c>
      <c r="K155" s="101">
        <v>4</v>
      </c>
      <c r="L155" s="99" t="s">
        <v>89</v>
      </c>
      <c r="M155" s="99" t="s">
        <v>56</v>
      </c>
      <c r="N155" s="99" t="str">
        <f t="shared" si="20"/>
        <v>16.25m³-15H-4OP</v>
      </c>
      <c r="O155" s="302"/>
    </row>
    <row r="156" spans="6:15" s="99" customFormat="1" x14ac:dyDescent="0.2">
      <c r="F156" s="99" t="s">
        <v>90</v>
      </c>
      <c r="G156" s="99" t="s">
        <v>91</v>
      </c>
      <c r="H156" s="99" t="s">
        <v>367</v>
      </c>
      <c r="I156" s="100">
        <v>1505234</v>
      </c>
      <c r="J156" s="100" t="s">
        <v>54</v>
      </c>
      <c r="K156" s="101">
        <v>3</v>
      </c>
      <c r="L156" s="99" t="s">
        <v>92</v>
      </c>
      <c r="M156" s="99" t="s">
        <v>56</v>
      </c>
      <c r="N156" s="99" t="str">
        <f t="shared" si="20"/>
        <v>17.25m³-15H-3OP</v>
      </c>
      <c r="O156" s="302"/>
    </row>
    <row r="157" spans="6:15" s="99" customFormat="1" x14ac:dyDescent="0.2">
      <c r="F157" s="99" t="s">
        <v>93</v>
      </c>
      <c r="G157" s="99" t="s">
        <v>94</v>
      </c>
      <c r="H157" s="99" t="s">
        <v>368</v>
      </c>
      <c r="I157" s="100">
        <v>1308251</v>
      </c>
      <c r="J157" s="100" t="s">
        <v>54</v>
      </c>
      <c r="K157" s="101">
        <v>2</v>
      </c>
      <c r="L157" s="99" t="s">
        <v>95</v>
      </c>
      <c r="M157" s="99" t="s">
        <v>56</v>
      </c>
      <c r="N157" s="99" t="str">
        <f t="shared" si="20"/>
        <v>18.25m³-15H-2OP</v>
      </c>
      <c r="O157" s="302"/>
    </row>
    <row r="158" spans="6:15" s="99" customFormat="1" x14ac:dyDescent="0.2">
      <c r="F158" s="99" t="s">
        <v>96</v>
      </c>
      <c r="G158" s="99" t="s">
        <v>97</v>
      </c>
      <c r="H158" s="99" t="s">
        <v>369</v>
      </c>
      <c r="I158" s="100">
        <v>1097977</v>
      </c>
      <c r="J158" s="100" t="s">
        <v>54</v>
      </c>
      <c r="K158" s="101">
        <v>1</v>
      </c>
      <c r="L158" s="99" t="s">
        <v>98</v>
      </c>
      <c r="M158" s="99" t="s">
        <v>56</v>
      </c>
      <c r="N158" s="99" t="str">
        <f t="shared" si="20"/>
        <v>19.25m³-15H-1OP</v>
      </c>
      <c r="O158" s="302"/>
    </row>
    <row r="159" spans="6:15" s="99" customFormat="1" x14ac:dyDescent="0.2">
      <c r="F159" s="99" t="s">
        <v>99</v>
      </c>
      <c r="G159" s="99" t="s">
        <v>100</v>
      </c>
      <c r="H159" s="99" t="s">
        <v>370</v>
      </c>
      <c r="I159" s="100">
        <v>861675</v>
      </c>
      <c r="J159" s="100" t="s">
        <v>54</v>
      </c>
      <c r="K159" s="101">
        <v>0</v>
      </c>
      <c r="L159" s="99" t="s">
        <v>101</v>
      </c>
      <c r="M159" s="99" t="s">
        <v>56</v>
      </c>
      <c r="N159" s="99" t="str">
        <f t="shared" si="20"/>
        <v>20.25m³-15H-0OP</v>
      </c>
      <c r="O159" s="302"/>
    </row>
    <row r="160" spans="6:15" s="99" customFormat="1" x14ac:dyDescent="0.2">
      <c r="F160" s="99" t="s">
        <v>102</v>
      </c>
      <c r="G160" s="99" t="s">
        <v>103</v>
      </c>
      <c r="H160" s="99" t="s">
        <v>371</v>
      </c>
      <c r="I160" s="100">
        <v>1457200</v>
      </c>
      <c r="J160" s="100" t="s">
        <v>66</v>
      </c>
      <c r="K160" s="101">
        <v>4</v>
      </c>
      <c r="L160" s="99" t="s">
        <v>104</v>
      </c>
      <c r="M160" s="99" t="s">
        <v>56</v>
      </c>
      <c r="N160" s="99" t="str">
        <f t="shared" si="20"/>
        <v>21.25m³-9H-4OP</v>
      </c>
      <c r="O160" s="302"/>
    </row>
    <row r="161" spans="6:15" s="99" customFormat="1" x14ac:dyDescent="0.2">
      <c r="F161" s="99" t="s">
        <v>105</v>
      </c>
      <c r="G161" s="99" t="s">
        <v>106</v>
      </c>
      <c r="H161" s="99" t="s">
        <v>372</v>
      </c>
      <c r="I161" s="100">
        <v>1312665</v>
      </c>
      <c r="J161" s="100" t="s">
        <v>66</v>
      </c>
      <c r="K161" s="101">
        <v>3</v>
      </c>
      <c r="L161" s="99" t="s">
        <v>107</v>
      </c>
      <c r="M161" s="99" t="s">
        <v>56</v>
      </c>
      <c r="N161" s="99" t="str">
        <f t="shared" si="20"/>
        <v>22.25m³-9H-3OP</v>
      </c>
      <c r="O161" s="302"/>
    </row>
    <row r="162" spans="6:15" s="99" customFormat="1" x14ac:dyDescent="0.2">
      <c r="F162" s="99" t="s">
        <v>108</v>
      </c>
      <c r="G162" s="99" t="s">
        <v>109</v>
      </c>
      <c r="H162" s="99" t="s">
        <v>373</v>
      </c>
      <c r="I162" s="100">
        <v>1175229</v>
      </c>
      <c r="J162" s="100" t="s">
        <v>66</v>
      </c>
      <c r="K162" s="101">
        <v>2</v>
      </c>
      <c r="L162" s="99" t="s">
        <v>110</v>
      </c>
      <c r="M162" s="99" t="s">
        <v>56</v>
      </c>
      <c r="N162" s="99" t="str">
        <f t="shared" si="20"/>
        <v>23.25m³-9H-2OP</v>
      </c>
      <c r="O162" s="302"/>
    </row>
    <row r="163" spans="6:15" s="99" customFormat="1" x14ac:dyDescent="0.2">
      <c r="F163" s="99" t="s">
        <v>111</v>
      </c>
      <c r="G163" s="99" t="s">
        <v>112</v>
      </c>
      <c r="H163" s="99" t="s">
        <v>374</v>
      </c>
      <c r="I163" s="100">
        <v>873501</v>
      </c>
      <c r="J163" s="100" t="s">
        <v>66</v>
      </c>
      <c r="K163" s="101">
        <v>1</v>
      </c>
      <c r="L163" s="99" t="s">
        <v>113</v>
      </c>
      <c r="M163" s="99" t="s">
        <v>56</v>
      </c>
      <c r="N163" s="99" t="str">
        <f t="shared" si="20"/>
        <v>24.25m³-9H-1OP</v>
      </c>
      <c r="O163" s="302"/>
    </row>
    <row r="164" spans="6:15" s="99" customFormat="1" x14ac:dyDescent="0.2">
      <c r="F164" s="99" t="s">
        <v>114</v>
      </c>
      <c r="G164" s="99" t="s">
        <v>115</v>
      </c>
      <c r="H164" s="99" t="s">
        <v>375</v>
      </c>
      <c r="I164" s="100">
        <v>530672</v>
      </c>
      <c r="J164" s="100" t="s">
        <v>66</v>
      </c>
      <c r="K164" s="101">
        <v>0</v>
      </c>
      <c r="L164" s="99" t="s">
        <v>116</v>
      </c>
      <c r="M164" s="99" t="s">
        <v>56</v>
      </c>
      <c r="N164" s="99" t="str">
        <f t="shared" si="20"/>
        <v>25.25m³-9H-0OP</v>
      </c>
      <c r="O164" s="302"/>
    </row>
    <row r="165" spans="6:15" s="99" customFormat="1" x14ac:dyDescent="0.2">
      <c r="F165" s="99" t="s">
        <v>117</v>
      </c>
      <c r="G165" s="99" t="s">
        <v>118</v>
      </c>
      <c r="H165" s="99" t="s">
        <v>376</v>
      </c>
      <c r="I165" s="100">
        <v>1031685</v>
      </c>
      <c r="J165" s="100" t="s">
        <v>77</v>
      </c>
      <c r="K165" s="101">
        <v>4</v>
      </c>
      <c r="L165" s="99" t="s">
        <v>119</v>
      </c>
      <c r="M165" s="99" t="s">
        <v>56</v>
      </c>
      <c r="N165" s="99" t="str">
        <f t="shared" si="20"/>
        <v>26.25m³-4H-4OP</v>
      </c>
      <c r="O165" s="302"/>
    </row>
    <row r="166" spans="6:15" s="99" customFormat="1" x14ac:dyDescent="0.2">
      <c r="F166" s="99" t="s">
        <v>120</v>
      </c>
      <c r="G166" s="99" t="s">
        <v>121</v>
      </c>
      <c r="H166" s="99" t="s">
        <v>377</v>
      </c>
      <c r="I166" s="100">
        <v>1092868</v>
      </c>
      <c r="J166" s="100" t="s">
        <v>77</v>
      </c>
      <c r="K166" s="101">
        <v>3</v>
      </c>
      <c r="L166" s="99" t="s">
        <v>122</v>
      </c>
      <c r="M166" s="99" t="s">
        <v>56</v>
      </c>
      <c r="N166" s="99" t="str">
        <f t="shared" si="20"/>
        <v>27.25m³-4H-3OP</v>
      </c>
      <c r="O166" s="302"/>
    </row>
    <row r="167" spans="6:15" s="99" customFormat="1" x14ac:dyDescent="0.2">
      <c r="F167" s="99" t="s">
        <v>123</v>
      </c>
      <c r="G167" s="99" t="s">
        <v>124</v>
      </c>
      <c r="H167" s="99" t="s">
        <v>378</v>
      </c>
      <c r="I167" s="100">
        <v>961567</v>
      </c>
      <c r="J167" s="100" t="s">
        <v>77</v>
      </c>
      <c r="K167" s="101">
        <v>2</v>
      </c>
      <c r="L167" s="99" t="s">
        <v>125</v>
      </c>
      <c r="M167" s="99" t="s">
        <v>56</v>
      </c>
      <c r="N167" s="99" t="str">
        <f t="shared" si="20"/>
        <v>28.25m³-4H-2OP</v>
      </c>
      <c r="O167" s="302"/>
    </row>
    <row r="168" spans="6:15" s="99" customFormat="1" x14ac:dyDescent="0.2">
      <c r="F168" s="99" t="s">
        <v>126</v>
      </c>
      <c r="G168" s="99" t="s">
        <v>127</v>
      </c>
      <c r="H168" s="99" t="s">
        <v>379</v>
      </c>
      <c r="I168" s="100">
        <v>463364</v>
      </c>
      <c r="J168" s="100" t="s">
        <v>77</v>
      </c>
      <c r="K168" s="101">
        <v>1</v>
      </c>
      <c r="L168" s="99" t="s">
        <v>128</v>
      </c>
      <c r="M168" s="99" t="s">
        <v>56</v>
      </c>
      <c r="N168" s="99" t="str">
        <f t="shared" si="20"/>
        <v>29.25m³-4H-1OP</v>
      </c>
      <c r="O168" s="302"/>
    </row>
    <row r="169" spans="6:15" s="99" customFormat="1" x14ac:dyDescent="0.2">
      <c r="F169" s="99" t="s">
        <v>129</v>
      </c>
      <c r="G169" s="99" t="s">
        <v>130</v>
      </c>
      <c r="H169" s="99" t="s">
        <v>380</v>
      </c>
      <c r="I169" s="100">
        <v>429635</v>
      </c>
      <c r="J169" s="100" t="s">
        <v>77</v>
      </c>
      <c r="K169" s="101">
        <v>0</v>
      </c>
      <c r="L169" s="99" t="s">
        <v>131</v>
      </c>
      <c r="M169" s="99" t="s">
        <v>56</v>
      </c>
      <c r="N169" s="99" t="str">
        <f t="shared" si="20"/>
        <v>30.25m³-4H-0OP</v>
      </c>
      <c r="O169" s="302"/>
    </row>
    <row r="170" spans="6:15" s="99" customFormat="1" x14ac:dyDescent="0.2">
      <c r="F170" s="99" t="s">
        <v>132</v>
      </c>
      <c r="G170" s="99" t="s">
        <v>133</v>
      </c>
      <c r="H170" s="99" t="s">
        <v>394</v>
      </c>
      <c r="I170" s="100">
        <v>1019917</v>
      </c>
      <c r="J170" s="100" t="s">
        <v>54</v>
      </c>
      <c r="K170" s="101">
        <v>0</v>
      </c>
      <c r="L170" s="99" t="s">
        <v>134</v>
      </c>
      <c r="M170" s="99" t="s">
        <v>56</v>
      </c>
      <c r="N170" s="99" t="str">
        <f t="shared" si="20"/>
        <v>31.FURGON-15H</v>
      </c>
      <c r="O170" s="302"/>
    </row>
    <row r="171" spans="6:15" s="99" customFormat="1" x14ac:dyDescent="0.2">
      <c r="F171" s="99" t="s">
        <v>132</v>
      </c>
      <c r="G171" s="99" t="s">
        <v>136</v>
      </c>
      <c r="H171" s="99" t="s">
        <v>395</v>
      </c>
      <c r="I171" s="100">
        <v>832623</v>
      </c>
      <c r="J171" s="100" t="s">
        <v>54</v>
      </c>
      <c r="K171" s="101">
        <v>0</v>
      </c>
      <c r="L171" s="99" t="s">
        <v>134</v>
      </c>
      <c r="M171" s="99" t="s">
        <v>56</v>
      </c>
      <c r="N171" s="99" t="str">
        <f t="shared" si="20"/>
        <v>32.FURGON-15H</v>
      </c>
      <c r="O171" s="302"/>
    </row>
    <row r="172" spans="6:15" s="99" customFormat="1" x14ac:dyDescent="0.2">
      <c r="F172" s="99" t="s">
        <v>132</v>
      </c>
      <c r="G172" s="99" t="s">
        <v>139</v>
      </c>
      <c r="H172" s="99" t="s">
        <v>396</v>
      </c>
      <c r="I172" s="100">
        <v>557356</v>
      </c>
      <c r="J172" s="100" t="s">
        <v>54</v>
      </c>
      <c r="K172" s="101">
        <v>0</v>
      </c>
      <c r="L172" s="99" t="s">
        <v>134</v>
      </c>
      <c r="M172" s="99" t="s">
        <v>56</v>
      </c>
      <c r="N172" s="99" t="str">
        <f t="shared" si="20"/>
        <v>33.FURGON-15H</v>
      </c>
      <c r="O172" s="302"/>
    </row>
    <row r="173" spans="6:15" s="99" customFormat="1" x14ac:dyDescent="0.2">
      <c r="F173" s="99" t="s">
        <v>135</v>
      </c>
      <c r="G173" s="99" t="s">
        <v>142</v>
      </c>
      <c r="H173" s="99" t="s">
        <v>397</v>
      </c>
      <c r="I173" s="100">
        <v>827118</v>
      </c>
      <c r="J173" s="100" t="s">
        <v>66</v>
      </c>
      <c r="K173" s="101">
        <v>0</v>
      </c>
      <c r="L173" s="99" t="s">
        <v>137</v>
      </c>
      <c r="M173" s="99" t="s">
        <v>56</v>
      </c>
      <c r="N173" s="99" t="str">
        <f t="shared" si="20"/>
        <v>34.FURGON-9H</v>
      </c>
      <c r="O173" s="302"/>
    </row>
    <row r="174" spans="6:15" s="99" customFormat="1" x14ac:dyDescent="0.2">
      <c r="F174" s="99" t="s">
        <v>135</v>
      </c>
      <c r="G174" s="99" t="s">
        <v>145</v>
      </c>
      <c r="H174" s="99" t="s">
        <v>398</v>
      </c>
      <c r="I174" s="100">
        <v>728949</v>
      </c>
      <c r="J174" s="100" t="s">
        <v>66</v>
      </c>
      <c r="K174" s="101">
        <v>0</v>
      </c>
      <c r="L174" s="99" t="s">
        <v>137</v>
      </c>
      <c r="M174" s="99" t="s">
        <v>56</v>
      </c>
      <c r="N174" s="99" t="str">
        <f t="shared" si="20"/>
        <v>35.FURGON-9H</v>
      </c>
      <c r="O174" s="302"/>
    </row>
    <row r="175" spans="6:15" s="99" customFormat="1" x14ac:dyDescent="0.2">
      <c r="F175" s="99" t="s">
        <v>135</v>
      </c>
      <c r="G175" s="99" t="s">
        <v>148</v>
      </c>
      <c r="H175" s="99" t="s">
        <v>399</v>
      </c>
      <c r="I175" s="100">
        <v>481858</v>
      </c>
      <c r="J175" s="100" t="s">
        <v>66</v>
      </c>
      <c r="K175" s="101">
        <v>0</v>
      </c>
      <c r="L175" s="99" t="s">
        <v>137</v>
      </c>
      <c r="M175" s="99" t="s">
        <v>56</v>
      </c>
      <c r="N175" s="99" t="str">
        <f t="shared" si="20"/>
        <v>36.FURGON-9H</v>
      </c>
      <c r="O175" s="302"/>
    </row>
    <row r="176" spans="6:15" s="99" customFormat="1" x14ac:dyDescent="0.2">
      <c r="F176" s="99" t="s">
        <v>138</v>
      </c>
      <c r="G176" s="99" t="s">
        <v>151</v>
      </c>
      <c r="H176" s="99" t="s">
        <v>400</v>
      </c>
      <c r="I176" s="100">
        <v>554324</v>
      </c>
      <c r="J176" s="100" t="s">
        <v>77</v>
      </c>
      <c r="K176" s="101">
        <v>0</v>
      </c>
      <c r="L176" s="99" t="s">
        <v>140</v>
      </c>
      <c r="M176" s="99" t="s">
        <v>56</v>
      </c>
      <c r="N176" s="99" t="str">
        <f t="shared" si="20"/>
        <v>37.FURGON-4H</v>
      </c>
      <c r="O176" s="302"/>
    </row>
    <row r="177" spans="6:15" s="99" customFormat="1" x14ac:dyDescent="0.2">
      <c r="F177" s="99" t="s">
        <v>138</v>
      </c>
      <c r="G177" s="99" t="s">
        <v>154</v>
      </c>
      <c r="H177" s="99" t="s">
        <v>401</v>
      </c>
      <c r="I177" s="100">
        <v>576161</v>
      </c>
      <c r="J177" s="100" t="s">
        <v>77</v>
      </c>
      <c r="K177" s="101">
        <v>0</v>
      </c>
      <c r="L177" s="99" t="s">
        <v>140</v>
      </c>
      <c r="M177" s="99" t="s">
        <v>56</v>
      </c>
      <c r="N177" s="99" t="str">
        <f t="shared" si="20"/>
        <v>38.FURGON-4H</v>
      </c>
      <c r="O177" s="302"/>
    </row>
    <row r="178" spans="6:15" s="99" customFormat="1" x14ac:dyDescent="0.2">
      <c r="F178" s="99" t="s">
        <v>138</v>
      </c>
      <c r="G178" s="99" t="s">
        <v>158</v>
      </c>
      <c r="H178" s="99" t="s">
        <v>402</v>
      </c>
      <c r="I178" s="100">
        <v>345698</v>
      </c>
      <c r="J178" s="100" t="s">
        <v>77</v>
      </c>
      <c r="K178" s="101">
        <v>0</v>
      </c>
      <c r="L178" s="99" t="s">
        <v>140</v>
      </c>
      <c r="M178" s="99" t="s">
        <v>56</v>
      </c>
      <c r="N178" s="99" t="str">
        <f t="shared" si="20"/>
        <v>39.FURGON-4H</v>
      </c>
      <c r="O178" s="302"/>
    </row>
    <row r="179" spans="6:15" s="99" customFormat="1" x14ac:dyDescent="0.2">
      <c r="F179" s="99" t="s">
        <v>141</v>
      </c>
      <c r="G179" s="99" t="s">
        <v>161</v>
      </c>
      <c r="H179" s="99" t="s">
        <v>403</v>
      </c>
      <c r="I179" s="100">
        <v>1128712</v>
      </c>
      <c r="J179" s="100" t="s">
        <v>54</v>
      </c>
      <c r="K179" s="101">
        <v>0</v>
      </c>
      <c r="L179" s="99" t="s">
        <v>143</v>
      </c>
      <c r="M179" s="99" t="s">
        <v>56</v>
      </c>
      <c r="N179" s="99" t="str">
        <f t="shared" si="20"/>
        <v>40.4X4-15H</v>
      </c>
      <c r="O179" s="302"/>
    </row>
    <row r="180" spans="6:15" s="99" customFormat="1" x14ac:dyDescent="0.2">
      <c r="F180" s="99" t="s">
        <v>144</v>
      </c>
      <c r="G180" s="99" t="s">
        <v>163</v>
      </c>
      <c r="H180" s="99" t="s">
        <v>404</v>
      </c>
      <c r="I180" s="100">
        <v>787237</v>
      </c>
      <c r="J180" s="100" t="s">
        <v>66</v>
      </c>
      <c r="K180" s="101">
        <v>0</v>
      </c>
      <c r="L180" s="99" t="s">
        <v>146</v>
      </c>
      <c r="M180" s="99" t="s">
        <v>56</v>
      </c>
      <c r="N180" s="99" t="str">
        <f t="shared" si="20"/>
        <v>41.4X4-9H</v>
      </c>
      <c r="O180" s="302"/>
    </row>
    <row r="181" spans="6:15" s="99" customFormat="1" x14ac:dyDescent="0.2">
      <c r="F181" s="99" t="s">
        <v>147</v>
      </c>
      <c r="G181" s="99" t="s">
        <v>164</v>
      </c>
      <c r="H181" s="99" t="s">
        <v>405</v>
      </c>
      <c r="I181" s="100">
        <v>529232</v>
      </c>
      <c r="J181" s="100" t="s">
        <v>77</v>
      </c>
      <c r="K181" s="101">
        <v>0</v>
      </c>
      <c r="L181" s="99" t="s">
        <v>149</v>
      </c>
      <c r="M181" s="99" t="s">
        <v>56</v>
      </c>
      <c r="N181" s="99" t="str">
        <f t="shared" si="20"/>
        <v>42.4X4-4H</v>
      </c>
      <c r="O181" s="302"/>
    </row>
    <row r="182" spans="6:15" s="99" customFormat="1" x14ac:dyDescent="0.2">
      <c r="F182" s="99" t="s">
        <v>150</v>
      </c>
      <c r="G182" s="99" t="s">
        <v>165</v>
      </c>
      <c r="H182" s="99" t="s">
        <v>406</v>
      </c>
      <c r="I182" s="100">
        <v>939250</v>
      </c>
      <c r="J182" s="100" t="s">
        <v>54</v>
      </c>
      <c r="K182" s="101">
        <v>0</v>
      </c>
      <c r="L182" s="99" t="s">
        <v>152</v>
      </c>
      <c r="M182" s="99" t="s">
        <v>56</v>
      </c>
      <c r="N182" s="99" t="str">
        <f t="shared" si="20"/>
        <v>43.MONTACARGA-15H</v>
      </c>
      <c r="O182" s="302"/>
    </row>
    <row r="183" spans="6:15" s="99" customFormat="1" x14ac:dyDescent="0.2">
      <c r="F183" s="99" t="s">
        <v>153</v>
      </c>
      <c r="G183" s="99" t="s">
        <v>166</v>
      </c>
      <c r="H183" s="99" t="s">
        <v>407</v>
      </c>
      <c r="I183" s="100">
        <v>254150</v>
      </c>
      <c r="J183" s="100" t="s">
        <v>155</v>
      </c>
      <c r="K183" s="101">
        <v>0</v>
      </c>
      <c r="L183" s="99" t="s">
        <v>156</v>
      </c>
      <c r="M183" s="99" t="s">
        <v>56</v>
      </c>
      <c r="N183" s="99" t="str">
        <f t="shared" si="20"/>
        <v>44.MONTACARGA-1H</v>
      </c>
      <c r="O183" s="302"/>
    </row>
    <row r="184" spans="6:15" s="99" customFormat="1" x14ac:dyDescent="0.2">
      <c r="F184" s="99" t="s">
        <v>157</v>
      </c>
      <c r="G184" s="99" t="s">
        <v>167</v>
      </c>
      <c r="H184" s="99" t="s">
        <v>408</v>
      </c>
      <c r="I184" s="100">
        <v>861900</v>
      </c>
      <c r="J184" s="100" t="s">
        <v>54</v>
      </c>
      <c r="K184" s="101">
        <v>0</v>
      </c>
      <c r="L184" s="99" t="s">
        <v>159</v>
      </c>
      <c r="M184" s="99" t="s">
        <v>56</v>
      </c>
      <c r="N184" s="99" t="str">
        <f t="shared" si="20"/>
        <v>45.GRUA-15H-</v>
      </c>
      <c r="O184" s="302"/>
    </row>
    <row r="185" spans="6:15" s="99" customFormat="1" x14ac:dyDescent="0.2">
      <c r="F185" s="99" t="s">
        <v>160</v>
      </c>
      <c r="G185" s="99" t="s">
        <v>168</v>
      </c>
      <c r="H185" s="99" t="s">
        <v>409</v>
      </c>
      <c r="I185" s="100">
        <v>243100</v>
      </c>
      <c r="J185" s="100" t="s">
        <v>155</v>
      </c>
      <c r="K185" s="101">
        <v>0</v>
      </c>
      <c r="L185" s="99" t="s">
        <v>162</v>
      </c>
      <c r="M185" s="99" t="s">
        <v>56</v>
      </c>
      <c r="N185" s="99" t="str">
        <f t="shared" si="20"/>
        <v>46.GRUA-1H</v>
      </c>
      <c r="O185" s="302"/>
    </row>
    <row r="186" spans="6:15" x14ac:dyDescent="0.2">
      <c r="F186" s="99" t="s">
        <v>245</v>
      </c>
      <c r="G186" s="99" t="s">
        <v>258</v>
      </c>
      <c r="H186" s="99" t="s">
        <v>410</v>
      </c>
      <c r="I186" s="100">
        <v>283331</v>
      </c>
      <c r="J186" s="100" t="s">
        <v>155</v>
      </c>
      <c r="K186" s="101">
        <v>0</v>
      </c>
      <c r="L186" s="99" t="s">
        <v>246</v>
      </c>
      <c r="M186" s="99" t="s">
        <v>56</v>
      </c>
      <c r="N186" s="99" t="str">
        <f t="shared" si="20"/>
        <v>47.OPERARIO-15-H</v>
      </c>
    </row>
    <row r="187" spans="6:15" x14ac:dyDescent="0.2">
      <c r="F187" s="99" t="s">
        <v>247</v>
      </c>
      <c r="G187" s="99" t="s">
        <v>259</v>
      </c>
      <c r="H187" s="99" t="s">
        <v>411</v>
      </c>
      <c r="I187" s="100">
        <v>221732</v>
      </c>
      <c r="J187" s="100" t="s">
        <v>66</v>
      </c>
      <c r="K187" s="101">
        <v>0</v>
      </c>
      <c r="L187" s="99" t="s">
        <v>248</v>
      </c>
      <c r="M187" s="99" t="s">
        <v>56</v>
      </c>
      <c r="N187" s="99" t="str">
        <f t="shared" si="20"/>
        <v>48.OPERARIO-9-H</v>
      </c>
    </row>
    <row r="188" spans="6:15" x14ac:dyDescent="0.2">
      <c r="F188" s="99" t="s">
        <v>249</v>
      </c>
      <c r="G188" s="99" t="s">
        <v>260</v>
      </c>
      <c r="H188" s="99" t="s">
        <v>412</v>
      </c>
      <c r="I188" s="100">
        <v>160134</v>
      </c>
      <c r="J188" s="99" t="s">
        <v>77</v>
      </c>
      <c r="K188" s="99"/>
      <c r="L188" s="99" t="s">
        <v>250</v>
      </c>
      <c r="M188" s="99" t="s">
        <v>56</v>
      </c>
      <c r="N188" s="99" t="str">
        <f t="shared" si="20"/>
        <v>49.OPERARIO-4-H</v>
      </c>
    </row>
    <row r="189" spans="6:15" x14ac:dyDescent="0.2">
      <c r="F189" s="99" t="s">
        <v>251</v>
      </c>
      <c r="G189" s="99" t="s">
        <v>261</v>
      </c>
      <c r="H189" s="99" t="s">
        <v>413</v>
      </c>
      <c r="I189" s="100">
        <v>477011</v>
      </c>
      <c r="J189" s="99" t="s">
        <v>54</v>
      </c>
      <c r="K189" s="99"/>
      <c r="L189" s="99" t="s">
        <v>253</v>
      </c>
      <c r="M189" s="99" t="s">
        <v>56</v>
      </c>
      <c r="N189" s="99" t="str">
        <f t="shared" si="20"/>
        <v>50.COORDINADOR X DIA</v>
      </c>
    </row>
    <row r="190" spans="6:15" x14ac:dyDescent="0.2">
      <c r="F190" s="99" t="s">
        <v>252</v>
      </c>
      <c r="G190" s="99" t="s">
        <v>270</v>
      </c>
      <c r="H190" s="99" t="s">
        <v>414</v>
      </c>
      <c r="I190" s="100">
        <v>1370200</v>
      </c>
      <c r="J190" s="99" t="s">
        <v>54</v>
      </c>
      <c r="K190" s="99">
        <v>4</v>
      </c>
      <c r="L190" s="99" t="s">
        <v>254</v>
      </c>
      <c r="M190" s="99" t="s">
        <v>56</v>
      </c>
      <c r="N190" s="99" t="str">
        <f t="shared" si="20"/>
        <v>51.BOGOTA SUMAPAZ 40/50m³ 15H-4OP</v>
      </c>
    </row>
    <row r="191" spans="6:15" x14ac:dyDescent="0.2">
      <c r="F191" s="99" t="s">
        <v>256</v>
      </c>
      <c r="G191" s="99" t="s">
        <v>273</v>
      </c>
      <c r="H191" s="99" t="s">
        <v>415</v>
      </c>
      <c r="I191" s="100">
        <v>1259700</v>
      </c>
      <c r="J191" s="99" t="s">
        <v>54</v>
      </c>
      <c r="K191" s="99">
        <v>4</v>
      </c>
      <c r="L191" s="99" t="s">
        <v>255</v>
      </c>
      <c r="M191" s="99" t="s">
        <v>56</v>
      </c>
      <c r="N191" s="99" t="str">
        <f>+CONCATENATE(G191,F191)</f>
        <v>52.BOGOTA FUNZA 40/50m³ 15H-4OP</v>
      </c>
    </row>
    <row r="192" spans="6:15" x14ac:dyDescent="0.2">
      <c r="F192" s="99" t="s">
        <v>257</v>
      </c>
      <c r="G192" s="99" t="s">
        <v>276</v>
      </c>
      <c r="H192" s="99" t="s">
        <v>416</v>
      </c>
      <c r="I192" s="100">
        <v>1266330</v>
      </c>
      <c r="J192" s="100" t="s">
        <v>54</v>
      </c>
      <c r="K192" s="99">
        <v>4</v>
      </c>
      <c r="L192" s="99" t="s">
        <v>262</v>
      </c>
      <c r="M192" s="99" t="s">
        <v>56</v>
      </c>
      <c r="N192" s="99" t="str">
        <f t="shared" si="20"/>
        <v>53.BOGOTA COTA 40/50m³ 15H-4OP</v>
      </c>
    </row>
    <row r="193" spans="6:14" x14ac:dyDescent="0.2">
      <c r="F193" s="99" t="s">
        <v>263</v>
      </c>
      <c r="G193" s="99" t="s">
        <v>279</v>
      </c>
      <c r="H193" s="99" t="s">
        <v>417</v>
      </c>
      <c r="I193" s="100">
        <v>1450865</v>
      </c>
      <c r="J193" s="100" t="s">
        <v>54</v>
      </c>
      <c r="K193" s="99">
        <v>4</v>
      </c>
      <c r="L193" s="99" t="s">
        <v>264</v>
      </c>
      <c r="M193" s="99" t="s">
        <v>56</v>
      </c>
      <c r="N193" s="99" t="str">
        <f t="shared" si="20"/>
        <v>54.BOGOTA FUSA 40/50m³ 15H-4OP</v>
      </c>
    </row>
    <row r="194" spans="6:14" x14ac:dyDescent="0.2">
      <c r="F194" s="99" t="s">
        <v>265</v>
      </c>
      <c r="G194" s="287" t="s">
        <v>281</v>
      </c>
      <c r="H194" s="99" t="s">
        <v>418</v>
      </c>
      <c r="I194" s="100">
        <v>1328210</v>
      </c>
      <c r="J194" s="100" t="s">
        <v>54</v>
      </c>
      <c r="K194" s="99">
        <v>4</v>
      </c>
      <c r="L194" s="99" t="s">
        <v>266</v>
      </c>
      <c r="M194" s="99" t="s">
        <v>56</v>
      </c>
      <c r="N194" s="99" t="str">
        <f t="shared" si="20"/>
        <v>55.BOGOTA SOACHA 40/50m³ 15H-4OP</v>
      </c>
    </row>
    <row r="195" spans="6:14" x14ac:dyDescent="0.2">
      <c r="F195" s="99" t="s">
        <v>267</v>
      </c>
      <c r="G195" s="99" t="s">
        <v>283</v>
      </c>
      <c r="H195" s="99" t="s">
        <v>419</v>
      </c>
      <c r="I195" s="100">
        <v>933725</v>
      </c>
      <c r="J195" s="100" t="s">
        <v>66</v>
      </c>
      <c r="K195" s="99">
        <v>3</v>
      </c>
      <c r="L195" s="99" t="s">
        <v>268</v>
      </c>
      <c r="M195" s="99" t="s">
        <v>56</v>
      </c>
      <c r="N195" s="99" t="str">
        <f t="shared" si="20"/>
        <v>56.BOGOTA SOACHA 40/50m³ 9H-4OP</v>
      </c>
    </row>
    <row r="196" spans="6:14" x14ac:dyDescent="0.2">
      <c r="F196" s="99" t="s">
        <v>269</v>
      </c>
      <c r="G196" s="99" t="s">
        <v>287</v>
      </c>
      <c r="H196" s="99" t="s">
        <v>420</v>
      </c>
      <c r="I196" s="100">
        <v>1102790</v>
      </c>
      <c r="J196" s="100" t="s">
        <v>54</v>
      </c>
      <c r="K196" s="99">
        <v>4</v>
      </c>
      <c r="L196" s="99" t="s">
        <v>271</v>
      </c>
      <c r="M196" s="99" t="s">
        <v>56</v>
      </c>
      <c r="N196" s="99" t="str">
        <f t="shared" si="20"/>
        <v>57.BOGOTA SUMAPAZ 25m³ 15H-4OP</v>
      </c>
    </row>
    <row r="197" spans="6:14" x14ac:dyDescent="0.2">
      <c r="F197" s="99" t="s">
        <v>272</v>
      </c>
      <c r="G197" s="99" t="s">
        <v>288</v>
      </c>
      <c r="H197" s="99" t="s">
        <v>421</v>
      </c>
      <c r="I197" s="100">
        <v>877370</v>
      </c>
      <c r="J197" s="100" t="s">
        <v>54</v>
      </c>
      <c r="K197" s="99">
        <v>4</v>
      </c>
      <c r="L197" s="99" t="s">
        <v>274</v>
      </c>
      <c r="M197" s="99" t="s">
        <v>56</v>
      </c>
      <c r="N197" s="99" t="str">
        <f t="shared" si="20"/>
        <v>58.BOGOTA FUNZA 25m³ 15H-4OP</v>
      </c>
    </row>
    <row r="198" spans="6:14" x14ac:dyDescent="0.2">
      <c r="F198" s="99" t="s">
        <v>275</v>
      </c>
      <c r="G198" s="99" t="s">
        <v>289</v>
      </c>
      <c r="H198" s="99" t="s">
        <v>422</v>
      </c>
      <c r="I198" s="100">
        <v>876265</v>
      </c>
      <c r="J198" s="100" t="s">
        <v>54</v>
      </c>
      <c r="K198" s="99">
        <v>4</v>
      </c>
      <c r="L198" s="99" t="s">
        <v>277</v>
      </c>
      <c r="M198" s="99" t="s">
        <v>56</v>
      </c>
      <c r="N198" s="99" t="str">
        <f t="shared" si="20"/>
        <v>59.BOGOTA COTA 25m³ 15H-4OP</v>
      </c>
    </row>
    <row r="199" spans="6:14" x14ac:dyDescent="0.2">
      <c r="F199" s="99" t="s">
        <v>278</v>
      </c>
      <c r="G199" s="99" t="s">
        <v>290</v>
      </c>
      <c r="H199" s="99" t="s">
        <v>423</v>
      </c>
      <c r="I199" s="100">
        <v>839800</v>
      </c>
      <c r="J199" s="100" t="s">
        <v>54</v>
      </c>
      <c r="K199" s="99">
        <v>4</v>
      </c>
      <c r="L199" s="99" t="s">
        <v>284</v>
      </c>
      <c r="M199" s="99" t="s">
        <v>56</v>
      </c>
      <c r="N199" s="99" t="str">
        <f t="shared" si="20"/>
        <v>60.BOGOTA FUSA 25m³ 15H-4OP</v>
      </c>
    </row>
    <row r="200" spans="6:14" x14ac:dyDescent="0.2">
      <c r="F200" s="99" t="s">
        <v>280</v>
      </c>
      <c r="G200" s="99" t="s">
        <v>291</v>
      </c>
      <c r="H200" s="99" t="s">
        <v>424</v>
      </c>
      <c r="I200" s="100">
        <v>1014390</v>
      </c>
      <c r="J200" s="100" t="s">
        <v>54</v>
      </c>
      <c r="K200" s="99">
        <v>4</v>
      </c>
      <c r="L200" s="99" t="s">
        <v>285</v>
      </c>
      <c r="M200" s="99" t="s">
        <v>56</v>
      </c>
      <c r="N200" s="99" t="str">
        <f t="shared" si="20"/>
        <v>61.BOGOTA SOACHA 25m³ 15H-4OP</v>
      </c>
    </row>
    <row r="201" spans="6:14" x14ac:dyDescent="0.2">
      <c r="F201" s="99" t="s">
        <v>282</v>
      </c>
      <c r="G201" s="99" t="s">
        <v>292</v>
      </c>
      <c r="H201" s="99" t="s">
        <v>425</v>
      </c>
      <c r="I201" s="100">
        <v>822120</v>
      </c>
      <c r="J201" s="100" t="s">
        <v>66</v>
      </c>
      <c r="K201" s="99">
        <v>4</v>
      </c>
      <c r="L201" s="99" t="s">
        <v>286</v>
      </c>
      <c r="M201" s="99" t="s">
        <v>56</v>
      </c>
      <c r="N201" s="99" t="str">
        <f t="shared" si="20"/>
        <v>62.BOGOTA SOACHA 25m³ 9H-4OP</v>
      </c>
    </row>
    <row r="202" spans="6:14" x14ac:dyDescent="0.2">
      <c r="F202" s="99" t="s">
        <v>293</v>
      </c>
      <c r="G202" s="99" t="s">
        <v>300</v>
      </c>
      <c r="H202" s="99" t="s">
        <v>426</v>
      </c>
      <c r="I202" s="100">
        <v>751400</v>
      </c>
      <c r="J202" s="100" t="s">
        <v>54</v>
      </c>
      <c r="L202" s="99" t="s">
        <v>329</v>
      </c>
      <c r="M202" s="99" t="s">
        <v>56</v>
      </c>
      <c r="N202" s="99" t="str">
        <f t="shared" si="20"/>
        <v>63.BOGOTA SUMAPAZ FURGONADA-15H</v>
      </c>
    </row>
    <row r="203" spans="6:14" x14ac:dyDescent="0.2">
      <c r="F203" s="99" t="s">
        <v>294</v>
      </c>
      <c r="G203" s="99" t="s">
        <v>302</v>
      </c>
      <c r="H203" s="99" t="s">
        <v>427</v>
      </c>
      <c r="I203" s="100">
        <v>552500</v>
      </c>
      <c r="J203" s="100" t="s">
        <v>54</v>
      </c>
      <c r="L203" s="99" t="s">
        <v>330</v>
      </c>
      <c r="M203" s="99" t="s">
        <v>56</v>
      </c>
      <c r="N203" s="99" t="str">
        <f t="shared" si="20"/>
        <v>64.BOGOTA FUNZA FURGONADA-15H</v>
      </c>
    </row>
    <row r="204" spans="6:14" x14ac:dyDescent="0.2">
      <c r="F204" s="99" t="s">
        <v>295</v>
      </c>
      <c r="G204" s="99" t="s">
        <v>304</v>
      </c>
      <c r="H204" s="99" t="s">
        <v>428</v>
      </c>
      <c r="I204" s="100">
        <v>524875</v>
      </c>
      <c r="J204" s="100" t="s">
        <v>54</v>
      </c>
      <c r="L204" s="99" t="s">
        <v>331</v>
      </c>
      <c r="M204" s="99" t="s">
        <v>56</v>
      </c>
      <c r="N204" s="99" t="str">
        <f t="shared" si="20"/>
        <v>65.BOGOTA COTA FURGONADA-15H</v>
      </c>
    </row>
    <row r="205" spans="6:14" x14ac:dyDescent="0.2">
      <c r="F205" s="99" t="s">
        <v>296</v>
      </c>
      <c r="G205" s="99" t="s">
        <v>306</v>
      </c>
      <c r="H205" s="99" t="s">
        <v>429</v>
      </c>
      <c r="I205" s="100">
        <v>524875</v>
      </c>
      <c r="J205" s="100" t="s">
        <v>54</v>
      </c>
      <c r="L205" s="99" t="s">
        <v>332</v>
      </c>
      <c r="M205" s="99" t="s">
        <v>56</v>
      </c>
      <c r="N205" s="99" t="str">
        <f t="shared" si="20"/>
        <v>66.BOGOTA FUSA FURGONADA-15H</v>
      </c>
    </row>
    <row r="206" spans="6:14" x14ac:dyDescent="0.2">
      <c r="F206" s="99" t="s">
        <v>297</v>
      </c>
      <c r="G206" s="99" t="s">
        <v>308</v>
      </c>
      <c r="H206" s="99" t="s">
        <v>430</v>
      </c>
      <c r="I206" s="100">
        <v>585650</v>
      </c>
      <c r="J206" s="100" t="s">
        <v>54</v>
      </c>
      <c r="L206" s="99" t="s">
        <v>333</v>
      </c>
      <c r="M206" s="3" t="s">
        <v>56</v>
      </c>
      <c r="N206" s="99" t="str">
        <f t="shared" si="20"/>
        <v>67.BOGOTA SOACHA FURGONADA-15H</v>
      </c>
    </row>
    <row r="207" spans="6:14" x14ac:dyDescent="0.2">
      <c r="F207" s="99" t="s">
        <v>298</v>
      </c>
      <c r="G207" s="99" t="s">
        <v>310</v>
      </c>
      <c r="H207" s="99" t="s">
        <v>431</v>
      </c>
      <c r="I207" s="100">
        <v>530400</v>
      </c>
      <c r="J207" s="100" t="s">
        <v>54</v>
      </c>
      <c r="L207" s="99" t="s">
        <v>334</v>
      </c>
      <c r="M207" s="99" t="s">
        <v>56</v>
      </c>
      <c r="N207" s="99" t="str">
        <f t="shared" si="20"/>
        <v>68.BOGOTA SOACHA FURGONADA-09H</v>
      </c>
    </row>
    <row r="208" spans="6:14" x14ac:dyDescent="0.2">
      <c r="F208" s="99" t="s">
        <v>299</v>
      </c>
      <c r="G208" s="99" t="s">
        <v>313</v>
      </c>
      <c r="H208" s="99" t="s">
        <v>432</v>
      </c>
      <c r="I208" s="100">
        <v>795600</v>
      </c>
      <c r="J208" s="100" t="s">
        <v>54</v>
      </c>
      <c r="L208" s="99" t="s">
        <v>335</v>
      </c>
      <c r="M208" s="99" t="s">
        <v>56</v>
      </c>
      <c r="N208" s="99" t="str">
        <f t="shared" si="20"/>
        <v>69.BOGOTA SUMAPAPAZ 4X4 15H</v>
      </c>
    </row>
    <row r="209" spans="6:14" x14ac:dyDescent="0.2">
      <c r="F209" s="99" t="s">
        <v>301</v>
      </c>
      <c r="G209" s="99" t="s">
        <v>321</v>
      </c>
      <c r="H209" s="99" t="s">
        <v>433</v>
      </c>
      <c r="I209" s="100">
        <v>591175</v>
      </c>
      <c r="J209" s="100" t="s">
        <v>54</v>
      </c>
      <c r="L209" s="99" t="s">
        <v>336</v>
      </c>
      <c r="M209" s="99" t="s">
        <v>56</v>
      </c>
      <c r="N209" s="99" t="str">
        <f t="shared" si="20"/>
        <v>70.BOGOTA FUNZA 4X4 15H</v>
      </c>
    </row>
    <row r="210" spans="6:14" x14ac:dyDescent="0.2">
      <c r="F210" s="99" t="s">
        <v>303</v>
      </c>
      <c r="G210" s="99" t="s">
        <v>322</v>
      </c>
      <c r="H210" s="99" t="s">
        <v>434</v>
      </c>
      <c r="I210" s="100">
        <v>585650</v>
      </c>
      <c r="J210" s="100" t="s">
        <v>54</v>
      </c>
      <c r="L210" s="99" t="s">
        <v>337</v>
      </c>
      <c r="M210" s="99" t="s">
        <v>56</v>
      </c>
      <c r="N210" s="99" t="str">
        <f t="shared" si="20"/>
        <v>71.BOGOTA COTA 4X4 15H</v>
      </c>
    </row>
    <row r="211" spans="6:14" x14ac:dyDescent="0.2">
      <c r="F211" s="99" t="s">
        <v>305</v>
      </c>
      <c r="G211" s="99" t="s">
        <v>323</v>
      </c>
      <c r="H211" s="99" t="s">
        <v>435</v>
      </c>
      <c r="I211" s="100">
        <v>585650</v>
      </c>
      <c r="J211" s="100" t="s">
        <v>54</v>
      </c>
      <c r="L211" s="99" t="s">
        <v>338</v>
      </c>
      <c r="M211" s="99" t="s">
        <v>56</v>
      </c>
      <c r="N211" s="99" t="str">
        <f t="shared" si="20"/>
        <v>72.BOGOTA FUSA 4X4 15H</v>
      </c>
    </row>
    <row r="212" spans="6:14" x14ac:dyDescent="0.2">
      <c r="F212" s="99" t="s">
        <v>307</v>
      </c>
      <c r="G212" s="99" t="s">
        <v>324</v>
      </c>
      <c r="H212" s="99" t="s">
        <v>436</v>
      </c>
      <c r="I212" s="100">
        <v>607750</v>
      </c>
      <c r="J212" s="100" t="s">
        <v>54</v>
      </c>
      <c r="L212" s="99" t="s">
        <v>339</v>
      </c>
      <c r="M212" s="99" t="s">
        <v>56</v>
      </c>
      <c r="N212" s="99" t="str">
        <f t="shared" si="20"/>
        <v>73.BOGOTA SOACHA 4X4 15H</v>
      </c>
    </row>
    <row r="213" spans="6:14" x14ac:dyDescent="0.2">
      <c r="F213" s="99" t="s">
        <v>309</v>
      </c>
      <c r="G213" s="99" t="s">
        <v>325</v>
      </c>
      <c r="H213" s="99" t="s">
        <v>437</v>
      </c>
      <c r="I213" s="100">
        <v>640900</v>
      </c>
      <c r="J213" s="100" t="s">
        <v>54</v>
      </c>
      <c r="L213" s="99" t="s">
        <v>340</v>
      </c>
      <c r="M213" s="99" t="s">
        <v>56</v>
      </c>
      <c r="N213" s="99" t="str">
        <f t="shared" si="20"/>
        <v>74.BOGOTA SOACHA 4X4 09H</v>
      </c>
    </row>
    <row r="214" spans="6:14" x14ac:dyDescent="0.2">
      <c r="F214" s="99" t="s">
        <v>312</v>
      </c>
      <c r="G214" s="99" t="s">
        <v>326</v>
      </c>
      <c r="H214" s="99" t="s">
        <v>438</v>
      </c>
      <c r="I214" s="100">
        <v>1536000</v>
      </c>
      <c r="J214" s="100" t="s">
        <v>54</v>
      </c>
      <c r="L214" s="99" t="s">
        <v>341</v>
      </c>
      <c r="M214" s="99" t="s">
        <v>56</v>
      </c>
      <c r="N214" s="99" t="str">
        <f t="shared" si="20"/>
        <v xml:space="preserve">75.6 OPERARIOS-15-H </v>
      </c>
    </row>
    <row r="215" spans="6:14" x14ac:dyDescent="0.2">
      <c r="F215" s="99" t="s">
        <v>314</v>
      </c>
      <c r="G215" s="99" t="s">
        <v>327</v>
      </c>
      <c r="H215" s="99" t="s">
        <v>439</v>
      </c>
      <c r="I215" s="100">
        <v>2051264</v>
      </c>
      <c r="J215" s="100" t="s">
        <v>54</v>
      </c>
      <c r="L215" s="99" t="s">
        <v>342</v>
      </c>
      <c r="M215" s="99" t="s">
        <v>56</v>
      </c>
      <c r="N215" s="99" t="str">
        <f t="shared" si="20"/>
        <v xml:space="preserve">76.8 OPERARIOS-15-H </v>
      </c>
    </row>
    <row r="216" spans="6:14" x14ac:dyDescent="0.2">
      <c r="F216" s="99" t="s">
        <v>315</v>
      </c>
      <c r="G216" s="99" t="s">
        <v>328</v>
      </c>
      <c r="H216" s="99" t="s">
        <v>440</v>
      </c>
      <c r="I216" s="100">
        <v>2564080</v>
      </c>
      <c r="J216" s="100" t="s">
        <v>54</v>
      </c>
      <c r="L216" s="99" t="s">
        <v>343</v>
      </c>
      <c r="M216" s="99" t="s">
        <v>56</v>
      </c>
      <c r="N216" s="99" t="str">
        <f t="shared" si="20"/>
        <v xml:space="preserve">77.10 OPERARIOS-15-H </v>
      </c>
    </row>
    <row r="217" spans="6:14" x14ac:dyDescent="0.2">
      <c r="F217" s="99" t="s">
        <v>316</v>
      </c>
      <c r="G217" s="99" t="s">
        <v>441</v>
      </c>
      <c r="H217" s="99" t="s">
        <v>442</v>
      </c>
      <c r="I217" s="100">
        <v>1203972</v>
      </c>
      <c r="J217" s="100" t="s">
        <v>66</v>
      </c>
      <c r="L217" s="99" t="s">
        <v>344</v>
      </c>
      <c r="M217" s="99" t="s">
        <v>56</v>
      </c>
      <c r="N217" s="99" t="str">
        <f t="shared" ref="N217:N221" si="21">+CONCATENATE(G217,F217)</f>
        <v xml:space="preserve">78.6 OPERARIOS-09-H </v>
      </c>
    </row>
    <row r="218" spans="6:14" x14ac:dyDescent="0.2">
      <c r="F218" s="99" t="s">
        <v>317</v>
      </c>
      <c r="G218" s="99" t="s">
        <v>443</v>
      </c>
      <c r="H218" s="99" t="s">
        <v>444</v>
      </c>
      <c r="I218" s="100">
        <v>1605296</v>
      </c>
      <c r="J218" s="100" t="s">
        <v>66</v>
      </c>
      <c r="L218" s="99" t="s">
        <v>345</v>
      </c>
      <c r="M218" s="99" t="s">
        <v>56</v>
      </c>
      <c r="N218" s="99" t="str">
        <f t="shared" si="21"/>
        <v xml:space="preserve">79.8 OPERARIOS-09-H </v>
      </c>
    </row>
    <row r="219" spans="6:14" x14ac:dyDescent="0.2">
      <c r="F219" s="99" t="s">
        <v>318</v>
      </c>
      <c r="G219" s="99" t="s">
        <v>445</v>
      </c>
      <c r="H219" s="99" t="s">
        <v>446</v>
      </c>
      <c r="I219" s="100">
        <v>2006620</v>
      </c>
      <c r="J219" s="294" t="s">
        <v>66</v>
      </c>
      <c r="L219" s="99" t="s">
        <v>346</v>
      </c>
      <c r="M219" s="99" t="s">
        <v>56</v>
      </c>
      <c r="N219" s="99" t="str">
        <f t="shared" si="21"/>
        <v xml:space="preserve">80.10 OPERARIOS-09-H </v>
      </c>
    </row>
    <row r="220" spans="6:14" x14ac:dyDescent="0.2">
      <c r="F220" s="99" t="s">
        <v>319</v>
      </c>
      <c r="G220" s="99" t="s">
        <v>447</v>
      </c>
      <c r="H220" s="99" t="s">
        <v>448</v>
      </c>
      <c r="I220" s="100">
        <v>869508</v>
      </c>
      <c r="J220" s="294" t="s">
        <v>77</v>
      </c>
      <c r="L220" s="99" t="s">
        <v>347</v>
      </c>
      <c r="M220" s="99" t="s">
        <v>56</v>
      </c>
      <c r="N220" s="99" t="str">
        <f t="shared" si="21"/>
        <v xml:space="preserve">81.6 OPERARIOS-04-H </v>
      </c>
    </row>
    <row r="221" spans="6:14" x14ac:dyDescent="0.2">
      <c r="F221" s="99" t="s">
        <v>320</v>
      </c>
      <c r="G221" s="99" t="s">
        <v>449</v>
      </c>
      <c r="H221" s="99" t="s">
        <v>450</v>
      </c>
      <c r="I221" s="100">
        <v>1159344</v>
      </c>
      <c r="J221" s="294" t="s">
        <v>77</v>
      </c>
      <c r="L221" s="99" t="s">
        <v>348</v>
      </c>
      <c r="M221" s="99" t="s">
        <v>56</v>
      </c>
      <c r="N221" s="99" t="str">
        <f t="shared" si="21"/>
        <v xml:space="preserve">82.8 OPERARIOS-04-H </v>
      </c>
    </row>
    <row r="222" spans="6:14" x14ac:dyDescent="0.2">
      <c r="F222" s="99" t="s">
        <v>349</v>
      </c>
      <c r="G222" s="99" t="s">
        <v>451</v>
      </c>
      <c r="H222" s="99" t="s">
        <v>452</v>
      </c>
      <c r="I222" s="100">
        <v>1449180</v>
      </c>
      <c r="J222" s="294" t="s">
        <v>77</v>
      </c>
      <c r="L222" s="99" t="s">
        <v>350</v>
      </c>
      <c r="M222" s="99" t="s">
        <v>56</v>
      </c>
      <c r="N222" s="99" t="str">
        <f>+CONCATENATE(G222,F222)</f>
        <v xml:space="preserve">83.10 OPERARIOS-04H-10OP </v>
      </c>
    </row>
  </sheetData>
  <sheetProtection selectLockedCells="1" selectUnlockedCells="1"/>
  <mergeCells count="20">
    <mergeCell ref="A73:Y91"/>
    <mergeCell ref="A93:A95"/>
    <mergeCell ref="A41:G41"/>
    <mergeCell ref="A42:G42"/>
    <mergeCell ref="J46:P65"/>
    <mergeCell ref="A52:G52"/>
    <mergeCell ref="K70:L70"/>
    <mergeCell ref="A72:AE72"/>
    <mergeCell ref="AA2:AE2"/>
    <mergeCell ref="R13:Y13"/>
    <mergeCell ref="A32:G32"/>
    <mergeCell ref="A1:G1"/>
    <mergeCell ref="A2:G2"/>
    <mergeCell ref="I2:P2"/>
    <mergeCell ref="R2:Y2"/>
    <mergeCell ref="A14:G14"/>
    <mergeCell ref="I16:P16"/>
    <mergeCell ref="R18:Y18"/>
    <mergeCell ref="A23:G23"/>
    <mergeCell ref="A24:G24"/>
  </mergeCells>
  <dataValidations count="3">
    <dataValidation type="list" allowBlank="1" showInputMessage="1" showErrorMessage="1" sqref="F12:F13" xr:uid="{B68F7176-1E10-4140-91B9-711858916748}">
      <formula1>$H$140:$H$185</formula1>
    </dataValidation>
    <dataValidation type="list" allowBlank="1" showInputMessage="1" showErrorMessage="1" sqref="F31 F64 O23:O24 O10:O15" xr:uid="{01CFEC96-923C-DC44-B24E-F6D829ACDA7F}">
      <formula1>$H$139:$H$185</formula1>
    </dataValidation>
    <dataValidation type="list" allowBlank="1" showInputMessage="1" showErrorMessage="1" sqref="F4:F11 F16:F21 F26:F30 F34:F39 F46:F51 F54:F63 O4:O9 O18:O22 X4:X6 X15:X16 X20:X30" xr:uid="{5BF20551-0FCE-A446-9238-0EC3226F0A39}">
      <formula1>$H$139:$H$216</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7F724E-01F8-384C-B933-4E6352016442}">
  <sheetPr>
    <tabColor rgb="FF00B050"/>
  </sheetPr>
  <dimension ref="A1:AE222"/>
  <sheetViews>
    <sheetView view="pageBreakPreview" topLeftCell="I47" zoomScale="120" zoomScaleNormal="59" zoomScaleSheetLayoutView="120" workbookViewId="0">
      <selection activeCell="Q21" sqref="Q21"/>
    </sheetView>
  </sheetViews>
  <sheetFormatPr baseColWidth="10" defaultColWidth="11.42578125" defaultRowHeight="12.75" x14ac:dyDescent="0.2"/>
  <cols>
    <col min="1" max="1" width="43.140625" style="3" customWidth="1"/>
    <col min="2" max="2" width="27.42578125" style="3" customWidth="1"/>
    <col min="3" max="3" width="20.85546875" style="3" customWidth="1"/>
    <col min="4" max="4" width="33.42578125" style="3" customWidth="1"/>
    <col min="5" max="5" width="28.710937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43.42578125" style="301" customWidth="1"/>
    <col min="16" max="16" width="29.28515625" style="3" customWidth="1"/>
    <col min="17" max="17" width="23.85546875" style="3" customWidth="1"/>
    <col min="18" max="18" width="18.140625" style="3" customWidth="1"/>
    <col min="19" max="19" width="35.42578125" style="3" customWidth="1"/>
    <col min="20" max="20" width="20.28515625" style="3" customWidth="1"/>
    <col min="21" max="21" width="19" style="3" customWidth="1"/>
    <col min="22" max="23" width="25.42578125" style="3" customWidth="1"/>
    <col min="24" max="24" width="42.710937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422" t="s">
        <v>0</v>
      </c>
      <c r="B1" s="422"/>
      <c r="C1" s="422"/>
      <c r="D1" s="422"/>
      <c r="E1" s="422"/>
      <c r="F1" s="422"/>
      <c r="G1" s="422"/>
      <c r="H1" s="2"/>
      <c r="I1" s="2"/>
      <c r="J1" s="2"/>
      <c r="K1" s="2"/>
      <c r="L1" s="2"/>
      <c r="M1" s="2"/>
      <c r="N1" s="2"/>
      <c r="O1" s="295"/>
      <c r="P1" s="2"/>
      <c r="Q1" s="2"/>
      <c r="R1" s="2"/>
      <c r="S1" s="2"/>
      <c r="T1" s="2"/>
      <c r="U1" s="2"/>
      <c r="V1" s="2"/>
      <c r="W1" s="2"/>
      <c r="X1" s="2"/>
      <c r="Y1" s="2"/>
    </row>
    <row r="2" spans="1:31" ht="15.75" x14ac:dyDescent="0.2">
      <c r="A2" s="422" t="s">
        <v>1</v>
      </c>
      <c r="B2" s="422"/>
      <c r="C2" s="422"/>
      <c r="D2" s="422"/>
      <c r="E2" s="422"/>
      <c r="F2" s="422"/>
      <c r="G2" s="422"/>
      <c r="H2" s="2"/>
      <c r="I2" s="423" t="s">
        <v>2</v>
      </c>
      <c r="J2" s="424"/>
      <c r="K2" s="424"/>
      <c r="L2" s="424"/>
      <c r="M2" s="424"/>
      <c r="N2" s="424"/>
      <c r="O2" s="424"/>
      <c r="P2" s="425"/>
      <c r="Q2" s="2"/>
      <c r="R2" s="418" t="s">
        <v>3</v>
      </c>
      <c r="S2" s="419"/>
      <c r="T2" s="419"/>
      <c r="U2" s="419"/>
      <c r="V2" s="419"/>
      <c r="W2" s="419"/>
      <c r="X2" s="419"/>
      <c r="Y2" s="420"/>
      <c r="AA2" s="417"/>
      <c r="AB2" s="417"/>
      <c r="AC2" s="417"/>
      <c r="AD2" s="417"/>
      <c r="AE2" s="417"/>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303" t="s">
        <v>11</v>
      </c>
      <c r="S3" s="304" t="s">
        <v>4</v>
      </c>
      <c r="T3" s="305" t="s">
        <v>5</v>
      </c>
      <c r="U3" s="305" t="s">
        <v>6</v>
      </c>
      <c r="V3" s="305" t="s">
        <v>7</v>
      </c>
      <c r="W3" s="305" t="s">
        <v>8</v>
      </c>
      <c r="X3" s="305" t="s">
        <v>9</v>
      </c>
      <c r="Y3" s="305" t="s">
        <v>10</v>
      </c>
      <c r="AA3" s="4"/>
      <c r="AB3" s="9"/>
      <c r="AC3" s="9"/>
      <c r="AD3" s="9"/>
      <c r="AE3" s="9"/>
    </row>
    <row r="4" spans="1:31" ht="31.5" x14ac:dyDescent="0.25">
      <c r="A4" s="10" t="s">
        <v>12</v>
      </c>
      <c r="B4" s="11" t="str">
        <f>+IF(F4=0,0,MID(F4,LEN(F4)-4,3))</f>
        <v xml:space="preserve">04 </v>
      </c>
      <c r="C4" s="12">
        <v>1</v>
      </c>
      <c r="D4" s="12" t="s">
        <v>229</v>
      </c>
      <c r="E4" s="13" t="str">
        <f>+IF(F4=0,0,CONCATENATE(MID(F4,FIND("-",F4,1)+1,4),"ORAS"))</f>
        <v>15 HORAS</v>
      </c>
      <c r="F4" s="14" t="s">
        <v>351</v>
      </c>
      <c r="G4" s="362">
        <f>+IF(F4="","",VLOOKUP(F4,$H$139:$I$217,2,FALSE))</f>
        <v>1955007</v>
      </c>
      <c r="H4" s="2"/>
      <c r="I4" s="15" t="s">
        <v>13</v>
      </c>
      <c r="J4" s="14" t="s">
        <v>16</v>
      </c>
      <c r="K4" s="11" t="str">
        <f>+IF(O4=0,0,MID(O4,LEN(O4)-4,3))</f>
        <v xml:space="preserve">03 </v>
      </c>
      <c r="L4" s="17">
        <v>1</v>
      </c>
      <c r="M4" s="12" t="s">
        <v>229</v>
      </c>
      <c r="N4" s="13" t="str">
        <f>+IF(O4=0,0,CONCATENATE(MID(O4,FIND("-",O4,1)+1,4),"ORAS"))</f>
        <v>15 HORAS</v>
      </c>
      <c r="O4" s="296" t="s">
        <v>394</v>
      </c>
      <c r="P4" s="362">
        <f>+IF(O4="","",VLOOKUP(O4,$H$139:$I$217,2,FALSE))</f>
        <v>1019917</v>
      </c>
      <c r="Q4" s="2"/>
      <c r="R4" s="306" t="s">
        <v>13</v>
      </c>
      <c r="S4" s="307" t="s">
        <v>14</v>
      </c>
      <c r="T4" s="308">
        <v>4</v>
      </c>
      <c r="U4" s="309">
        <v>1</v>
      </c>
      <c r="V4" s="310" t="s">
        <v>229</v>
      </c>
      <c r="W4" s="13" t="str">
        <f>+IF(X4=0,0,CONCATENATE(MID(X4,FIND("-",X4,1)+1,4),"ORAS"))</f>
        <v>15 HORAS</v>
      </c>
      <c r="X4" s="296" t="s">
        <v>366</v>
      </c>
      <c r="Y4" s="362">
        <f>+IF(X4="","",VLOOKUP(X4,$H$139:$I$217,2,FALSE))</f>
        <v>1691890</v>
      </c>
      <c r="AA4" s="20"/>
      <c r="AB4" s="21"/>
      <c r="AC4" s="21"/>
      <c r="AD4" s="22"/>
      <c r="AE4" s="23"/>
    </row>
    <row r="5" spans="1:31" ht="31.5" x14ac:dyDescent="0.25">
      <c r="A5" s="14" t="s">
        <v>15</v>
      </c>
      <c r="B5" s="11" t="str">
        <f t="shared" ref="B5:B10" si="0">+IF(F5=0,0,MID(F5,LEN(F5)-4,3))</f>
        <v xml:space="preserve">03 </v>
      </c>
      <c r="C5" s="18">
        <v>1</v>
      </c>
      <c r="D5" s="12" t="s">
        <v>229</v>
      </c>
      <c r="E5" s="13" t="str">
        <f t="shared" ref="E5:E10" si="1">+IF(F5=0,0,CONCATENATE(MID(F5,FIND("-",F5,1)+1,4),"ORAS"))</f>
        <v>15 HORAS</v>
      </c>
      <c r="F5" s="14" t="s">
        <v>352</v>
      </c>
      <c r="G5" s="362">
        <f t="shared" ref="G5:G12" si="2">+IF(F5="","",VLOOKUP(F5,$H$139:$I$217,2,FALSE))</f>
        <v>1795972</v>
      </c>
      <c r="H5" s="2"/>
      <c r="I5" s="15"/>
      <c r="J5" s="14"/>
      <c r="K5" s="11">
        <f t="shared" ref="K5:K8" si="3">+IF(O5=0,0,MID(O5,LEN(O5)-4,3))</f>
        <v>0</v>
      </c>
      <c r="L5" s="17"/>
      <c r="M5" s="12"/>
      <c r="N5" s="13">
        <f t="shared" ref="N5:N8" si="4">+IF(O5=0,0,CONCATENATE(MID(O5,FIND("-",O5,1)+1,4),"ORAS"))</f>
        <v>0</v>
      </c>
      <c r="O5" s="296">
        <v>0</v>
      </c>
      <c r="P5" s="341">
        <f t="shared" ref="P5:P8" si="5">+IF(O5="","",VLOOKUP(O5,$H$139:$I$217,2,FALSE))</f>
        <v>0</v>
      </c>
      <c r="Q5" s="2"/>
      <c r="R5" s="313" t="s">
        <v>13</v>
      </c>
      <c r="S5" s="314" t="s">
        <v>17</v>
      </c>
      <c r="T5" s="308">
        <v>4</v>
      </c>
      <c r="U5" s="315">
        <v>1</v>
      </c>
      <c r="V5" s="310" t="s">
        <v>229</v>
      </c>
      <c r="W5" s="13" t="str">
        <f>+IF(X5=0,0,CONCATENATE(MID(X5,FIND("-",X5,1)+1,4),"ORAS"))</f>
        <v>15 HORAS</v>
      </c>
      <c r="X5" s="296" t="s">
        <v>366</v>
      </c>
      <c r="Y5" s="362">
        <f>+IF(X5="","",VLOOKUP(X5,$H$139:$I$217,2,FALSE))</f>
        <v>1691890</v>
      </c>
      <c r="AA5" s="20"/>
      <c r="AB5" s="21"/>
      <c r="AC5" s="21"/>
      <c r="AD5" s="22"/>
      <c r="AE5" s="23"/>
    </row>
    <row r="6" spans="1:31" ht="31.5" x14ac:dyDescent="0.25">
      <c r="A6" s="14" t="s">
        <v>18</v>
      </c>
      <c r="B6" s="11" t="str">
        <f t="shared" si="0"/>
        <v xml:space="preserve">03 </v>
      </c>
      <c r="C6" s="18">
        <v>1</v>
      </c>
      <c r="D6" s="12" t="s">
        <v>229</v>
      </c>
      <c r="E6" s="13" t="str">
        <f t="shared" si="1"/>
        <v>15 HORAS</v>
      </c>
      <c r="F6" s="14" t="s">
        <v>352</v>
      </c>
      <c r="G6" s="362">
        <f t="shared" si="2"/>
        <v>1795972</v>
      </c>
      <c r="H6" s="2"/>
      <c r="I6" s="15"/>
      <c r="J6" s="14"/>
      <c r="K6" s="11">
        <f t="shared" si="3"/>
        <v>0</v>
      </c>
      <c r="L6" s="17"/>
      <c r="M6" s="12"/>
      <c r="N6" s="13">
        <f t="shared" si="4"/>
        <v>0</v>
      </c>
      <c r="O6" s="296">
        <v>0</v>
      </c>
      <c r="P6" s="341">
        <f t="shared" si="5"/>
        <v>0</v>
      </c>
      <c r="Q6" s="2"/>
      <c r="R6" s="313" t="s">
        <v>13</v>
      </c>
      <c r="S6" s="314" t="s">
        <v>19</v>
      </c>
      <c r="T6" s="308">
        <v>4</v>
      </c>
      <c r="U6" s="315">
        <v>1</v>
      </c>
      <c r="V6" s="310" t="s">
        <v>229</v>
      </c>
      <c r="W6" s="13" t="str">
        <f>+IF(X6=0,0,CONCATENATE(MID(X6,FIND("-",X6,1)+1,4),"ORAS"))</f>
        <v>15 HORAS</v>
      </c>
      <c r="X6" s="296" t="s">
        <v>366</v>
      </c>
      <c r="Y6" s="362">
        <f>+IF(X6="","",VLOOKUP(X6,$H$139:$I$217,2,FALSE))</f>
        <v>1691890</v>
      </c>
      <c r="AA6" s="20"/>
      <c r="AB6" s="21"/>
      <c r="AC6" s="21"/>
      <c r="AD6" s="22"/>
      <c r="AE6" s="23"/>
    </row>
    <row r="7" spans="1:31" ht="15.75" x14ac:dyDescent="0.25">
      <c r="A7" s="14" t="s">
        <v>20</v>
      </c>
      <c r="B7" s="11" t="str">
        <f t="shared" si="0"/>
        <v xml:space="preserve">03 </v>
      </c>
      <c r="C7" s="18">
        <v>1</v>
      </c>
      <c r="D7" s="12" t="s">
        <v>229</v>
      </c>
      <c r="E7" s="13" t="str">
        <f t="shared" si="1"/>
        <v>15 HORAS</v>
      </c>
      <c r="F7" s="14" t="s">
        <v>352</v>
      </c>
      <c r="G7" s="362">
        <f t="shared" si="2"/>
        <v>1795972</v>
      </c>
      <c r="H7" s="2"/>
      <c r="I7" s="15"/>
      <c r="J7" s="14"/>
      <c r="K7" s="11">
        <f t="shared" si="3"/>
        <v>0</v>
      </c>
      <c r="L7" s="17"/>
      <c r="M7" s="12"/>
      <c r="N7" s="13">
        <f t="shared" si="4"/>
        <v>0</v>
      </c>
      <c r="O7" s="296">
        <v>0</v>
      </c>
      <c r="P7" s="341">
        <f t="shared" si="5"/>
        <v>0</v>
      </c>
      <c r="Q7" s="2"/>
      <c r="R7" s="317"/>
      <c r="S7" s="319"/>
      <c r="T7" s="320"/>
      <c r="U7" s="321"/>
      <c r="V7" s="310"/>
      <c r="W7" s="311"/>
      <c r="X7" s="316">
        <v>0</v>
      </c>
      <c r="Y7" s="342">
        <v>0</v>
      </c>
      <c r="AA7" s="20"/>
      <c r="AB7" s="20"/>
      <c r="AC7" s="20"/>
      <c r="AD7" s="20"/>
      <c r="AE7" s="20"/>
    </row>
    <row r="8" spans="1:31" ht="15.75" x14ac:dyDescent="0.25">
      <c r="A8" s="14" t="s">
        <v>21</v>
      </c>
      <c r="B8" s="11" t="str">
        <f t="shared" si="0"/>
        <v xml:space="preserve">03 </v>
      </c>
      <c r="C8" s="18">
        <v>1</v>
      </c>
      <c r="D8" s="12" t="s">
        <v>229</v>
      </c>
      <c r="E8" s="13" t="str">
        <f t="shared" si="1"/>
        <v>15 HORAS</v>
      </c>
      <c r="F8" s="14" t="s">
        <v>352</v>
      </c>
      <c r="G8" s="362">
        <f t="shared" si="2"/>
        <v>1795972</v>
      </c>
      <c r="H8" s="2"/>
      <c r="I8" s="15"/>
      <c r="J8" s="14"/>
      <c r="K8" s="11">
        <f t="shared" si="3"/>
        <v>0</v>
      </c>
      <c r="L8" s="17"/>
      <c r="M8" s="12"/>
      <c r="N8" s="13">
        <f t="shared" si="4"/>
        <v>0</v>
      </c>
      <c r="O8" s="296">
        <v>0</v>
      </c>
      <c r="P8" s="341">
        <f t="shared" si="5"/>
        <v>0</v>
      </c>
      <c r="Q8" s="2"/>
      <c r="R8" s="306"/>
      <c r="S8" s="322"/>
      <c r="T8" s="315"/>
      <c r="U8" s="309">
        <v>3</v>
      </c>
      <c r="V8" s="323"/>
      <c r="W8" s="312"/>
      <c r="X8" s="316"/>
      <c r="Y8" s="324"/>
      <c r="AA8" s="20"/>
      <c r="AB8" s="20"/>
      <c r="AC8" s="20"/>
      <c r="AD8" s="20"/>
      <c r="AE8" s="20"/>
    </row>
    <row r="9" spans="1:31" ht="15.75" x14ac:dyDescent="0.25">
      <c r="A9" s="25" t="s">
        <v>381</v>
      </c>
      <c r="B9" s="11" t="str">
        <f t="shared" si="0"/>
        <v xml:space="preserve">03 </v>
      </c>
      <c r="C9" s="18">
        <v>1</v>
      </c>
      <c r="D9" s="12" t="s">
        <v>229</v>
      </c>
      <c r="E9" s="13" t="str">
        <f t="shared" si="1"/>
        <v>15 HORAS</v>
      </c>
      <c r="F9" s="14" t="s">
        <v>352</v>
      </c>
      <c r="G9" s="362">
        <f t="shared" si="2"/>
        <v>1795972</v>
      </c>
      <c r="H9" s="2"/>
      <c r="I9" s="15"/>
      <c r="J9" s="14"/>
      <c r="K9" s="11">
        <f>+IF(O9=0,0,MID(O9,LEN(O9)-4,3))</f>
        <v>0</v>
      </c>
      <c r="L9" s="17"/>
      <c r="M9" s="12"/>
      <c r="N9" s="13">
        <f>+IF(O9=0,0,CONCATENATE(MID(O9,FIND("-",O9,1)+1,4),"ORAS"))</f>
        <v>0</v>
      </c>
      <c r="O9" s="296">
        <v>0</v>
      </c>
      <c r="P9" s="341">
        <f>+IF(O9="","",VLOOKUP(O9,$H$139:$I$217,2,FALSE))</f>
        <v>0</v>
      </c>
      <c r="Q9" s="2"/>
      <c r="R9" s="325"/>
      <c r="S9" s="318"/>
      <c r="T9" s="318"/>
      <c r="U9" s="318"/>
      <c r="V9" s="326"/>
      <c r="W9" s="326"/>
      <c r="X9" s="326"/>
      <c r="Y9" s="327"/>
      <c r="AA9" s="20"/>
      <c r="AB9" s="20"/>
      <c r="AC9" s="20"/>
      <c r="AD9" s="20"/>
      <c r="AE9" s="20"/>
    </row>
    <row r="10" spans="1:31" ht="15.75" x14ac:dyDescent="0.25">
      <c r="A10" s="25" t="s">
        <v>382</v>
      </c>
      <c r="B10" s="11" t="str">
        <f t="shared" si="0"/>
        <v xml:space="preserve">04 </v>
      </c>
      <c r="C10" s="18">
        <v>1</v>
      </c>
      <c r="D10" s="12" t="s">
        <v>229</v>
      </c>
      <c r="E10" s="13" t="str">
        <f t="shared" si="1"/>
        <v>15 HORAS</v>
      </c>
      <c r="F10" s="14" t="s">
        <v>351</v>
      </c>
      <c r="G10" s="362">
        <f t="shared" si="2"/>
        <v>1955007</v>
      </c>
      <c r="H10" s="2"/>
      <c r="I10" s="26"/>
      <c r="J10" s="14"/>
      <c r="K10" s="16"/>
      <c r="L10" s="27"/>
      <c r="M10" s="27"/>
      <c r="N10" s="14"/>
      <c r="O10" s="296"/>
      <c r="P10" s="28"/>
      <c r="Q10" s="2"/>
      <c r="R10" s="325"/>
      <c r="S10" s="318"/>
      <c r="T10" s="318"/>
      <c r="U10" s="318"/>
      <c r="V10" s="326"/>
      <c r="W10" s="326"/>
      <c r="X10" s="326"/>
      <c r="Y10" s="327"/>
      <c r="AA10" s="20"/>
      <c r="AB10" s="20"/>
      <c r="AC10" s="20"/>
      <c r="AD10" s="20"/>
      <c r="AE10" s="20"/>
    </row>
    <row r="11" spans="1:31" ht="15.75" x14ac:dyDescent="0.25">
      <c r="A11" s="25" t="s">
        <v>393</v>
      </c>
      <c r="B11" s="11" t="str">
        <f>+IF(F11=0,0,MID(F11,LEN(F11)-4,3))</f>
        <v xml:space="preserve">04 </v>
      </c>
      <c r="C11" s="18">
        <v>1</v>
      </c>
      <c r="D11" s="18" t="s">
        <v>229</v>
      </c>
      <c r="E11" s="13" t="str">
        <f>+IF(F11=0,0,CONCATENATE(MID(F11,FIND("-",F11,1)+1,4),"ORAS"))</f>
        <v>15 HORAS</v>
      </c>
      <c r="F11" s="14" t="s">
        <v>351</v>
      </c>
      <c r="G11" s="362">
        <f t="shared" si="2"/>
        <v>1955007</v>
      </c>
      <c r="H11" s="2"/>
      <c r="I11" s="26"/>
      <c r="J11" s="14"/>
      <c r="K11" s="16"/>
      <c r="L11" s="27"/>
      <c r="M11" s="27"/>
      <c r="N11" s="14"/>
      <c r="O11" s="296"/>
      <c r="P11" s="29"/>
      <c r="Q11" s="2"/>
      <c r="R11" s="325"/>
      <c r="S11" s="318"/>
      <c r="T11" s="318"/>
      <c r="U11" s="318"/>
      <c r="V11" s="326"/>
      <c r="W11" s="326"/>
      <c r="X11" s="326"/>
      <c r="Y11" s="327"/>
      <c r="AA11" s="20"/>
      <c r="AB11" s="20"/>
      <c r="AC11" s="20"/>
      <c r="AD11" s="20"/>
      <c r="AE11" s="20"/>
    </row>
    <row r="12" spans="1:31" ht="15.75" x14ac:dyDescent="0.25">
      <c r="A12" s="30"/>
      <c r="B12" s="11"/>
      <c r="C12" s="18"/>
      <c r="D12" s="18"/>
      <c r="E12" s="13"/>
      <c r="F12" s="14"/>
      <c r="G12" s="341" t="str">
        <f t="shared" si="2"/>
        <v/>
      </c>
      <c r="H12" s="2"/>
      <c r="I12" s="26"/>
      <c r="J12" s="14"/>
      <c r="K12" s="16"/>
      <c r="L12" s="27"/>
      <c r="M12" s="27"/>
      <c r="N12" s="14"/>
      <c r="O12" s="296"/>
      <c r="P12" s="29"/>
      <c r="Q12" s="2"/>
      <c r="R12" s="325"/>
      <c r="S12" s="318"/>
      <c r="T12" s="318"/>
      <c r="U12" s="318"/>
      <c r="V12" s="326"/>
      <c r="W12" s="326"/>
      <c r="X12" s="326"/>
      <c r="Y12" s="327"/>
      <c r="AA12" s="20"/>
      <c r="AB12" s="20"/>
      <c r="AC12" s="20"/>
      <c r="AD12" s="20"/>
      <c r="AE12" s="20"/>
    </row>
    <row r="13" spans="1:31" ht="15.75" x14ac:dyDescent="0.25">
      <c r="A13" s="31"/>
      <c r="B13" s="11">
        <f>+B10+B9+B8+B7+B6+B5+B4</f>
        <v>23</v>
      </c>
      <c r="C13" s="11">
        <f>+C10+C9+C8+C7+C6+C5+C4</f>
        <v>7</v>
      </c>
      <c r="D13" s="32"/>
      <c r="E13" s="32"/>
      <c r="F13" s="14"/>
      <c r="G13" s="33">
        <f>SUM(G4:G12)</f>
        <v>14844881</v>
      </c>
      <c r="H13" s="2"/>
      <c r="I13" s="26"/>
      <c r="J13" s="14"/>
      <c r="K13" s="16"/>
      <c r="L13" s="17"/>
      <c r="M13" s="27"/>
      <c r="N13" s="14"/>
      <c r="O13" s="296"/>
      <c r="P13" s="34"/>
      <c r="Q13" s="2"/>
      <c r="R13" s="418" t="s">
        <v>22</v>
      </c>
      <c r="S13" s="419"/>
      <c r="T13" s="419"/>
      <c r="U13" s="419"/>
      <c r="V13" s="419"/>
      <c r="W13" s="419"/>
      <c r="X13" s="419"/>
      <c r="Y13" s="420"/>
      <c r="AA13" s="20"/>
      <c r="AB13" s="20"/>
      <c r="AC13" s="20"/>
      <c r="AD13" s="20"/>
      <c r="AE13" s="20"/>
    </row>
    <row r="14" spans="1:31" ht="16.5" customHeight="1" x14ac:dyDescent="0.25">
      <c r="A14" s="426" t="s">
        <v>23</v>
      </c>
      <c r="B14" s="426"/>
      <c r="C14" s="426"/>
      <c r="D14" s="426"/>
      <c r="E14" s="426"/>
      <c r="F14" s="426"/>
      <c r="G14" s="426"/>
      <c r="H14" s="2"/>
      <c r="I14" s="26"/>
      <c r="J14" s="14"/>
      <c r="K14" s="16"/>
      <c r="L14" s="17"/>
      <c r="M14" s="27"/>
      <c r="N14" s="14"/>
      <c r="O14" s="296"/>
      <c r="P14" s="35"/>
      <c r="Q14" s="2"/>
      <c r="R14" s="303" t="s">
        <v>11</v>
      </c>
      <c r="S14" s="304" t="s">
        <v>4</v>
      </c>
      <c r="T14" s="305" t="s">
        <v>5</v>
      </c>
      <c r="U14" s="305" t="s">
        <v>6</v>
      </c>
      <c r="V14" s="305" t="s">
        <v>7</v>
      </c>
      <c r="W14" s="305" t="s">
        <v>8</v>
      </c>
      <c r="X14" s="305" t="s">
        <v>9</v>
      </c>
      <c r="Y14" s="305" t="s">
        <v>10</v>
      </c>
      <c r="Z14" s="36"/>
    </row>
    <row r="15" spans="1:31" ht="15.75" x14ac:dyDescent="0.2">
      <c r="A15" s="1" t="s">
        <v>4</v>
      </c>
      <c r="B15" s="5" t="s">
        <v>5</v>
      </c>
      <c r="C15" s="5" t="s">
        <v>6</v>
      </c>
      <c r="D15" s="5" t="s">
        <v>7</v>
      </c>
      <c r="E15" s="5" t="s">
        <v>8</v>
      </c>
      <c r="F15" s="37" t="s">
        <v>9</v>
      </c>
      <c r="G15" s="5" t="s">
        <v>10</v>
      </c>
      <c r="H15" s="2"/>
      <c r="I15" s="31"/>
      <c r="J15" s="31"/>
      <c r="K15" s="31"/>
      <c r="L15" s="31"/>
      <c r="M15" s="31"/>
      <c r="N15" s="14"/>
      <c r="O15" s="296"/>
      <c r="P15" s="38"/>
      <c r="Q15" s="2"/>
      <c r="R15" s="328" t="s">
        <v>13</v>
      </c>
      <c r="S15" s="307" t="s">
        <v>24</v>
      </c>
      <c r="T15" s="308">
        <v>0</v>
      </c>
      <c r="U15" s="307">
        <v>0</v>
      </c>
      <c r="V15" s="310" t="s">
        <v>229</v>
      </c>
      <c r="W15" s="13">
        <f>+IF(X15=0,0,CONCATENATE(MID(X15,FIND("-",X15,1)+1,4),"ORAS"))</f>
        <v>0</v>
      </c>
      <c r="X15" s="296">
        <v>0</v>
      </c>
      <c r="Y15" s="341">
        <f>+IF(X15="","",VLOOKUP(X15,$H$139:$I$217,2,FALSE))*T15</f>
        <v>0</v>
      </c>
    </row>
    <row r="16" spans="1:31" ht="18.75" customHeight="1" x14ac:dyDescent="0.2">
      <c r="A16" s="25"/>
      <c r="B16" s="11">
        <f>+IF(F16=0,0,MID(F16,LEN(F16)-4,3))</f>
        <v>0</v>
      </c>
      <c r="C16" s="359"/>
      <c r="D16" s="12"/>
      <c r="E16" s="13">
        <f>+IF(F16=0,0,CONCATENATE(MID(F16,FIND("-",F16,1)+1,4),"ORAS"))</f>
        <v>0</v>
      </c>
      <c r="F16" s="14">
        <v>0</v>
      </c>
      <c r="G16" s="341">
        <f t="shared" ref="G16:G21" si="6">+IF(F16="","",VLOOKUP(F16,$H$139:$I$217,2,FALSE))</f>
        <v>0</v>
      </c>
      <c r="H16" s="2"/>
      <c r="I16" s="427" t="s">
        <v>26</v>
      </c>
      <c r="J16" s="428"/>
      <c r="K16" s="428"/>
      <c r="L16" s="428"/>
      <c r="M16" s="428"/>
      <c r="N16" s="428"/>
      <c r="O16" s="428"/>
      <c r="P16" s="429"/>
      <c r="Q16" s="2"/>
      <c r="R16" s="329"/>
      <c r="S16" s="314"/>
      <c r="T16" s="330"/>
      <c r="U16" s="314"/>
      <c r="V16" s="323"/>
      <c r="W16" s="14">
        <f>+IF(X16=0,0,CONCATENATE(MID(X16,FIND("-",X16,1)+1,4),"ORAS"))</f>
        <v>0</v>
      </c>
      <c r="X16" s="296">
        <v>0</v>
      </c>
      <c r="Y16" s="35">
        <f>+IF(X16="","",VLOOKUP(X16,$H$139:$I$217,2,FALSE))*T16</f>
        <v>0</v>
      </c>
    </row>
    <row r="17" spans="1:31" ht="23.25" customHeight="1" x14ac:dyDescent="0.2">
      <c r="A17" s="40"/>
      <c r="B17" s="16"/>
      <c r="C17" s="360"/>
      <c r="D17" s="18"/>
      <c r="E17" s="14"/>
      <c r="F17" s="14">
        <v>0</v>
      </c>
      <c r="G17" s="341">
        <f t="shared" si="6"/>
        <v>0</v>
      </c>
      <c r="H17" s="2"/>
      <c r="I17" s="7" t="s">
        <v>11</v>
      </c>
      <c r="J17" s="7" t="s">
        <v>4</v>
      </c>
      <c r="K17" s="8" t="s">
        <v>5</v>
      </c>
      <c r="L17" s="8" t="s">
        <v>6</v>
      </c>
      <c r="M17" s="8" t="s">
        <v>7</v>
      </c>
      <c r="N17" s="8" t="s">
        <v>8</v>
      </c>
      <c r="O17" s="8" t="s">
        <v>9</v>
      </c>
      <c r="P17" s="8" t="s">
        <v>10</v>
      </c>
      <c r="Q17" s="2"/>
      <c r="R17" s="327"/>
      <c r="S17" s="327"/>
      <c r="T17" s="327"/>
      <c r="U17" s="327"/>
      <c r="V17" s="327"/>
      <c r="W17" s="327"/>
      <c r="X17" s="327"/>
      <c r="Y17" s="327"/>
    </row>
    <row r="18" spans="1:31" ht="31.5" x14ac:dyDescent="0.25">
      <c r="A18" s="40"/>
      <c r="B18" s="16"/>
      <c r="C18" s="360"/>
      <c r="D18" s="18"/>
      <c r="E18" s="14"/>
      <c r="F18" s="14">
        <v>0</v>
      </c>
      <c r="G18" s="341">
        <f t="shared" si="6"/>
        <v>0</v>
      </c>
      <c r="H18" s="2"/>
      <c r="I18" s="15" t="s">
        <v>227</v>
      </c>
      <c r="J18" s="14" t="s">
        <v>488</v>
      </c>
      <c r="K18" s="11" t="str">
        <f t="shared" ref="K18:K20" si="7">+IF(O18=0,0,MID(O18,LEN(O18)-4,3))</f>
        <v xml:space="preserve">04 </v>
      </c>
      <c r="L18" s="17">
        <v>1</v>
      </c>
      <c r="M18" s="12" t="s">
        <v>229</v>
      </c>
      <c r="N18" s="13" t="str">
        <f>+IF(O18=0,0,CONCATENATE(MID(O18,FIND("-",O18,1)+1,4),"ORAS"))</f>
        <v>09 HORAS</v>
      </c>
      <c r="O18" s="296" t="s">
        <v>356</v>
      </c>
      <c r="P18" s="362">
        <f t="shared" ref="P18:P22" si="8">+IF(O18="","",VLOOKUP(O18,$H$139:$I$217,2,FALSE))</f>
        <v>1665773</v>
      </c>
      <c r="Q18" s="2"/>
      <c r="R18" s="418" t="s">
        <v>27</v>
      </c>
      <c r="S18" s="419"/>
      <c r="T18" s="419"/>
      <c r="U18" s="419"/>
      <c r="V18" s="419"/>
      <c r="W18" s="419"/>
      <c r="X18" s="419"/>
      <c r="Y18" s="420"/>
    </row>
    <row r="19" spans="1:31" ht="31.5" x14ac:dyDescent="0.25">
      <c r="A19" s="41"/>
      <c r="B19" s="16"/>
      <c r="C19" s="18"/>
      <c r="D19" s="18"/>
      <c r="E19" s="14"/>
      <c r="F19" s="14">
        <v>0</v>
      </c>
      <c r="G19" s="341">
        <f t="shared" si="6"/>
        <v>0</v>
      </c>
      <c r="H19" s="2"/>
      <c r="I19" s="15" t="s">
        <v>13</v>
      </c>
      <c r="J19" s="14" t="s">
        <v>385</v>
      </c>
      <c r="K19" s="11" t="str">
        <f t="shared" si="7"/>
        <v xml:space="preserve">02 </v>
      </c>
      <c r="L19" s="42">
        <v>1</v>
      </c>
      <c r="M19" s="12" t="s">
        <v>229</v>
      </c>
      <c r="N19" s="13" t="str">
        <f>+IF(O19=0,0,CONCATENATE(MID(O19,FIND("-",O19,1)+1,4),"ORAS"))</f>
        <v>15 HORAS</v>
      </c>
      <c r="O19" s="296" t="s">
        <v>353</v>
      </c>
      <c r="P19" s="366">
        <f t="shared" si="8"/>
        <v>1435144</v>
      </c>
      <c r="Q19" s="2"/>
      <c r="R19" s="303" t="s">
        <v>11</v>
      </c>
      <c r="S19" s="304" t="s">
        <v>4</v>
      </c>
      <c r="T19" s="305" t="s">
        <v>5</v>
      </c>
      <c r="U19" s="305" t="s">
        <v>6</v>
      </c>
      <c r="V19" s="305" t="s">
        <v>7</v>
      </c>
      <c r="W19" s="305" t="s">
        <v>8</v>
      </c>
      <c r="X19" s="305" t="s">
        <v>9</v>
      </c>
      <c r="Y19" s="305" t="s">
        <v>10</v>
      </c>
      <c r="AA19" s="20"/>
      <c r="AB19" s="20"/>
      <c r="AC19" s="20"/>
      <c r="AD19" s="20"/>
      <c r="AE19" s="20"/>
    </row>
    <row r="20" spans="1:31" ht="31.5" x14ac:dyDescent="0.25">
      <c r="A20" s="43"/>
      <c r="B20" s="16"/>
      <c r="C20" s="44"/>
      <c r="D20" s="44"/>
      <c r="E20" s="14"/>
      <c r="F20" s="14">
        <v>0</v>
      </c>
      <c r="G20" s="341">
        <f t="shared" si="6"/>
        <v>0</v>
      </c>
      <c r="H20" s="2"/>
      <c r="I20" s="15" t="s">
        <v>13</v>
      </c>
      <c r="J20" s="13" t="s">
        <v>483</v>
      </c>
      <c r="K20" s="11" t="str">
        <f t="shared" si="7"/>
        <v xml:space="preserve">04 </v>
      </c>
      <c r="L20" s="45">
        <v>1</v>
      </c>
      <c r="M20" s="12" t="s">
        <v>229</v>
      </c>
      <c r="N20" s="13" t="str">
        <f>+IF(O20=0,0,CONCATENATE(MID(O20,FIND("-",O20,1)+1,4),"ORAS"))</f>
        <v>15 HORAS</v>
      </c>
      <c r="O20" s="296" t="s">
        <v>351</v>
      </c>
      <c r="P20" s="362">
        <f t="shared" si="8"/>
        <v>1955007</v>
      </c>
      <c r="Q20" s="2"/>
      <c r="R20" s="331" t="s">
        <v>28</v>
      </c>
      <c r="S20" s="307" t="s">
        <v>390</v>
      </c>
      <c r="T20" s="320" t="s">
        <v>25</v>
      </c>
      <c r="U20" s="307" t="s">
        <v>25</v>
      </c>
      <c r="V20" s="332" t="s">
        <v>229</v>
      </c>
      <c r="W20" s="14" t="e">
        <f t="shared" ref="W20:W29" si="9">+IF(X20=0,0,CONCATENATE(MID(X20,FIND("-",X20,1)+1,4),"ORAS"))</f>
        <v>#VALUE!</v>
      </c>
      <c r="X20" s="296" t="s">
        <v>413</v>
      </c>
      <c r="Y20" s="362">
        <f t="shared" ref="Y20:Y29" si="10">+IF(X20="","",VLOOKUP(X20,$H$139:$I$217,2,FALSE))</f>
        <v>477011</v>
      </c>
      <c r="AA20" s="20"/>
      <c r="AB20" s="20"/>
      <c r="AC20" s="20"/>
      <c r="AD20" s="20"/>
      <c r="AE20" s="20"/>
    </row>
    <row r="21" spans="1:31" ht="15.75" x14ac:dyDescent="0.25">
      <c r="A21" s="43"/>
      <c r="B21" s="16"/>
      <c r="C21" s="44"/>
      <c r="D21" s="44"/>
      <c r="E21" s="14"/>
      <c r="F21" s="14">
        <v>0</v>
      </c>
      <c r="G21" s="341">
        <f t="shared" si="6"/>
        <v>0</v>
      </c>
      <c r="H21" s="2"/>
      <c r="I21" s="26"/>
      <c r="J21" s="13"/>
      <c r="K21" s="16"/>
      <c r="L21" s="45"/>
      <c r="M21" s="19"/>
      <c r="N21" s="13"/>
      <c r="O21" s="296">
        <v>0</v>
      </c>
      <c r="P21" s="341">
        <f t="shared" si="8"/>
        <v>0</v>
      </c>
      <c r="Q21" s="2"/>
      <c r="R21" s="333" t="s">
        <v>28</v>
      </c>
      <c r="S21" s="314" t="s">
        <v>24</v>
      </c>
      <c r="T21" s="334" t="s">
        <v>25</v>
      </c>
      <c r="U21" s="314" t="s">
        <v>25</v>
      </c>
      <c r="V21" s="332" t="s">
        <v>229</v>
      </c>
      <c r="W21" s="14" t="str">
        <f t="shared" si="9"/>
        <v>15 HORAS</v>
      </c>
      <c r="X21" s="296" t="s">
        <v>403</v>
      </c>
      <c r="Y21" s="362">
        <f t="shared" si="10"/>
        <v>1128712</v>
      </c>
      <c r="AA21" s="20"/>
      <c r="AB21" s="20"/>
      <c r="AC21" s="20"/>
      <c r="AD21" s="20"/>
      <c r="AE21" s="20"/>
    </row>
    <row r="22" spans="1:31" ht="15.75" x14ac:dyDescent="0.25">
      <c r="A22" s="46" t="s">
        <v>29</v>
      </c>
      <c r="B22" s="47">
        <f>SUM(B4:B13)+B16+B17+B18+B19+B20+B21</f>
        <v>23</v>
      </c>
      <c r="C22" s="47">
        <f>+C4+C5+C6+C7+C8+C9+C10+C16</f>
        <v>7</v>
      </c>
      <c r="D22" s="48"/>
      <c r="E22" s="49"/>
      <c r="F22" s="48"/>
      <c r="G22" s="33">
        <f>SUM(G13,G16:G21)</f>
        <v>14844881</v>
      </c>
      <c r="H22" s="2"/>
      <c r="I22" s="26"/>
      <c r="J22" s="14"/>
      <c r="K22" s="16"/>
      <c r="L22" s="42"/>
      <c r="M22" s="42"/>
      <c r="N22" s="13"/>
      <c r="O22" s="296">
        <v>0</v>
      </c>
      <c r="P22" s="341">
        <f t="shared" si="8"/>
        <v>0</v>
      </c>
      <c r="Q22" s="2"/>
      <c r="R22" s="333" t="s">
        <v>28</v>
      </c>
      <c r="S22" s="314" t="s">
        <v>24</v>
      </c>
      <c r="T22" s="334" t="s">
        <v>25</v>
      </c>
      <c r="U22" s="314" t="s">
        <v>25</v>
      </c>
      <c r="V22" s="332" t="s">
        <v>229</v>
      </c>
      <c r="W22" s="14" t="str">
        <f t="shared" si="9"/>
        <v>15 HORAS</v>
      </c>
      <c r="X22" s="296" t="s">
        <v>403</v>
      </c>
      <c r="Y22" s="362">
        <f t="shared" si="10"/>
        <v>1128712</v>
      </c>
      <c r="AA22" s="20"/>
      <c r="AB22" s="20"/>
      <c r="AC22" s="20"/>
      <c r="AD22" s="20"/>
      <c r="AE22" s="20"/>
    </row>
    <row r="23" spans="1:31" ht="15.75" x14ac:dyDescent="0.25">
      <c r="A23" s="430" t="s">
        <v>30</v>
      </c>
      <c r="B23" s="430"/>
      <c r="C23" s="430"/>
      <c r="D23" s="430"/>
      <c r="E23" s="430"/>
      <c r="F23" s="430"/>
      <c r="G23" s="430"/>
      <c r="H23" s="2"/>
      <c r="I23" s="51"/>
      <c r="J23" s="14"/>
      <c r="K23" s="16"/>
      <c r="L23" s="42"/>
      <c r="M23" s="19"/>
      <c r="N23" s="13"/>
      <c r="O23" s="296"/>
      <c r="P23" s="52"/>
      <c r="Q23" s="2"/>
      <c r="R23" s="329" t="s">
        <v>227</v>
      </c>
      <c r="S23" s="314" t="s">
        <v>391</v>
      </c>
      <c r="T23" s="334" t="s">
        <v>25</v>
      </c>
      <c r="U23" s="314" t="s">
        <v>25</v>
      </c>
      <c r="V23" s="335" t="s">
        <v>229</v>
      </c>
      <c r="W23" s="14" t="e">
        <f t="shared" si="9"/>
        <v>#VALUE!</v>
      </c>
      <c r="X23" s="296" t="s">
        <v>413</v>
      </c>
      <c r="Y23" s="362">
        <f t="shared" si="10"/>
        <v>477011</v>
      </c>
      <c r="AA23" s="20"/>
      <c r="AB23" s="20"/>
      <c r="AC23" s="20"/>
      <c r="AD23" s="20"/>
      <c r="AE23" s="20"/>
    </row>
    <row r="24" spans="1:31" ht="21.95" customHeight="1" x14ac:dyDescent="0.25">
      <c r="A24" s="430" t="s">
        <v>1</v>
      </c>
      <c r="B24" s="430"/>
      <c r="C24" s="430"/>
      <c r="D24" s="430"/>
      <c r="E24" s="430"/>
      <c r="F24" s="430"/>
      <c r="G24" s="430"/>
      <c r="H24" s="2"/>
      <c r="I24" s="26"/>
      <c r="J24" s="53"/>
      <c r="K24" s="16"/>
      <c r="L24" s="27"/>
      <c r="M24" s="27"/>
      <c r="N24" s="14"/>
      <c r="O24" s="296"/>
      <c r="P24" s="54"/>
      <c r="Q24" s="2"/>
      <c r="R24" s="329" t="s">
        <v>227</v>
      </c>
      <c r="S24" s="339" t="s">
        <v>386</v>
      </c>
      <c r="T24" s="336" t="s">
        <v>25</v>
      </c>
      <c r="U24" s="314">
        <v>1</v>
      </c>
      <c r="V24" s="337" t="s">
        <v>387</v>
      </c>
      <c r="W24" s="14" t="str">
        <f t="shared" si="9"/>
        <v>15 HORAS</v>
      </c>
      <c r="X24" s="296" t="s">
        <v>395</v>
      </c>
      <c r="Y24" s="362">
        <f t="shared" si="10"/>
        <v>832623</v>
      </c>
      <c r="AA24" s="20"/>
      <c r="AB24" s="20"/>
      <c r="AC24" s="20"/>
      <c r="AD24" s="20"/>
      <c r="AE24" s="20"/>
    </row>
    <row r="25" spans="1:31" ht="15.75" x14ac:dyDescent="0.25">
      <c r="A25" s="50" t="s">
        <v>4</v>
      </c>
      <c r="B25" s="55" t="s">
        <v>5</v>
      </c>
      <c r="C25" s="55" t="s">
        <v>6</v>
      </c>
      <c r="D25" s="55" t="s">
        <v>7</v>
      </c>
      <c r="E25" s="55" t="s">
        <v>8</v>
      </c>
      <c r="F25" s="55" t="s">
        <v>9</v>
      </c>
      <c r="G25" s="55" t="s">
        <v>10</v>
      </c>
      <c r="H25" s="2"/>
      <c r="I25" s="2"/>
      <c r="J25" s="56" t="s">
        <v>32</v>
      </c>
      <c r="K25" s="340">
        <f>K4+K5+K6+K7+K8+K9+K18+K19+K20</f>
        <v>13</v>
      </c>
      <c r="L25" s="57">
        <f>SUM(L4:L24)</f>
        <v>4</v>
      </c>
      <c r="M25" s="56"/>
      <c r="N25" s="56"/>
      <c r="O25" s="297"/>
      <c r="P25" s="58">
        <f>SUM(P4:P24)</f>
        <v>6075841</v>
      </c>
      <c r="Q25" s="2"/>
      <c r="R25" s="338" t="s">
        <v>31</v>
      </c>
      <c r="S25" s="339" t="s">
        <v>24</v>
      </c>
      <c r="T25" s="336" t="s">
        <v>25</v>
      </c>
      <c r="U25" s="314" t="s">
        <v>25</v>
      </c>
      <c r="V25" s="337" t="s">
        <v>387</v>
      </c>
      <c r="W25" s="14" t="str">
        <f t="shared" si="9"/>
        <v>15 HORAS</v>
      </c>
      <c r="X25" s="296" t="s">
        <v>403</v>
      </c>
      <c r="Y25" s="362">
        <f t="shared" si="10"/>
        <v>1128712</v>
      </c>
      <c r="AA25" s="62"/>
      <c r="AB25" s="62"/>
      <c r="AC25" s="62"/>
      <c r="AD25" s="62"/>
      <c r="AE25" s="63"/>
    </row>
    <row r="26" spans="1:31" ht="15.75" x14ac:dyDescent="0.25">
      <c r="A26" s="64" t="s">
        <v>33</v>
      </c>
      <c r="B26" s="11" t="str">
        <f t="shared" ref="B26:B28" si="11">+IF(F26=0,0,MID(F26,LEN(F26)-4,3))</f>
        <v xml:space="preserve">04 </v>
      </c>
      <c r="C26" s="12">
        <v>1</v>
      </c>
      <c r="D26" s="12" t="s">
        <v>229</v>
      </c>
      <c r="E26" s="13" t="str">
        <f>+IF(F26=0,0,CONCATENATE(MID(F26,FIND("-",F26,1)+1,4),"ORAS"))</f>
        <v>15 HORAS</v>
      </c>
      <c r="F26" s="14" t="s">
        <v>351</v>
      </c>
      <c r="G26" s="362">
        <f t="shared" ref="G26:G31" si="12">+IF(F26="","",VLOOKUP(F26,$H$139:$I$217,2,FALSE))</f>
        <v>1955007</v>
      </c>
      <c r="H26" s="2"/>
      <c r="I26" s="2"/>
      <c r="J26" s="2"/>
      <c r="K26" s="2"/>
      <c r="L26" s="2"/>
      <c r="M26" s="2"/>
      <c r="N26" s="2"/>
      <c r="O26" s="295"/>
      <c r="P26" s="2"/>
      <c r="Q26" s="2"/>
      <c r="R26" s="338" t="s">
        <v>31</v>
      </c>
      <c r="S26" s="307" t="s">
        <v>392</v>
      </c>
      <c r="T26" s="334" t="s">
        <v>25</v>
      </c>
      <c r="U26" s="314" t="s">
        <v>25</v>
      </c>
      <c r="V26" s="337" t="s">
        <v>388</v>
      </c>
      <c r="W26" s="14" t="e">
        <f t="shared" si="9"/>
        <v>#VALUE!</v>
      </c>
      <c r="X26" s="296" t="s">
        <v>413</v>
      </c>
      <c r="Y26" s="362">
        <f t="shared" si="10"/>
        <v>477011</v>
      </c>
      <c r="AA26" s="20"/>
      <c r="AB26" s="20"/>
      <c r="AC26" s="20"/>
      <c r="AD26" s="20"/>
      <c r="AE26" s="20"/>
    </row>
    <row r="27" spans="1:31" ht="20.100000000000001" customHeight="1" x14ac:dyDescent="0.25">
      <c r="A27" s="64" t="s">
        <v>34</v>
      </c>
      <c r="B27" s="11" t="str">
        <f t="shared" si="11"/>
        <v xml:space="preserve">04 </v>
      </c>
      <c r="C27" s="65">
        <v>1</v>
      </c>
      <c r="D27" s="12" t="s">
        <v>229</v>
      </c>
      <c r="E27" s="13" t="str">
        <f>+IF(F27=0,0,CONCATENATE(MID(F27,FIND("-",F27,1)+1,4),"ORAS"))</f>
        <v>15 HORAS</v>
      </c>
      <c r="F27" s="14" t="s">
        <v>351</v>
      </c>
      <c r="G27" s="362">
        <f t="shared" si="12"/>
        <v>1955007</v>
      </c>
      <c r="H27" s="2"/>
      <c r="I27" s="2"/>
      <c r="J27" s="2"/>
      <c r="K27" s="2"/>
      <c r="L27" s="2"/>
      <c r="M27" s="2"/>
      <c r="N27" s="2"/>
      <c r="O27" s="295"/>
      <c r="P27" s="2"/>
      <c r="Q27" s="2"/>
      <c r="R27" s="338"/>
      <c r="S27" s="307"/>
      <c r="T27" s="334"/>
      <c r="U27" s="314"/>
      <c r="V27" s="337"/>
      <c r="W27" s="14">
        <f t="shared" si="9"/>
        <v>0</v>
      </c>
      <c r="X27" s="296">
        <v>0</v>
      </c>
      <c r="Y27" s="341">
        <f t="shared" si="10"/>
        <v>0</v>
      </c>
    </row>
    <row r="28" spans="1:31" ht="15.75" customHeight="1" x14ac:dyDescent="0.25">
      <c r="A28" s="64" t="s">
        <v>35</v>
      </c>
      <c r="B28" s="11" t="str">
        <f t="shared" si="11"/>
        <v xml:space="preserve">04 </v>
      </c>
      <c r="C28" s="65">
        <v>1</v>
      </c>
      <c r="D28" s="12" t="s">
        <v>229</v>
      </c>
      <c r="E28" s="13" t="str">
        <f>+IF(F28=0,0,CONCATENATE(MID(F28,FIND("-",F28,1)+1,4),"ORAS"))</f>
        <v>15 HORAS</v>
      </c>
      <c r="F28" s="14" t="s">
        <v>351</v>
      </c>
      <c r="G28" s="362">
        <f t="shared" si="12"/>
        <v>1955007</v>
      </c>
      <c r="H28" s="2"/>
      <c r="I28" s="2"/>
      <c r="J28" s="2"/>
      <c r="K28" s="2"/>
      <c r="L28" s="2"/>
      <c r="M28" s="2"/>
      <c r="N28" s="2"/>
      <c r="O28" s="295"/>
      <c r="P28" s="2"/>
      <c r="Q28" s="2"/>
      <c r="R28" s="338"/>
      <c r="S28" s="314"/>
      <c r="T28" s="334"/>
      <c r="U28" s="314"/>
      <c r="V28" s="337"/>
      <c r="W28" s="14">
        <f t="shared" si="9"/>
        <v>0</v>
      </c>
      <c r="X28" s="296">
        <v>0</v>
      </c>
      <c r="Y28" s="341">
        <f t="shared" si="10"/>
        <v>0</v>
      </c>
    </row>
    <row r="29" spans="1:31" ht="15.75" x14ac:dyDescent="0.25">
      <c r="A29" s="66" t="s">
        <v>36</v>
      </c>
      <c r="B29" s="11" t="str">
        <f>+IF(F29=0,0,MID(F29,LEN(F29)-4,3))</f>
        <v xml:space="preserve">03 </v>
      </c>
      <c r="C29" s="12">
        <v>1</v>
      </c>
      <c r="D29" s="12" t="s">
        <v>229</v>
      </c>
      <c r="E29" s="13" t="str">
        <f>+IF(F29=0,0,CONCATENATE(MID(F29,FIND("-",F29,1)+1,4),"ORAS"))</f>
        <v>15 HORAS</v>
      </c>
      <c r="F29" s="14" t="s">
        <v>352</v>
      </c>
      <c r="G29" s="362">
        <f t="shared" si="12"/>
        <v>1795972</v>
      </c>
      <c r="H29" s="2"/>
      <c r="I29" s="2"/>
      <c r="J29" s="2"/>
      <c r="K29" s="2"/>
      <c r="L29" s="2"/>
      <c r="M29" s="2"/>
      <c r="N29" s="2"/>
      <c r="O29" s="295"/>
      <c r="P29" s="2"/>
      <c r="Q29" s="2"/>
      <c r="R29" s="338"/>
      <c r="S29" s="314"/>
      <c r="T29" s="334"/>
      <c r="U29" s="314"/>
      <c r="V29" s="337"/>
      <c r="W29" s="13">
        <f t="shared" si="9"/>
        <v>0</v>
      </c>
      <c r="X29" s="345">
        <v>0</v>
      </c>
      <c r="Y29" s="341">
        <f t="shared" si="10"/>
        <v>0</v>
      </c>
    </row>
    <row r="30" spans="1:31" ht="15.75" x14ac:dyDescent="0.25">
      <c r="A30" s="66"/>
      <c r="B30" s="39"/>
      <c r="C30" s="65"/>
      <c r="D30" s="19"/>
      <c r="E30" s="13"/>
      <c r="F30" s="14">
        <v>0</v>
      </c>
      <c r="G30" s="341">
        <f t="shared" si="12"/>
        <v>0</v>
      </c>
      <c r="H30" s="2"/>
      <c r="I30" s="2"/>
      <c r="J30" s="2"/>
      <c r="K30" s="2"/>
      <c r="L30" s="2"/>
      <c r="M30" s="2"/>
      <c r="N30" s="2"/>
      <c r="O30" s="295"/>
      <c r="P30" s="2"/>
      <c r="Q30" s="2"/>
      <c r="R30" s="338"/>
      <c r="S30" s="314"/>
      <c r="T30" s="334"/>
      <c r="U30" s="314"/>
      <c r="V30" s="337"/>
      <c r="W30" s="14">
        <f>+IF(X30=0,0,CONCATENATE(MID(X30,FIND("-",X30,1)+1,4),"ORAS"))</f>
        <v>0</v>
      </c>
      <c r="X30" s="296">
        <v>0</v>
      </c>
      <c r="Y30" s="35">
        <f>+IF(X30="","",VLOOKUP(X30,$H$139:$I$217,2,FALSE))</f>
        <v>0</v>
      </c>
    </row>
    <row r="31" spans="1:31" ht="15.75" x14ac:dyDescent="0.2">
      <c r="A31" s="66"/>
      <c r="B31" s="65"/>
      <c r="C31" s="65"/>
      <c r="D31" s="19"/>
      <c r="E31" s="13"/>
      <c r="F31" s="44"/>
      <c r="G31" s="341" t="str">
        <f t="shared" si="12"/>
        <v/>
      </c>
      <c r="H31" s="2"/>
      <c r="I31" s="2"/>
      <c r="J31" s="2"/>
      <c r="K31" s="2"/>
      <c r="L31" s="2"/>
      <c r="M31" s="2"/>
      <c r="N31" s="2"/>
      <c r="O31" s="295"/>
      <c r="P31" s="2"/>
      <c r="Q31" s="2"/>
      <c r="R31" s="2"/>
      <c r="S31" s="2"/>
      <c r="T31" s="2"/>
      <c r="U31" s="2"/>
      <c r="V31" s="2"/>
      <c r="W31" s="2"/>
      <c r="X31" s="2"/>
      <c r="Y31" s="2"/>
    </row>
    <row r="32" spans="1:31" ht="15.75" x14ac:dyDescent="0.2">
      <c r="A32" s="421" t="s">
        <v>23</v>
      </c>
      <c r="B32" s="421"/>
      <c r="C32" s="421"/>
      <c r="D32" s="421"/>
      <c r="E32" s="421"/>
      <c r="F32" s="421"/>
      <c r="G32" s="421"/>
      <c r="H32" s="2"/>
      <c r="I32" s="2"/>
      <c r="J32" s="2"/>
      <c r="K32" s="2"/>
      <c r="L32" s="2"/>
      <c r="M32" s="2"/>
      <c r="N32" s="2"/>
      <c r="O32" s="295"/>
      <c r="P32" s="2"/>
      <c r="Q32" s="2"/>
      <c r="R32" s="2"/>
      <c r="S32" s="2"/>
      <c r="T32" s="2"/>
      <c r="U32" s="2"/>
      <c r="V32" s="2"/>
      <c r="W32" s="2"/>
      <c r="X32" s="2"/>
      <c r="Y32" s="2"/>
    </row>
    <row r="33" spans="1:25" ht="15.75" x14ac:dyDescent="0.2">
      <c r="A33" s="50"/>
      <c r="B33" s="55" t="s">
        <v>5</v>
      </c>
      <c r="C33" s="55" t="s">
        <v>6</v>
      </c>
      <c r="D33" s="55" t="s">
        <v>7</v>
      </c>
      <c r="E33" s="55"/>
      <c r="F33" s="55" t="s">
        <v>9</v>
      </c>
      <c r="G33" s="55" t="s">
        <v>10</v>
      </c>
      <c r="H33" s="2"/>
      <c r="I33" s="2"/>
      <c r="J33" s="2"/>
      <c r="K33" s="2"/>
      <c r="L33" s="2"/>
      <c r="M33" s="2"/>
      <c r="N33" s="2"/>
      <c r="O33" s="295"/>
      <c r="P33" s="2"/>
      <c r="Q33" s="2"/>
      <c r="R33" s="2"/>
      <c r="S33" s="59" t="s">
        <v>32</v>
      </c>
      <c r="T33" s="60">
        <f>+T15+T16+T4+T5+T6+T7</f>
        <v>12</v>
      </c>
      <c r="U33" s="60">
        <f>SUM(U4:U7,U24)</f>
        <v>4</v>
      </c>
      <c r="V33" s="59"/>
      <c r="W33" s="59"/>
      <c r="X33" s="59"/>
      <c r="Y33" s="61">
        <f>SUM(Y4:Y30)</f>
        <v>10725462</v>
      </c>
    </row>
    <row r="34" spans="1:25" ht="15.75" x14ac:dyDescent="0.25">
      <c r="A34" s="10" t="s">
        <v>37</v>
      </c>
      <c r="B34" s="11" t="str">
        <f t="shared" ref="B34:B37" si="13">+IF(F34=0,0,MID(F34,LEN(F34)-4,3))</f>
        <v xml:space="preserve">03 </v>
      </c>
      <c r="C34" s="361">
        <v>1</v>
      </c>
      <c r="D34" s="12" t="s">
        <v>229</v>
      </c>
      <c r="E34" s="13" t="str">
        <f>+IF(F34=0,0,CONCATENATE(MID(F34,FIND("-",F34,1)+1,4),"ORAS"))</f>
        <v>15 HORAS</v>
      </c>
      <c r="F34" s="14" t="s">
        <v>367</v>
      </c>
      <c r="G34" s="362">
        <f t="shared" ref="G34:G39" si="14">+IF(F34="","",VLOOKUP(F34,$H$139:$I$217,2,FALSE))</f>
        <v>1505234</v>
      </c>
      <c r="H34" s="2"/>
      <c r="I34" s="2"/>
      <c r="J34" s="2"/>
      <c r="K34" s="2"/>
      <c r="L34" s="2"/>
      <c r="M34" s="2"/>
      <c r="N34" s="2"/>
      <c r="O34" s="295"/>
      <c r="P34" s="2"/>
      <c r="Q34" s="2"/>
      <c r="R34" s="2"/>
      <c r="S34" s="2"/>
      <c r="T34" s="2"/>
      <c r="U34" s="2"/>
      <c r="V34" s="2"/>
      <c r="W34" s="2"/>
      <c r="X34" s="2"/>
      <c r="Y34" s="67"/>
    </row>
    <row r="35" spans="1:25" ht="15.75" x14ac:dyDescent="0.25">
      <c r="A35" s="64" t="s">
        <v>38</v>
      </c>
      <c r="B35" s="11" t="str">
        <f t="shared" si="13"/>
        <v xml:space="preserve">03 </v>
      </c>
      <c r="C35" s="361">
        <v>1</v>
      </c>
      <c r="D35" s="12" t="s">
        <v>229</v>
      </c>
      <c r="E35" s="13" t="str">
        <f>+IF(F35=0,0,CONCATENATE(MID(F35,FIND("-",F35,1)+1,4),"ORAS"))</f>
        <v>15 HORAS</v>
      </c>
      <c r="F35" s="14" t="s">
        <v>367</v>
      </c>
      <c r="G35" s="362">
        <f t="shared" si="14"/>
        <v>1505234</v>
      </c>
      <c r="H35" s="2"/>
      <c r="I35" s="2"/>
      <c r="J35" s="2"/>
      <c r="K35" s="2"/>
      <c r="L35" s="2"/>
      <c r="M35" s="2"/>
      <c r="N35" s="2"/>
      <c r="O35" s="295"/>
      <c r="P35" s="2"/>
      <c r="Q35" s="2"/>
      <c r="R35" s="2"/>
      <c r="S35" s="2"/>
      <c r="T35" s="2"/>
      <c r="U35" s="2"/>
      <c r="V35" s="2"/>
      <c r="W35" s="2"/>
      <c r="X35" s="2"/>
      <c r="Y35" s="2"/>
    </row>
    <row r="36" spans="1:25" ht="15.75" x14ac:dyDescent="0.25">
      <c r="A36" s="64" t="s">
        <v>39</v>
      </c>
      <c r="B36" s="11" t="str">
        <f t="shared" si="13"/>
        <v xml:space="preserve">03 </v>
      </c>
      <c r="C36" s="361">
        <v>1</v>
      </c>
      <c r="D36" s="12" t="s">
        <v>229</v>
      </c>
      <c r="E36" s="13" t="str">
        <f>+IF(F36=0,0,CONCATENATE(MID(F36,FIND("-",F36,1)+1,4),"ORAS"))</f>
        <v>15 HORAS</v>
      </c>
      <c r="F36" s="14" t="s">
        <v>367</v>
      </c>
      <c r="G36" s="362">
        <f t="shared" si="14"/>
        <v>1505234</v>
      </c>
      <c r="H36" s="2"/>
      <c r="I36" s="2"/>
      <c r="J36" s="2"/>
      <c r="K36" s="2"/>
      <c r="L36" s="2"/>
      <c r="M36" s="2"/>
      <c r="N36" s="2"/>
      <c r="O36" s="295"/>
      <c r="P36" s="2"/>
      <c r="Q36" s="2"/>
      <c r="R36" s="2"/>
      <c r="S36" s="2"/>
      <c r="T36" s="2"/>
      <c r="U36" s="2"/>
      <c r="V36" s="2"/>
      <c r="W36" s="2"/>
      <c r="X36" s="2"/>
      <c r="Y36" s="2"/>
    </row>
    <row r="37" spans="1:25" ht="15.75" x14ac:dyDescent="0.25">
      <c r="A37" s="26" t="s">
        <v>383</v>
      </c>
      <c r="B37" s="11" t="str">
        <f t="shared" si="13"/>
        <v xml:space="preserve">03 </v>
      </c>
      <c r="C37" s="361">
        <v>1</v>
      </c>
      <c r="D37" s="12" t="s">
        <v>229</v>
      </c>
      <c r="E37" s="13" t="str">
        <f>+IF(F37=0,0,CONCATENATE(MID(F37,FIND("-",F37,1)+1,4),"ORAS"))</f>
        <v>15 HORAS</v>
      </c>
      <c r="F37" s="14" t="s">
        <v>367</v>
      </c>
      <c r="G37" s="362">
        <f t="shared" si="14"/>
        <v>1505234</v>
      </c>
      <c r="H37" s="2"/>
      <c r="I37" s="2"/>
      <c r="J37" s="2"/>
      <c r="K37" s="2"/>
      <c r="L37" s="2"/>
      <c r="M37" s="2"/>
      <c r="N37" s="2"/>
      <c r="O37" s="295"/>
      <c r="P37" s="2"/>
      <c r="Q37" s="2"/>
      <c r="R37" s="2"/>
      <c r="S37" s="2"/>
      <c r="T37" s="2"/>
      <c r="U37" s="2"/>
      <c r="V37" s="2"/>
      <c r="W37" s="2"/>
      <c r="X37" s="2"/>
      <c r="Y37" s="2"/>
    </row>
    <row r="38" spans="1:25" ht="15.75" x14ac:dyDescent="0.25">
      <c r="A38" s="68"/>
      <c r="B38" s="11">
        <f>+IF(F38=0,0,MID(F38,LEN(F38)-4,3))</f>
        <v>0</v>
      </c>
      <c r="C38" s="361"/>
      <c r="D38" s="12" t="s">
        <v>229</v>
      </c>
      <c r="E38" s="13">
        <f>+IF(F38=0,0,CONCATENATE(MID(F38,FIND("-",F38,1)+1,4),"ORAS"))</f>
        <v>0</v>
      </c>
      <c r="F38" s="14">
        <v>0</v>
      </c>
      <c r="G38" s="341">
        <f t="shared" si="14"/>
        <v>0</v>
      </c>
      <c r="H38" s="2"/>
      <c r="I38" s="2"/>
      <c r="J38" s="2"/>
      <c r="K38" s="2"/>
      <c r="L38" s="2"/>
      <c r="M38" s="2"/>
      <c r="N38" s="2"/>
      <c r="O38" s="295"/>
      <c r="P38" s="2"/>
      <c r="Q38" s="2"/>
      <c r="R38" s="2"/>
      <c r="S38" s="2"/>
      <c r="T38" s="2"/>
      <c r="U38" s="2"/>
      <c r="V38" s="2"/>
      <c r="W38" s="2"/>
      <c r="X38" s="2"/>
      <c r="Y38" s="2"/>
    </row>
    <row r="39" spans="1:25" ht="15.75" x14ac:dyDescent="0.2">
      <c r="A39" s="69"/>
      <c r="B39" s="16"/>
      <c r="C39" s="70"/>
      <c r="D39" s="32"/>
      <c r="E39" s="13"/>
      <c r="F39" s="14">
        <v>0</v>
      </c>
      <c r="G39" s="341">
        <f t="shared" si="14"/>
        <v>0</v>
      </c>
      <c r="H39" s="2"/>
      <c r="I39" s="2"/>
      <c r="J39" s="2"/>
      <c r="K39" s="2"/>
      <c r="L39" s="2"/>
      <c r="M39" s="2"/>
      <c r="N39" s="2"/>
      <c r="O39" s="295"/>
      <c r="P39" s="2"/>
      <c r="Q39" s="2"/>
      <c r="R39" s="2"/>
      <c r="S39" s="2"/>
      <c r="T39" s="2"/>
      <c r="U39" s="2"/>
      <c r="V39" s="2"/>
      <c r="W39" s="2"/>
      <c r="X39" s="2"/>
      <c r="Y39" s="2"/>
    </row>
    <row r="40" spans="1:25" ht="15.75" x14ac:dyDescent="0.2">
      <c r="A40" s="46" t="s">
        <v>29</v>
      </c>
      <c r="B40" s="47">
        <f>+B26+B27+B28+B34+B35+B36+B37+B38</f>
        <v>24</v>
      </c>
      <c r="C40" s="48">
        <f>SUM(C26:C32)+C34+C35+C36+C37+C38+C39</f>
        <v>8</v>
      </c>
      <c r="D40" s="48"/>
      <c r="E40" s="13">
        <f>+IF(F40=0,0,CONCATENATE(MID(F40,FIND("-",F40,1)+1,3),"ORAS"))</f>
        <v>0</v>
      </c>
      <c r="F40" s="48"/>
      <c r="G40" s="33">
        <f>SUM(G26:G31,G34:G39)</f>
        <v>13681929</v>
      </c>
      <c r="H40" s="2"/>
      <c r="I40" s="2"/>
      <c r="J40" s="2"/>
      <c r="K40" s="2"/>
      <c r="L40" s="2"/>
      <c r="M40" s="2"/>
      <c r="N40" s="2"/>
      <c r="O40" s="295"/>
      <c r="P40" s="2"/>
      <c r="Q40" s="2"/>
      <c r="R40" s="2"/>
      <c r="S40" s="2"/>
      <c r="T40" s="2"/>
      <c r="U40" s="2"/>
      <c r="V40" s="2"/>
      <c r="W40" s="2"/>
      <c r="X40" s="2"/>
      <c r="Y40" s="2"/>
    </row>
    <row r="41" spans="1:25" ht="15.75" x14ac:dyDescent="0.2">
      <c r="A41" s="436" t="s">
        <v>40</v>
      </c>
      <c r="B41" s="436"/>
      <c r="C41" s="436"/>
      <c r="D41" s="436"/>
      <c r="E41" s="436"/>
      <c r="F41" s="436"/>
      <c r="G41" s="436"/>
      <c r="H41" s="2"/>
      <c r="I41" s="2"/>
      <c r="J41" s="2"/>
      <c r="K41" s="2"/>
      <c r="L41" s="2"/>
      <c r="M41" s="2"/>
      <c r="N41" s="2"/>
      <c r="O41" s="295"/>
      <c r="P41" s="2"/>
      <c r="Q41" s="2"/>
      <c r="R41" s="2"/>
      <c r="S41" s="2"/>
      <c r="T41" s="2"/>
      <c r="U41" s="2"/>
      <c r="V41" s="2"/>
      <c r="W41" s="2"/>
      <c r="X41" s="2"/>
      <c r="Y41" s="2"/>
    </row>
    <row r="42" spans="1:25" ht="15.75" x14ac:dyDescent="0.2">
      <c r="A42" s="436" t="s">
        <v>1</v>
      </c>
      <c r="B42" s="436"/>
      <c r="C42" s="436"/>
      <c r="D42" s="436"/>
      <c r="E42" s="436"/>
      <c r="F42" s="436"/>
      <c r="G42" s="436"/>
      <c r="H42" s="2"/>
      <c r="I42" s="2"/>
      <c r="J42" s="2"/>
      <c r="K42" s="2"/>
      <c r="L42" s="2"/>
      <c r="M42" s="2"/>
      <c r="N42" s="2"/>
      <c r="O42" s="295"/>
      <c r="P42" s="2"/>
      <c r="Q42" s="2"/>
      <c r="R42" s="2"/>
      <c r="S42" s="2"/>
      <c r="T42" s="2"/>
      <c r="U42" s="2"/>
      <c r="V42" s="2"/>
      <c r="W42" s="2"/>
      <c r="X42" s="2"/>
      <c r="Y42" s="2"/>
    </row>
    <row r="43" spans="1:25" ht="15.75" x14ac:dyDescent="0.2">
      <c r="A43" s="71" t="s">
        <v>4</v>
      </c>
      <c r="B43" s="72" t="s">
        <v>5</v>
      </c>
      <c r="C43" s="72" t="s">
        <v>6</v>
      </c>
      <c r="D43" s="72" t="s">
        <v>7</v>
      </c>
      <c r="E43" s="72" t="s">
        <v>8</v>
      </c>
      <c r="F43" s="72" t="s">
        <v>9</v>
      </c>
      <c r="G43" s="72" t="s">
        <v>10</v>
      </c>
      <c r="H43" s="2"/>
      <c r="I43" s="2"/>
      <c r="J43" s="2"/>
      <c r="K43" s="2"/>
      <c r="L43" s="2"/>
      <c r="M43" s="2"/>
      <c r="N43" s="2"/>
      <c r="O43" s="295"/>
      <c r="P43" s="2"/>
      <c r="Q43" s="2"/>
      <c r="R43" s="2"/>
      <c r="S43" s="2"/>
      <c r="T43" s="2"/>
      <c r="U43" s="2"/>
      <c r="V43" s="2"/>
      <c r="W43" s="2"/>
      <c r="X43" s="2"/>
      <c r="Y43" s="2"/>
    </row>
    <row r="44" spans="1:25" ht="15.75" x14ac:dyDescent="0.2">
      <c r="A44" s="73"/>
      <c r="B44" s="74"/>
      <c r="C44" s="74"/>
      <c r="D44" s="75"/>
      <c r="E44" s="75"/>
      <c r="F44" s="75"/>
      <c r="G44" s="76"/>
      <c r="H44" s="2"/>
      <c r="I44" s="2"/>
      <c r="J44" s="2"/>
      <c r="K44" s="2"/>
      <c r="L44" s="2"/>
      <c r="M44" s="2"/>
      <c r="N44" s="2"/>
      <c r="O44" s="295"/>
      <c r="P44" s="2"/>
      <c r="Q44" s="2"/>
      <c r="R44" s="2"/>
      <c r="S44" s="2"/>
      <c r="T44" s="2"/>
      <c r="U44" s="2"/>
      <c r="V44" s="2"/>
      <c r="W44" s="2"/>
      <c r="X44" s="2"/>
      <c r="Y44" s="2"/>
    </row>
    <row r="45" spans="1:25" ht="1.5" customHeight="1" x14ac:dyDescent="0.2">
      <c r="A45" s="73"/>
      <c r="B45" s="74"/>
      <c r="C45" s="74"/>
      <c r="D45" s="74"/>
      <c r="E45" s="74"/>
      <c r="F45" s="74"/>
      <c r="G45" s="74"/>
      <c r="H45" s="2"/>
      <c r="I45" s="2"/>
      <c r="J45" s="2"/>
      <c r="K45" s="2"/>
      <c r="L45" s="2"/>
      <c r="M45" s="2"/>
      <c r="N45" s="2"/>
      <c r="O45" s="295"/>
      <c r="P45" s="2"/>
      <c r="Q45" s="2"/>
      <c r="R45" s="2"/>
      <c r="S45" s="2"/>
      <c r="T45" s="2"/>
      <c r="U45" s="2"/>
      <c r="V45" s="2"/>
      <c r="W45" s="2"/>
      <c r="X45" s="2"/>
      <c r="Y45" s="2"/>
    </row>
    <row r="46" spans="1:25" ht="15.75" x14ac:dyDescent="0.25">
      <c r="A46" s="41" t="s">
        <v>476</v>
      </c>
      <c r="B46" s="11" t="str">
        <f t="shared" ref="B46:B51" si="15">+IF(F46=0,0,MID(F46,LEN(F46)-4,3))</f>
        <v xml:space="preserve">04 </v>
      </c>
      <c r="C46" s="361">
        <v>1</v>
      </c>
      <c r="D46" s="12" t="s">
        <v>229</v>
      </c>
      <c r="E46" s="13" t="str">
        <f>+IF(F46=0,0,CONCATENATE(MID(F46,FIND("-",F46,1)+1,4),"ORAS"))</f>
        <v>15 HORAS</v>
      </c>
      <c r="F46" s="14" t="s">
        <v>351</v>
      </c>
      <c r="G46" s="362">
        <f t="shared" ref="G46:G51" si="16">+IF(F46="","",VLOOKUP(F46,$H$139:$I$217,2,FALSE))</f>
        <v>1955007</v>
      </c>
      <c r="H46" s="2"/>
      <c r="I46" s="2"/>
      <c r="J46" s="437"/>
      <c r="K46" s="437"/>
      <c r="L46" s="437"/>
      <c r="M46" s="437"/>
      <c r="N46" s="437"/>
      <c r="O46" s="437"/>
      <c r="P46" s="437"/>
      <c r="Q46" s="2"/>
      <c r="R46" s="2"/>
      <c r="S46" s="2"/>
      <c r="T46" s="2"/>
      <c r="U46" s="2"/>
      <c r="V46" s="2"/>
      <c r="W46" s="2"/>
      <c r="X46" s="2"/>
      <c r="Y46" s="2"/>
    </row>
    <row r="47" spans="1:25" ht="15.75" x14ac:dyDescent="0.2">
      <c r="A47" s="77" t="s">
        <v>477</v>
      </c>
      <c r="B47" s="11" t="str">
        <f t="shared" si="15"/>
        <v xml:space="preserve">04 </v>
      </c>
      <c r="C47" s="44">
        <v>1</v>
      </c>
      <c r="D47" s="12" t="s">
        <v>229</v>
      </c>
      <c r="E47" s="13" t="str">
        <f>+IF(F47=0,0,CONCATENATE(MID(F47,FIND("-",F47,1)+1,4),"ORAS"))</f>
        <v>15 HORAS</v>
      </c>
      <c r="F47" s="14" t="s">
        <v>351</v>
      </c>
      <c r="G47" s="362">
        <f t="shared" si="16"/>
        <v>1955007</v>
      </c>
      <c r="H47" s="2"/>
      <c r="I47" s="2"/>
      <c r="J47" s="437"/>
      <c r="K47" s="437"/>
      <c r="L47" s="437"/>
      <c r="M47" s="437"/>
      <c r="N47" s="437"/>
      <c r="O47" s="437"/>
      <c r="P47" s="437"/>
      <c r="Q47" s="2"/>
      <c r="R47" s="2"/>
      <c r="S47" s="2"/>
      <c r="T47" s="2"/>
      <c r="U47" s="2"/>
      <c r="V47" s="2"/>
      <c r="W47" s="2"/>
      <c r="X47" s="2"/>
      <c r="Y47" s="2"/>
    </row>
    <row r="48" spans="1:25" ht="15.75" x14ac:dyDescent="0.2">
      <c r="A48" s="77"/>
      <c r="B48" s="11">
        <f t="shared" si="15"/>
        <v>0</v>
      </c>
      <c r="C48" s="44"/>
      <c r="D48" s="44"/>
      <c r="E48" s="13"/>
      <c r="F48" s="14">
        <v>0</v>
      </c>
      <c r="G48" s="341">
        <f t="shared" si="16"/>
        <v>0</v>
      </c>
      <c r="H48" s="2"/>
      <c r="I48" s="2"/>
      <c r="J48" s="437"/>
      <c r="K48" s="437"/>
      <c r="L48" s="437"/>
      <c r="M48" s="437"/>
      <c r="N48" s="437"/>
      <c r="O48" s="437"/>
      <c r="P48" s="437"/>
      <c r="Q48" s="2"/>
      <c r="R48" s="2"/>
      <c r="S48" s="2"/>
      <c r="T48" s="2"/>
      <c r="U48" s="2"/>
      <c r="V48" s="2"/>
      <c r="W48" s="2"/>
      <c r="X48" s="2"/>
      <c r="Y48" s="2"/>
    </row>
    <row r="49" spans="1:25" ht="15.75" x14ac:dyDescent="0.2">
      <c r="A49" s="77"/>
      <c r="B49" s="11">
        <f t="shared" si="15"/>
        <v>0</v>
      </c>
      <c r="C49" s="44"/>
      <c r="D49" s="44"/>
      <c r="E49" s="13"/>
      <c r="F49" s="14">
        <v>0</v>
      </c>
      <c r="G49" s="341">
        <f t="shared" si="16"/>
        <v>0</v>
      </c>
      <c r="H49" s="2"/>
      <c r="I49" s="2"/>
      <c r="J49" s="437"/>
      <c r="K49" s="437"/>
      <c r="L49" s="437"/>
      <c r="M49" s="437"/>
      <c r="N49" s="437"/>
      <c r="O49" s="437"/>
      <c r="P49" s="437"/>
      <c r="Q49" s="2"/>
      <c r="R49" s="2"/>
      <c r="S49" s="2"/>
      <c r="T49" s="2"/>
      <c r="U49" s="2"/>
      <c r="V49" s="2"/>
      <c r="W49" s="2"/>
      <c r="X49" s="2"/>
      <c r="Y49" s="2"/>
    </row>
    <row r="50" spans="1:25" ht="15.75" x14ac:dyDescent="0.2">
      <c r="A50" s="77"/>
      <c r="B50" s="11">
        <f t="shared" si="15"/>
        <v>0</v>
      </c>
      <c r="C50" s="44"/>
      <c r="D50" s="44"/>
      <c r="E50" s="13"/>
      <c r="F50" s="14">
        <v>0</v>
      </c>
      <c r="G50" s="341">
        <f t="shared" si="16"/>
        <v>0</v>
      </c>
      <c r="H50" s="2"/>
      <c r="I50" s="2"/>
      <c r="J50" s="437"/>
      <c r="K50" s="437"/>
      <c r="L50" s="437"/>
      <c r="M50" s="437"/>
      <c r="N50" s="437"/>
      <c r="O50" s="437"/>
      <c r="P50" s="437"/>
      <c r="Q50" s="2"/>
      <c r="R50" s="2"/>
      <c r="S50" s="2"/>
      <c r="T50" s="2"/>
      <c r="U50" s="2"/>
      <c r="V50" s="2"/>
      <c r="W50" s="2"/>
      <c r="X50" s="2"/>
      <c r="Y50" s="2"/>
    </row>
    <row r="51" spans="1:25" ht="15.75" x14ac:dyDescent="0.2">
      <c r="A51" s="77"/>
      <c r="B51" s="11">
        <f t="shared" si="15"/>
        <v>0</v>
      </c>
      <c r="C51" s="44"/>
      <c r="D51" s="44"/>
      <c r="E51" s="13"/>
      <c r="F51" s="14">
        <v>0</v>
      </c>
      <c r="G51" s="341">
        <f t="shared" si="16"/>
        <v>0</v>
      </c>
      <c r="H51" s="2"/>
      <c r="I51" s="2"/>
      <c r="J51" s="437"/>
      <c r="K51" s="437"/>
      <c r="L51" s="437"/>
      <c r="M51" s="437"/>
      <c r="N51" s="437"/>
      <c r="O51" s="437"/>
      <c r="P51" s="437"/>
      <c r="Q51" s="2"/>
      <c r="R51" s="2"/>
      <c r="S51" s="2"/>
      <c r="T51" s="2"/>
      <c r="U51" s="2"/>
      <c r="V51" s="2"/>
      <c r="W51" s="2"/>
      <c r="X51" s="2"/>
      <c r="Y51" s="2"/>
    </row>
    <row r="52" spans="1:25" ht="15.75" x14ac:dyDescent="0.2">
      <c r="A52" s="438" t="s">
        <v>23</v>
      </c>
      <c r="B52" s="438"/>
      <c r="C52" s="438"/>
      <c r="D52" s="438"/>
      <c r="E52" s="438"/>
      <c r="F52" s="438"/>
      <c r="G52" s="438"/>
      <c r="H52" s="2"/>
      <c r="I52" s="2"/>
      <c r="J52" s="437"/>
      <c r="K52" s="437"/>
      <c r="L52" s="437"/>
      <c r="M52" s="437"/>
      <c r="N52" s="437"/>
      <c r="O52" s="437"/>
      <c r="P52" s="437"/>
      <c r="Q52" s="2"/>
      <c r="R52" s="2"/>
      <c r="S52" s="2"/>
      <c r="T52" s="2"/>
      <c r="U52" s="2"/>
      <c r="V52" s="2"/>
      <c r="W52" s="2"/>
      <c r="X52" s="2"/>
      <c r="Y52" s="2"/>
    </row>
    <row r="53" spans="1:25" ht="15.75" x14ac:dyDescent="0.2">
      <c r="A53" s="71" t="s">
        <v>4</v>
      </c>
      <c r="B53" s="72" t="s">
        <v>5</v>
      </c>
      <c r="C53" s="72" t="s">
        <v>6</v>
      </c>
      <c r="D53" s="72" t="s">
        <v>7</v>
      </c>
      <c r="E53" s="72" t="s">
        <v>8</v>
      </c>
      <c r="F53" s="72" t="s">
        <v>9</v>
      </c>
      <c r="G53" s="72" t="s">
        <v>10</v>
      </c>
      <c r="H53" s="2"/>
      <c r="I53" s="2"/>
      <c r="J53" s="437"/>
      <c r="K53" s="437"/>
      <c r="L53" s="437"/>
      <c r="M53" s="437"/>
      <c r="N53" s="437"/>
      <c r="O53" s="437"/>
      <c r="P53" s="437"/>
      <c r="Q53" s="2"/>
      <c r="R53" s="2"/>
      <c r="S53" s="2"/>
      <c r="T53" s="2"/>
      <c r="U53" s="2"/>
      <c r="V53" s="2"/>
      <c r="W53" s="2"/>
      <c r="X53" s="2"/>
      <c r="Y53" s="2"/>
    </row>
    <row r="54" spans="1:25" ht="15.75" x14ac:dyDescent="0.25">
      <c r="A54" s="41" t="s">
        <v>41</v>
      </c>
      <c r="B54" s="11" t="str">
        <f t="shared" ref="B54:B63" si="17">+IF(F54=0,0,MID(F54,LEN(F54)-4,3))</f>
        <v xml:space="preserve">03 </v>
      </c>
      <c r="C54" s="361">
        <v>1</v>
      </c>
      <c r="D54" s="12" t="s">
        <v>229</v>
      </c>
      <c r="E54" s="13" t="str">
        <f t="shared" ref="E54:E63" si="18">+IF(F54=0,0,CONCATENATE(MID(F54,FIND("-",F54,1)+1,4),"ORAS"))</f>
        <v>15 HORAS</v>
      </c>
      <c r="F54" s="14" t="s">
        <v>367</v>
      </c>
      <c r="G54" s="362">
        <f t="shared" ref="G54:G64" si="19">+IF(F54="","",VLOOKUP(F54,$H$139:$I$217,2,FALSE))</f>
        <v>1505234</v>
      </c>
      <c r="H54" s="2"/>
      <c r="I54" s="2"/>
      <c r="J54" s="437"/>
      <c r="K54" s="437"/>
      <c r="L54" s="437"/>
      <c r="M54" s="437"/>
      <c r="N54" s="437"/>
      <c r="O54" s="437"/>
      <c r="P54" s="437"/>
      <c r="Q54" s="2"/>
      <c r="R54" s="2"/>
      <c r="S54" s="2"/>
      <c r="T54" s="2"/>
      <c r="U54" s="2"/>
      <c r="V54" s="2"/>
      <c r="W54" s="2"/>
      <c r="X54" s="2"/>
      <c r="Y54" s="2"/>
    </row>
    <row r="55" spans="1:25" ht="15.75" x14ac:dyDescent="0.25">
      <c r="A55" s="41" t="s">
        <v>42</v>
      </c>
      <c r="B55" s="11" t="str">
        <f t="shared" si="17"/>
        <v xml:space="preserve">03 </v>
      </c>
      <c r="C55" s="361">
        <v>1</v>
      </c>
      <c r="D55" s="12" t="s">
        <v>229</v>
      </c>
      <c r="E55" s="13" t="str">
        <f t="shared" si="18"/>
        <v>15 HORAS</v>
      </c>
      <c r="F55" s="14" t="s">
        <v>367</v>
      </c>
      <c r="G55" s="362">
        <f t="shared" si="19"/>
        <v>1505234</v>
      </c>
      <c r="H55" s="2"/>
      <c r="I55" s="2"/>
      <c r="J55" s="437"/>
      <c r="K55" s="437"/>
      <c r="L55" s="437"/>
      <c r="M55" s="437"/>
      <c r="N55" s="437"/>
      <c r="O55" s="437"/>
      <c r="P55" s="437"/>
      <c r="Q55" s="2"/>
      <c r="R55" s="2"/>
      <c r="S55" s="2"/>
      <c r="T55" s="2"/>
      <c r="U55" s="2"/>
      <c r="V55" s="2"/>
      <c r="W55" s="2"/>
      <c r="X55" s="2"/>
      <c r="Y55" s="2"/>
    </row>
    <row r="56" spans="1:25" ht="15.75" x14ac:dyDescent="0.25">
      <c r="A56" s="41" t="s">
        <v>43</v>
      </c>
      <c r="B56" s="11" t="str">
        <f t="shared" si="17"/>
        <v xml:space="preserve">03 </v>
      </c>
      <c r="C56" s="361">
        <v>1</v>
      </c>
      <c r="D56" s="12" t="s">
        <v>229</v>
      </c>
      <c r="E56" s="13" t="str">
        <f t="shared" si="18"/>
        <v>15 HORAS</v>
      </c>
      <c r="F56" s="14" t="s">
        <v>367</v>
      </c>
      <c r="G56" s="362">
        <f t="shared" si="19"/>
        <v>1505234</v>
      </c>
      <c r="H56" s="2"/>
      <c r="I56" s="2"/>
      <c r="J56" s="437"/>
      <c r="K56" s="437"/>
      <c r="L56" s="437"/>
      <c r="M56" s="437"/>
      <c r="N56" s="437"/>
      <c r="O56" s="437"/>
      <c r="P56" s="437"/>
      <c r="Q56" s="2"/>
      <c r="R56" s="2"/>
      <c r="S56" s="2"/>
      <c r="T56" s="2"/>
      <c r="U56" s="2"/>
      <c r="V56" s="2"/>
      <c r="W56" s="2"/>
      <c r="X56" s="2"/>
      <c r="Y56" s="2"/>
    </row>
    <row r="57" spans="1:25" ht="15.75" x14ac:dyDescent="0.25">
      <c r="A57" s="78" t="s">
        <v>44</v>
      </c>
      <c r="B57" s="11" t="str">
        <f t="shared" si="17"/>
        <v xml:space="preserve">03 </v>
      </c>
      <c r="C57" s="361">
        <v>1</v>
      </c>
      <c r="D57" s="12" t="s">
        <v>229</v>
      </c>
      <c r="E57" s="13" t="str">
        <f t="shared" si="18"/>
        <v>15 HORAS</v>
      </c>
      <c r="F57" s="14" t="s">
        <v>367</v>
      </c>
      <c r="G57" s="362">
        <f t="shared" si="19"/>
        <v>1505234</v>
      </c>
      <c r="H57" s="2"/>
      <c r="I57" s="2"/>
      <c r="J57" s="437"/>
      <c r="K57" s="437"/>
      <c r="L57" s="437"/>
      <c r="M57" s="437"/>
      <c r="N57" s="437"/>
      <c r="O57" s="437"/>
      <c r="P57" s="437"/>
      <c r="Q57" s="2"/>
      <c r="R57" s="2"/>
      <c r="S57" s="2"/>
      <c r="T57" s="2"/>
      <c r="U57" s="2"/>
      <c r="V57" s="2"/>
      <c r="W57" s="2"/>
      <c r="X57" s="2"/>
      <c r="Y57" s="2"/>
    </row>
    <row r="58" spans="1:25" ht="15.75" x14ac:dyDescent="0.25">
      <c r="A58" s="78" t="s">
        <v>45</v>
      </c>
      <c r="B58" s="11" t="str">
        <f t="shared" si="17"/>
        <v xml:space="preserve">03 </v>
      </c>
      <c r="C58" s="361">
        <v>1</v>
      </c>
      <c r="D58" s="12" t="s">
        <v>229</v>
      </c>
      <c r="E58" s="13" t="str">
        <f t="shared" si="18"/>
        <v>15 HORAS</v>
      </c>
      <c r="F58" s="14" t="s">
        <v>367</v>
      </c>
      <c r="G58" s="362">
        <f t="shared" si="19"/>
        <v>1505234</v>
      </c>
      <c r="H58" s="2"/>
      <c r="I58" s="2"/>
      <c r="J58" s="437"/>
      <c r="K58" s="437"/>
      <c r="L58" s="437"/>
      <c r="M58" s="437"/>
      <c r="N58" s="437"/>
      <c r="O58" s="437"/>
      <c r="P58" s="437"/>
      <c r="Q58" s="2"/>
      <c r="R58" s="2"/>
      <c r="S58" s="2"/>
      <c r="T58" s="2"/>
      <c r="U58" s="2"/>
      <c r="V58" s="2"/>
      <c r="W58" s="2"/>
      <c r="X58" s="2"/>
      <c r="Y58" s="2"/>
    </row>
    <row r="59" spans="1:25" ht="15.75" x14ac:dyDescent="0.25">
      <c r="A59" s="79"/>
      <c r="B59" s="11">
        <f t="shared" si="17"/>
        <v>0</v>
      </c>
      <c r="C59" s="361"/>
      <c r="D59" s="12"/>
      <c r="E59" s="13">
        <f t="shared" si="18"/>
        <v>0</v>
      </c>
      <c r="F59" s="14">
        <v>0</v>
      </c>
      <c r="G59" s="341">
        <f t="shared" si="19"/>
        <v>0</v>
      </c>
      <c r="H59" s="2"/>
      <c r="I59" s="2"/>
      <c r="J59" s="437"/>
      <c r="K59" s="437"/>
      <c r="L59" s="437"/>
      <c r="M59" s="437"/>
      <c r="N59" s="437"/>
      <c r="O59" s="437"/>
      <c r="P59" s="437"/>
      <c r="Q59" s="2"/>
      <c r="R59" s="2"/>
      <c r="S59" s="2"/>
      <c r="T59" s="2"/>
      <c r="U59" s="2"/>
      <c r="V59" s="2"/>
      <c r="W59" s="2"/>
      <c r="X59" s="2"/>
      <c r="Y59" s="2"/>
    </row>
    <row r="60" spans="1:25" ht="15.75" x14ac:dyDescent="0.25">
      <c r="A60" s="79"/>
      <c r="B60" s="11">
        <f t="shared" si="17"/>
        <v>0</v>
      </c>
      <c r="C60" s="361"/>
      <c r="D60" s="12"/>
      <c r="E60" s="13">
        <f t="shared" si="18"/>
        <v>0</v>
      </c>
      <c r="F60" s="14">
        <v>0</v>
      </c>
      <c r="G60" s="341">
        <f t="shared" si="19"/>
        <v>0</v>
      </c>
      <c r="H60" s="2"/>
      <c r="I60" s="2"/>
      <c r="J60" s="437"/>
      <c r="K60" s="437"/>
      <c r="L60" s="437"/>
      <c r="M60" s="437"/>
      <c r="N60" s="437"/>
      <c r="O60" s="437"/>
      <c r="P60" s="437"/>
      <c r="Q60" s="2"/>
      <c r="R60" s="2"/>
      <c r="S60" s="2"/>
      <c r="T60" s="2"/>
      <c r="U60" s="2"/>
      <c r="V60" s="2"/>
      <c r="W60" s="2"/>
      <c r="X60" s="2"/>
      <c r="Y60" s="2"/>
    </row>
    <row r="61" spans="1:25" ht="15.75" x14ac:dyDescent="0.25">
      <c r="A61" s="79"/>
      <c r="B61" s="11">
        <f t="shared" si="17"/>
        <v>0</v>
      </c>
      <c r="C61" s="361"/>
      <c r="D61" s="12"/>
      <c r="E61" s="13">
        <f t="shared" si="18"/>
        <v>0</v>
      </c>
      <c r="F61" s="14">
        <v>0</v>
      </c>
      <c r="G61" s="341">
        <f t="shared" si="19"/>
        <v>0</v>
      </c>
      <c r="H61" s="2"/>
      <c r="I61" s="2"/>
      <c r="J61" s="437"/>
      <c r="K61" s="437"/>
      <c r="L61" s="437"/>
      <c r="M61" s="437"/>
      <c r="N61" s="437"/>
      <c r="O61" s="437"/>
      <c r="P61" s="437"/>
      <c r="Q61" s="2"/>
      <c r="R61" s="2"/>
      <c r="S61" s="2"/>
      <c r="T61" s="2"/>
      <c r="U61" s="2"/>
      <c r="V61" s="2"/>
      <c r="W61" s="2"/>
      <c r="X61" s="2"/>
      <c r="Y61" s="2"/>
    </row>
    <row r="62" spans="1:25" ht="15.75" x14ac:dyDescent="0.25">
      <c r="A62" s="78"/>
      <c r="B62" s="11">
        <f t="shared" si="17"/>
        <v>0</v>
      </c>
      <c r="C62" s="361"/>
      <c r="D62" s="12"/>
      <c r="E62" s="13">
        <f t="shared" si="18"/>
        <v>0</v>
      </c>
      <c r="F62" s="14">
        <v>0</v>
      </c>
      <c r="G62" s="341">
        <f t="shared" si="19"/>
        <v>0</v>
      </c>
      <c r="H62" s="2"/>
      <c r="I62" s="2"/>
      <c r="J62" s="437"/>
      <c r="K62" s="437"/>
      <c r="L62" s="437"/>
      <c r="M62" s="437"/>
      <c r="N62" s="437"/>
      <c r="O62" s="437"/>
      <c r="P62" s="437"/>
      <c r="Q62" s="2"/>
      <c r="R62" s="2"/>
      <c r="S62" s="2"/>
      <c r="T62" s="2"/>
      <c r="U62" s="2"/>
      <c r="V62" s="2"/>
      <c r="W62" s="2"/>
      <c r="X62" s="2"/>
      <c r="Y62" s="2"/>
    </row>
    <row r="63" spans="1:25" ht="15.75" x14ac:dyDescent="0.25">
      <c r="A63" s="78"/>
      <c r="B63" s="11">
        <f t="shared" si="17"/>
        <v>0</v>
      </c>
      <c r="C63" s="361"/>
      <c r="D63" s="12"/>
      <c r="E63" s="13">
        <f t="shared" si="18"/>
        <v>0</v>
      </c>
      <c r="F63" s="14">
        <v>0</v>
      </c>
      <c r="G63" s="341">
        <f t="shared" si="19"/>
        <v>0</v>
      </c>
      <c r="H63" s="2"/>
      <c r="I63" s="2"/>
      <c r="J63" s="437"/>
      <c r="K63" s="437"/>
      <c r="L63" s="437"/>
      <c r="M63" s="437"/>
      <c r="N63" s="437"/>
      <c r="O63" s="437"/>
      <c r="P63" s="437"/>
      <c r="Q63" s="2"/>
      <c r="R63" s="2"/>
      <c r="S63" s="2"/>
      <c r="T63" s="2"/>
      <c r="U63" s="2"/>
      <c r="V63" s="2"/>
      <c r="W63" s="2"/>
      <c r="X63" s="2"/>
      <c r="Y63" s="2"/>
    </row>
    <row r="64" spans="1:25" ht="15.75" x14ac:dyDescent="0.25">
      <c r="A64" s="77"/>
      <c r="B64" s="16"/>
      <c r="C64" s="361"/>
      <c r="D64" s="80"/>
      <c r="E64" s="14"/>
      <c r="F64" s="14"/>
      <c r="G64" s="341" t="str">
        <f t="shared" si="19"/>
        <v/>
      </c>
      <c r="H64" s="2"/>
      <c r="I64" s="2"/>
      <c r="J64" s="437"/>
      <c r="K64" s="437"/>
      <c r="L64" s="437"/>
      <c r="M64" s="437"/>
      <c r="N64" s="437"/>
      <c r="O64" s="437"/>
      <c r="P64" s="437"/>
      <c r="Q64" s="2"/>
      <c r="R64" s="2"/>
      <c r="S64" s="2"/>
      <c r="T64" s="2"/>
      <c r="U64" s="2"/>
      <c r="V64" s="2"/>
      <c r="W64" s="2"/>
      <c r="X64" s="2"/>
      <c r="Y64" s="2"/>
    </row>
    <row r="65" spans="1:31" ht="15.75" x14ac:dyDescent="0.2">
      <c r="A65" s="77" t="s">
        <v>29</v>
      </c>
      <c r="B65" s="48">
        <f>+B54+B55+B56+B57+B58+B64+B59+B60+B61+B62+B63+B46+B47+B48+B49+B50+B51</f>
        <v>23</v>
      </c>
      <c r="C65" s="48">
        <f>C59+C60+C61+C62+C63+C46+C47+C48+C49+C50+C54+C55+C56+C57+C58+C64</f>
        <v>7</v>
      </c>
      <c r="D65" s="48"/>
      <c r="E65" s="81"/>
      <c r="F65" s="48"/>
      <c r="G65" s="33">
        <f>SUM(G46:G51,G54:G64)</f>
        <v>11436184</v>
      </c>
      <c r="H65" s="2"/>
      <c r="I65" s="2"/>
      <c r="J65" s="437"/>
      <c r="K65" s="437"/>
      <c r="L65" s="437"/>
      <c r="M65" s="437"/>
      <c r="N65" s="437"/>
      <c r="O65" s="437"/>
      <c r="P65" s="437"/>
      <c r="Q65" s="2"/>
      <c r="R65" s="2"/>
      <c r="S65" s="2"/>
      <c r="T65" s="2"/>
      <c r="U65" s="2"/>
      <c r="V65" s="2"/>
      <c r="W65" s="2"/>
      <c r="X65" s="2"/>
      <c r="Y65" s="2"/>
    </row>
    <row r="66" spans="1:31" ht="15" x14ac:dyDescent="0.2">
      <c r="A66" s="2"/>
      <c r="B66" s="2"/>
      <c r="C66" s="2"/>
      <c r="D66" s="2"/>
      <c r="E66" s="2"/>
      <c r="F66" s="2"/>
      <c r="G66" s="2"/>
      <c r="H66" s="2"/>
      <c r="I66" s="2"/>
      <c r="J66" s="2"/>
      <c r="K66" s="2"/>
      <c r="L66" s="2"/>
      <c r="M66" s="2"/>
      <c r="N66" s="2"/>
      <c r="O66" s="295"/>
      <c r="P66" s="2"/>
      <c r="Q66" s="2"/>
      <c r="R66" s="2"/>
      <c r="S66" s="2"/>
      <c r="T66" s="2"/>
      <c r="U66" s="2"/>
      <c r="V66" s="2"/>
      <c r="W66" s="2"/>
      <c r="X66" s="2"/>
      <c r="Y66" s="2"/>
    </row>
    <row r="67" spans="1:31" ht="15" x14ac:dyDescent="0.2">
      <c r="A67" s="59" t="s">
        <v>32</v>
      </c>
      <c r="B67" s="278">
        <f>B65+B40+B22</f>
        <v>70</v>
      </c>
      <c r="C67" s="278">
        <f>C65+C40+C22</f>
        <v>22</v>
      </c>
      <c r="D67" s="59">
        <f>D65+D40+D22</f>
        <v>0</v>
      </c>
      <c r="E67" s="2"/>
      <c r="F67" s="2"/>
      <c r="G67" s="33">
        <f>SUM(G22,G40,G65)</f>
        <v>39962994</v>
      </c>
      <c r="H67" s="2"/>
      <c r="I67" s="2"/>
      <c r="J67" s="2"/>
      <c r="K67" s="2"/>
      <c r="L67" s="2"/>
      <c r="M67" s="2"/>
      <c r="N67" s="2"/>
      <c r="O67" s="295"/>
      <c r="P67" s="2"/>
      <c r="Q67" s="2"/>
      <c r="R67" s="2"/>
      <c r="S67" s="2"/>
      <c r="T67" s="2"/>
      <c r="U67" s="2"/>
      <c r="V67" s="2"/>
      <c r="W67" s="2"/>
      <c r="X67" s="2"/>
      <c r="Y67" s="2"/>
    </row>
    <row r="68" spans="1:31" ht="15.75" x14ac:dyDescent="0.25">
      <c r="A68" s="2"/>
      <c r="B68" s="2"/>
      <c r="C68" s="2"/>
      <c r="D68" s="2"/>
      <c r="E68" s="2"/>
      <c r="F68" s="2"/>
      <c r="G68" s="2"/>
      <c r="H68" s="2"/>
      <c r="I68" s="2"/>
      <c r="J68" s="82" t="s">
        <v>46</v>
      </c>
      <c r="K68" s="83">
        <f>K25+B67+T33+AB25</f>
        <v>95</v>
      </c>
      <c r="L68" s="84"/>
      <c r="M68" s="85"/>
      <c r="N68" s="85"/>
      <c r="O68" s="298"/>
      <c r="P68" s="85"/>
      <c r="Q68" s="2"/>
      <c r="R68" s="2"/>
      <c r="S68" s="2"/>
      <c r="T68" s="2"/>
      <c r="U68" s="2"/>
      <c r="V68" s="2"/>
      <c r="W68" s="2"/>
      <c r="X68" s="2"/>
      <c r="Y68" s="2"/>
    </row>
    <row r="69" spans="1:31" ht="16.5" thickBot="1" x14ac:dyDescent="0.3">
      <c r="A69" s="2"/>
      <c r="B69" s="2"/>
      <c r="C69" s="2"/>
      <c r="D69" s="2"/>
      <c r="E69" s="2"/>
      <c r="F69" s="2"/>
      <c r="G69" s="2"/>
      <c r="H69" s="2"/>
      <c r="I69" s="2"/>
      <c r="J69" s="82" t="s">
        <v>47</v>
      </c>
      <c r="K69" s="86">
        <f>L25+C67+U33+AC25</f>
        <v>30</v>
      </c>
      <c r="L69" s="2"/>
      <c r="M69" s="87" t="s">
        <v>0</v>
      </c>
      <c r="N69" s="87" t="s">
        <v>30</v>
      </c>
      <c r="O69" s="299" t="s">
        <v>40</v>
      </c>
      <c r="P69" s="88"/>
      <c r="R69" s="89"/>
      <c r="T69" s="2"/>
      <c r="U69" s="2"/>
      <c r="V69" s="2"/>
      <c r="W69" s="2"/>
      <c r="X69" s="2"/>
      <c r="Y69" s="2"/>
    </row>
    <row r="70" spans="1:31" ht="27" customHeight="1" thickBot="1" x14ac:dyDescent="0.3">
      <c r="A70" s="2"/>
      <c r="B70" s="2"/>
      <c r="C70" s="2"/>
      <c r="D70" s="2"/>
      <c r="E70" s="2"/>
      <c r="F70" s="2"/>
      <c r="G70" s="2"/>
      <c r="H70" s="2"/>
      <c r="I70" s="2"/>
      <c r="J70" s="90" t="s">
        <v>48</v>
      </c>
      <c r="K70" s="439">
        <f>SUM(G67,P25,Y33)</f>
        <v>56764297</v>
      </c>
      <c r="L70" s="440"/>
      <c r="M70" s="91">
        <f>SUM(G22,Y20:Y22)</f>
        <v>17579316</v>
      </c>
      <c r="N70" s="92">
        <f>SUM(G40,P4:P15,P18:P24,Y4:Y8,Y15:Y16,Y23:Y24)</f>
        <v>26143074</v>
      </c>
      <c r="O70" s="300">
        <f>SUM(G46:G51,G54:G63,Y25:Y30)</f>
        <v>13041907</v>
      </c>
      <c r="P70" s="93">
        <f>SUM(M70:O70)</f>
        <v>56764297</v>
      </c>
      <c r="R70" s="94"/>
      <c r="S70" s="95"/>
      <c r="T70" s="2"/>
      <c r="U70" s="2"/>
      <c r="V70" s="2"/>
      <c r="W70" s="2"/>
      <c r="X70" s="2"/>
      <c r="Y70" s="2"/>
    </row>
    <row r="71" spans="1:31" ht="13.5" thickBot="1" x14ac:dyDescent="0.25"/>
    <row r="72" spans="1:31" ht="36" customHeight="1" thickBot="1" x14ac:dyDescent="0.25">
      <c r="A72" s="441" t="s">
        <v>49</v>
      </c>
      <c r="B72" s="442"/>
      <c r="C72" s="442"/>
      <c r="D72" s="442"/>
      <c r="E72" s="442"/>
      <c r="F72" s="442"/>
      <c r="G72" s="442"/>
      <c r="H72" s="442"/>
      <c r="I72" s="442"/>
      <c r="J72" s="442"/>
      <c r="K72" s="442"/>
      <c r="L72" s="442"/>
      <c r="M72" s="442"/>
      <c r="N72" s="442"/>
      <c r="O72" s="442"/>
      <c r="P72" s="442"/>
      <c r="Q72" s="442"/>
      <c r="R72" s="442"/>
      <c r="S72" s="442"/>
      <c r="T72" s="442"/>
      <c r="U72" s="442"/>
      <c r="V72" s="442"/>
      <c r="W72" s="442"/>
      <c r="X72" s="442"/>
      <c r="Y72" s="442"/>
      <c r="Z72" s="442"/>
      <c r="AA72" s="442"/>
      <c r="AB72" s="442"/>
      <c r="AC72" s="442"/>
      <c r="AD72" s="442"/>
      <c r="AE72" s="443"/>
    </row>
    <row r="73" spans="1:31" ht="286.5" customHeight="1" x14ac:dyDescent="0.2">
      <c r="A73" s="431" t="s">
        <v>478</v>
      </c>
      <c r="B73" s="432"/>
      <c r="C73" s="432"/>
      <c r="D73" s="432"/>
      <c r="E73" s="432"/>
      <c r="F73" s="432"/>
      <c r="G73" s="432"/>
      <c r="H73" s="432"/>
      <c r="I73" s="432"/>
      <c r="J73" s="432"/>
      <c r="K73" s="432"/>
      <c r="L73" s="432"/>
      <c r="M73" s="432"/>
      <c r="N73" s="432"/>
      <c r="O73" s="432"/>
      <c r="P73" s="432"/>
      <c r="Q73" s="432"/>
      <c r="R73" s="432"/>
      <c r="S73" s="432"/>
      <c r="T73" s="432"/>
      <c r="U73" s="432"/>
      <c r="V73" s="432"/>
      <c r="W73" s="432"/>
      <c r="X73" s="432"/>
      <c r="Y73" s="432"/>
      <c r="Z73" s="344"/>
      <c r="AA73" s="344"/>
      <c r="AB73" s="344"/>
      <c r="AC73" s="344"/>
      <c r="AD73" s="344"/>
      <c r="AE73" s="344"/>
    </row>
    <row r="74" spans="1:31" ht="222.75" customHeight="1" x14ac:dyDescent="0.2">
      <c r="A74" s="433"/>
      <c r="B74" s="433"/>
      <c r="C74" s="433"/>
      <c r="D74" s="433"/>
      <c r="E74" s="433"/>
      <c r="F74" s="433"/>
      <c r="G74" s="433"/>
      <c r="H74" s="433"/>
      <c r="I74" s="433"/>
      <c r="J74" s="433"/>
      <c r="K74" s="433"/>
      <c r="L74" s="433"/>
      <c r="M74" s="433"/>
      <c r="N74" s="433"/>
      <c r="O74" s="433"/>
      <c r="P74" s="433"/>
      <c r="Q74" s="433"/>
      <c r="R74" s="433"/>
      <c r="S74" s="433"/>
      <c r="T74" s="433"/>
      <c r="U74" s="433"/>
      <c r="V74" s="433"/>
      <c r="W74" s="433"/>
      <c r="X74" s="433"/>
      <c r="Y74" s="433"/>
      <c r="Z74" s="343"/>
      <c r="AA74" s="343"/>
      <c r="AB74" s="343"/>
      <c r="AC74" s="343"/>
      <c r="AD74" s="343"/>
      <c r="AE74" s="343"/>
    </row>
    <row r="75" spans="1:31" ht="109.5" customHeight="1" x14ac:dyDescent="0.2">
      <c r="A75" s="433"/>
      <c r="B75" s="433"/>
      <c r="C75" s="433"/>
      <c r="D75" s="433"/>
      <c r="E75" s="433"/>
      <c r="F75" s="433"/>
      <c r="G75" s="433"/>
      <c r="H75" s="433"/>
      <c r="I75" s="433"/>
      <c r="J75" s="433"/>
      <c r="K75" s="433"/>
      <c r="L75" s="433"/>
      <c r="M75" s="433"/>
      <c r="N75" s="433"/>
      <c r="O75" s="433"/>
      <c r="P75" s="433"/>
      <c r="Q75" s="433"/>
      <c r="R75" s="433"/>
      <c r="S75" s="433"/>
      <c r="T75" s="433"/>
      <c r="U75" s="433"/>
      <c r="V75" s="433"/>
      <c r="W75" s="433"/>
      <c r="X75" s="433"/>
      <c r="Y75" s="433"/>
      <c r="Z75" s="343"/>
      <c r="AA75" s="343"/>
      <c r="AB75" s="343"/>
      <c r="AC75" s="343"/>
      <c r="AD75" s="343"/>
      <c r="AE75" s="343"/>
    </row>
    <row r="76" spans="1:31" ht="148.5" customHeight="1" x14ac:dyDescent="0.2">
      <c r="A76" s="433"/>
      <c r="B76" s="433"/>
      <c r="C76" s="433"/>
      <c r="D76" s="433"/>
      <c r="E76" s="433"/>
      <c r="F76" s="433"/>
      <c r="G76" s="433"/>
      <c r="H76" s="433"/>
      <c r="I76" s="433"/>
      <c r="J76" s="433"/>
      <c r="K76" s="433"/>
      <c r="L76" s="433"/>
      <c r="M76" s="433"/>
      <c r="N76" s="433"/>
      <c r="O76" s="433"/>
      <c r="P76" s="433"/>
      <c r="Q76" s="433"/>
      <c r="R76" s="433"/>
      <c r="S76" s="433"/>
      <c r="T76" s="433"/>
      <c r="U76" s="433"/>
      <c r="V76" s="433"/>
      <c r="W76" s="433"/>
      <c r="X76" s="433"/>
      <c r="Y76" s="433"/>
      <c r="Z76" s="343"/>
      <c r="AA76" s="343"/>
      <c r="AB76" s="343"/>
      <c r="AC76" s="343"/>
      <c r="AD76" s="343"/>
      <c r="AE76" s="343"/>
    </row>
    <row r="77" spans="1:31" ht="90" customHeight="1" x14ac:dyDescent="0.2">
      <c r="A77" s="433"/>
      <c r="B77" s="433"/>
      <c r="C77" s="433"/>
      <c r="D77" s="433"/>
      <c r="E77" s="433"/>
      <c r="F77" s="433"/>
      <c r="G77" s="433"/>
      <c r="H77" s="433"/>
      <c r="I77" s="433"/>
      <c r="J77" s="433"/>
      <c r="K77" s="433"/>
      <c r="L77" s="433"/>
      <c r="M77" s="433"/>
      <c r="N77" s="433"/>
      <c r="O77" s="433"/>
      <c r="P77" s="433"/>
      <c r="Q77" s="433"/>
      <c r="R77" s="433"/>
      <c r="S77" s="433"/>
      <c r="T77" s="433"/>
      <c r="U77" s="433"/>
      <c r="V77" s="433"/>
      <c r="W77" s="433"/>
      <c r="X77" s="433"/>
      <c r="Y77" s="433"/>
      <c r="Z77" s="343"/>
      <c r="AA77" s="343"/>
      <c r="AB77" s="343"/>
      <c r="AC77" s="343"/>
      <c r="AD77" s="343"/>
      <c r="AE77" s="343"/>
    </row>
    <row r="78" spans="1:31" ht="156" customHeight="1" x14ac:dyDescent="0.2">
      <c r="A78" s="433"/>
      <c r="B78" s="433"/>
      <c r="C78" s="433"/>
      <c r="D78" s="433"/>
      <c r="E78" s="433"/>
      <c r="F78" s="433"/>
      <c r="G78" s="433"/>
      <c r="H78" s="433"/>
      <c r="I78" s="433"/>
      <c r="J78" s="433"/>
      <c r="K78" s="433"/>
      <c r="L78" s="433"/>
      <c r="M78" s="433"/>
      <c r="N78" s="433"/>
      <c r="O78" s="433"/>
      <c r="P78" s="433"/>
      <c r="Q78" s="433"/>
      <c r="R78" s="433"/>
      <c r="S78" s="433"/>
      <c r="T78" s="433"/>
      <c r="U78" s="433"/>
      <c r="V78" s="433"/>
      <c r="W78" s="433"/>
      <c r="X78" s="433"/>
      <c r="Y78" s="433"/>
      <c r="Z78" s="343"/>
      <c r="AA78" s="343"/>
      <c r="AB78" s="343"/>
      <c r="AC78" s="343"/>
      <c r="AD78" s="343"/>
      <c r="AE78" s="343"/>
    </row>
    <row r="79" spans="1:31" ht="258" customHeight="1" x14ac:dyDescent="0.2">
      <c r="A79" s="433"/>
      <c r="B79" s="433"/>
      <c r="C79" s="433"/>
      <c r="D79" s="433"/>
      <c r="E79" s="433"/>
      <c r="F79" s="433"/>
      <c r="G79" s="433"/>
      <c r="H79" s="433"/>
      <c r="I79" s="433"/>
      <c r="J79" s="433"/>
      <c r="K79" s="433"/>
      <c r="L79" s="433"/>
      <c r="M79" s="433"/>
      <c r="N79" s="433"/>
      <c r="O79" s="433"/>
      <c r="P79" s="433"/>
      <c r="Q79" s="433"/>
      <c r="R79" s="433"/>
      <c r="S79" s="433"/>
      <c r="T79" s="433"/>
      <c r="U79" s="433"/>
      <c r="V79" s="433"/>
      <c r="W79" s="433"/>
      <c r="X79" s="433"/>
      <c r="Y79" s="433"/>
      <c r="Z79" s="343"/>
      <c r="AA79" s="343"/>
      <c r="AB79" s="343"/>
      <c r="AC79" s="343"/>
      <c r="AD79" s="343"/>
      <c r="AE79" s="343"/>
    </row>
    <row r="80" spans="1:31" ht="18.95" customHeight="1" x14ac:dyDescent="0.2">
      <c r="A80" s="433"/>
      <c r="B80" s="433"/>
      <c r="C80" s="433"/>
      <c r="D80" s="433"/>
      <c r="E80" s="433"/>
      <c r="F80" s="433"/>
      <c r="G80" s="433"/>
      <c r="H80" s="433"/>
      <c r="I80" s="433"/>
      <c r="J80" s="433"/>
      <c r="K80" s="433"/>
      <c r="L80" s="433"/>
      <c r="M80" s="433"/>
      <c r="N80" s="433"/>
      <c r="O80" s="433"/>
      <c r="P80" s="433"/>
      <c r="Q80" s="433"/>
      <c r="R80" s="433"/>
      <c r="S80" s="433"/>
      <c r="T80" s="433"/>
      <c r="U80" s="433"/>
      <c r="V80" s="433"/>
      <c r="W80" s="433"/>
      <c r="X80" s="433"/>
      <c r="Y80" s="433"/>
      <c r="Z80" s="343"/>
      <c r="AA80" s="343"/>
      <c r="AB80" s="343"/>
      <c r="AC80" s="343"/>
      <c r="AD80" s="343"/>
      <c r="AE80" s="343"/>
    </row>
    <row r="81" spans="1:31" ht="18.95" customHeight="1" x14ac:dyDescent="0.2">
      <c r="A81" s="433"/>
      <c r="B81" s="433"/>
      <c r="C81" s="433"/>
      <c r="D81" s="433"/>
      <c r="E81" s="433"/>
      <c r="F81" s="433"/>
      <c r="G81" s="433"/>
      <c r="H81" s="433"/>
      <c r="I81" s="433"/>
      <c r="J81" s="433"/>
      <c r="K81" s="433"/>
      <c r="L81" s="433"/>
      <c r="M81" s="433"/>
      <c r="N81" s="433"/>
      <c r="O81" s="433"/>
      <c r="P81" s="433"/>
      <c r="Q81" s="433"/>
      <c r="R81" s="433"/>
      <c r="S81" s="433"/>
      <c r="T81" s="433"/>
      <c r="U81" s="433"/>
      <c r="V81" s="433"/>
      <c r="W81" s="433"/>
      <c r="X81" s="433"/>
      <c r="Y81" s="433"/>
      <c r="Z81" s="343"/>
      <c r="AA81" s="343"/>
      <c r="AB81" s="343"/>
      <c r="AC81" s="343"/>
      <c r="AD81" s="343"/>
      <c r="AE81" s="343"/>
    </row>
    <row r="82" spans="1:31" ht="18.95" customHeight="1" x14ac:dyDescent="0.2">
      <c r="A82" s="433"/>
      <c r="B82" s="433"/>
      <c r="C82" s="433"/>
      <c r="D82" s="433"/>
      <c r="E82" s="433"/>
      <c r="F82" s="433"/>
      <c r="G82" s="433"/>
      <c r="H82" s="433"/>
      <c r="I82" s="433"/>
      <c r="J82" s="433"/>
      <c r="K82" s="433"/>
      <c r="L82" s="433"/>
      <c r="M82" s="433"/>
      <c r="N82" s="433"/>
      <c r="O82" s="433"/>
      <c r="P82" s="433"/>
      <c r="Q82" s="433"/>
      <c r="R82" s="433"/>
      <c r="S82" s="433"/>
      <c r="T82" s="433"/>
      <c r="U82" s="433"/>
      <c r="V82" s="433"/>
      <c r="W82" s="433"/>
      <c r="X82" s="433"/>
      <c r="Y82" s="433"/>
      <c r="Z82" s="343"/>
      <c r="AA82" s="343"/>
      <c r="AB82" s="343"/>
      <c r="AC82" s="343"/>
      <c r="AD82" s="343"/>
      <c r="AE82" s="343"/>
    </row>
    <row r="83" spans="1:31" ht="18.95" customHeight="1" x14ac:dyDescent="0.2">
      <c r="A83" s="433"/>
      <c r="B83" s="433"/>
      <c r="C83" s="433"/>
      <c r="D83" s="433"/>
      <c r="E83" s="433"/>
      <c r="F83" s="433"/>
      <c r="G83" s="433"/>
      <c r="H83" s="433"/>
      <c r="I83" s="433"/>
      <c r="J83" s="433"/>
      <c r="K83" s="433"/>
      <c r="L83" s="433"/>
      <c r="M83" s="433"/>
      <c r="N83" s="433"/>
      <c r="O83" s="433"/>
      <c r="P83" s="433"/>
      <c r="Q83" s="433"/>
      <c r="R83" s="433"/>
      <c r="S83" s="433"/>
      <c r="T83" s="433"/>
      <c r="U83" s="433"/>
      <c r="V83" s="433"/>
      <c r="W83" s="433"/>
      <c r="X83" s="433"/>
      <c r="Y83" s="433"/>
      <c r="Z83" s="343"/>
      <c r="AA83" s="343"/>
      <c r="AB83" s="343"/>
      <c r="AC83" s="343"/>
      <c r="AD83" s="343"/>
      <c r="AE83" s="343"/>
    </row>
    <row r="84" spans="1:31" ht="18.95" customHeight="1" x14ac:dyDescent="0.2">
      <c r="A84" s="433"/>
      <c r="B84" s="433"/>
      <c r="C84" s="433"/>
      <c r="D84" s="433"/>
      <c r="E84" s="433"/>
      <c r="F84" s="433"/>
      <c r="G84" s="433"/>
      <c r="H84" s="433"/>
      <c r="I84" s="433"/>
      <c r="J84" s="433"/>
      <c r="K84" s="433"/>
      <c r="L84" s="433"/>
      <c r="M84" s="433"/>
      <c r="N84" s="433"/>
      <c r="O84" s="433"/>
      <c r="P84" s="433"/>
      <c r="Q84" s="433"/>
      <c r="R84" s="433"/>
      <c r="S84" s="433"/>
      <c r="T84" s="433"/>
      <c r="U84" s="433"/>
      <c r="V84" s="433"/>
      <c r="W84" s="433"/>
      <c r="X84" s="433"/>
      <c r="Y84" s="433"/>
      <c r="Z84" s="343"/>
      <c r="AA84" s="343"/>
      <c r="AB84" s="343"/>
      <c r="AC84" s="343"/>
      <c r="AD84" s="343"/>
      <c r="AE84" s="343"/>
    </row>
    <row r="85" spans="1:31" ht="18.95" customHeight="1" x14ac:dyDescent="0.2">
      <c r="A85" s="433"/>
      <c r="B85" s="433"/>
      <c r="C85" s="433"/>
      <c r="D85" s="433"/>
      <c r="E85" s="433"/>
      <c r="F85" s="433"/>
      <c r="G85" s="433"/>
      <c r="H85" s="433"/>
      <c r="I85" s="433"/>
      <c r="J85" s="433"/>
      <c r="K85" s="433"/>
      <c r="L85" s="433"/>
      <c r="M85" s="433"/>
      <c r="N85" s="433"/>
      <c r="O85" s="433"/>
      <c r="P85" s="433"/>
      <c r="Q85" s="433"/>
      <c r="R85" s="433"/>
      <c r="S85" s="433"/>
      <c r="T85" s="433"/>
      <c r="U85" s="433"/>
      <c r="V85" s="433"/>
      <c r="W85" s="433"/>
      <c r="X85" s="433"/>
      <c r="Y85" s="433"/>
      <c r="Z85" s="343"/>
      <c r="AA85" s="343"/>
      <c r="AB85" s="343"/>
      <c r="AC85" s="343"/>
      <c r="AD85" s="343"/>
      <c r="AE85" s="343"/>
    </row>
    <row r="86" spans="1:31" ht="18.95" customHeight="1" x14ac:dyDescent="0.2">
      <c r="A86" s="433"/>
      <c r="B86" s="433"/>
      <c r="C86" s="433"/>
      <c r="D86" s="433"/>
      <c r="E86" s="433"/>
      <c r="F86" s="433"/>
      <c r="G86" s="433"/>
      <c r="H86" s="433"/>
      <c r="I86" s="433"/>
      <c r="J86" s="433"/>
      <c r="K86" s="433"/>
      <c r="L86" s="433"/>
      <c r="M86" s="433"/>
      <c r="N86" s="433"/>
      <c r="O86" s="433"/>
      <c r="P86" s="433"/>
      <c r="Q86" s="433"/>
      <c r="R86" s="433"/>
      <c r="S86" s="433"/>
      <c r="T86" s="433"/>
      <c r="U86" s="433"/>
      <c r="V86" s="433"/>
      <c r="W86" s="433"/>
      <c r="X86" s="433"/>
      <c r="Y86" s="433"/>
      <c r="Z86" s="343"/>
      <c r="AA86" s="343"/>
      <c r="AB86" s="343"/>
      <c r="AC86" s="343"/>
      <c r="AD86" s="343"/>
      <c r="AE86" s="343"/>
    </row>
    <row r="87" spans="1:31" ht="18.95" customHeight="1" x14ac:dyDescent="0.2">
      <c r="A87" s="433"/>
      <c r="B87" s="433"/>
      <c r="C87" s="433"/>
      <c r="D87" s="433"/>
      <c r="E87" s="433"/>
      <c r="F87" s="433"/>
      <c r="G87" s="433"/>
      <c r="H87" s="433"/>
      <c r="I87" s="433"/>
      <c r="J87" s="433"/>
      <c r="K87" s="433"/>
      <c r="L87" s="433"/>
      <c r="M87" s="433"/>
      <c r="N87" s="433"/>
      <c r="O87" s="433"/>
      <c r="P87" s="433"/>
      <c r="Q87" s="433"/>
      <c r="R87" s="433"/>
      <c r="S87" s="433"/>
      <c r="T87" s="433"/>
      <c r="U87" s="433"/>
      <c r="V87" s="433"/>
      <c r="W87" s="433"/>
      <c r="X87" s="433"/>
      <c r="Y87" s="433"/>
      <c r="Z87" s="343"/>
      <c r="AA87" s="343"/>
      <c r="AB87" s="343"/>
      <c r="AC87" s="343"/>
      <c r="AD87" s="343"/>
      <c r="AE87" s="343"/>
    </row>
    <row r="88" spans="1:31" ht="18.95" customHeight="1" x14ac:dyDescent="0.2">
      <c r="A88" s="433"/>
      <c r="B88" s="433"/>
      <c r="C88" s="433"/>
      <c r="D88" s="433"/>
      <c r="E88" s="433"/>
      <c r="F88" s="433"/>
      <c r="G88" s="433"/>
      <c r="H88" s="433"/>
      <c r="I88" s="433"/>
      <c r="J88" s="433"/>
      <c r="K88" s="433"/>
      <c r="L88" s="433"/>
      <c r="M88" s="433"/>
      <c r="N88" s="433"/>
      <c r="O88" s="433"/>
      <c r="P88" s="433"/>
      <c r="Q88" s="433"/>
      <c r="R88" s="433"/>
      <c r="S88" s="433"/>
      <c r="T88" s="433"/>
      <c r="U88" s="433"/>
      <c r="V88" s="433"/>
      <c r="W88" s="433"/>
      <c r="X88" s="433"/>
      <c r="Y88" s="433"/>
    </row>
    <row r="89" spans="1:31" ht="18.95" customHeight="1" x14ac:dyDescent="0.2">
      <c r="A89" s="433"/>
      <c r="B89" s="433"/>
      <c r="C89" s="433"/>
      <c r="D89" s="433"/>
      <c r="E89" s="433"/>
      <c r="F89" s="433"/>
      <c r="G89" s="433"/>
      <c r="H89" s="433"/>
      <c r="I89" s="433"/>
      <c r="J89" s="433"/>
      <c r="K89" s="433"/>
      <c r="L89" s="433"/>
      <c r="M89" s="433"/>
      <c r="N89" s="433"/>
      <c r="O89" s="433"/>
      <c r="P89" s="433"/>
      <c r="Q89" s="433"/>
      <c r="R89" s="433"/>
      <c r="S89" s="433"/>
      <c r="T89" s="433"/>
      <c r="U89" s="433"/>
      <c r="V89" s="433"/>
      <c r="W89" s="433"/>
      <c r="X89" s="433"/>
      <c r="Y89" s="433"/>
    </row>
    <row r="90" spans="1:31" ht="18.95" customHeight="1" x14ac:dyDescent="0.2">
      <c r="A90" s="433"/>
      <c r="B90" s="433"/>
      <c r="C90" s="433"/>
      <c r="D90" s="433"/>
      <c r="E90" s="433"/>
      <c r="F90" s="433"/>
      <c r="G90" s="433"/>
      <c r="H90" s="433"/>
      <c r="I90" s="433"/>
      <c r="J90" s="433"/>
      <c r="K90" s="433"/>
      <c r="L90" s="433"/>
      <c r="M90" s="433"/>
      <c r="N90" s="433"/>
      <c r="O90" s="433"/>
      <c r="P90" s="433"/>
      <c r="Q90" s="433"/>
      <c r="R90" s="433"/>
      <c r="S90" s="433"/>
      <c r="T90" s="433"/>
      <c r="U90" s="433"/>
      <c r="V90" s="433"/>
      <c r="W90" s="433"/>
      <c r="X90" s="433"/>
      <c r="Y90" s="433"/>
    </row>
    <row r="91" spans="1:31" ht="18.95" customHeight="1" x14ac:dyDescent="0.2">
      <c r="A91" s="433"/>
      <c r="B91" s="433"/>
      <c r="C91" s="433"/>
      <c r="D91" s="433"/>
      <c r="E91" s="433"/>
      <c r="F91" s="433"/>
      <c r="G91" s="433"/>
      <c r="H91" s="433"/>
      <c r="I91" s="433"/>
      <c r="J91" s="433"/>
      <c r="K91" s="433"/>
      <c r="L91" s="433"/>
      <c r="M91" s="433"/>
      <c r="N91" s="433"/>
      <c r="O91" s="433"/>
      <c r="P91" s="433"/>
      <c r="Q91" s="433"/>
      <c r="R91" s="433"/>
      <c r="S91" s="433"/>
      <c r="T91" s="433"/>
      <c r="U91" s="433"/>
      <c r="V91" s="433"/>
      <c r="W91" s="433"/>
      <c r="X91" s="433"/>
      <c r="Y91" s="433"/>
    </row>
    <row r="92" spans="1:31" ht="12.75" customHeight="1" x14ac:dyDescent="0.25">
      <c r="A92" s="96"/>
    </row>
    <row r="93" spans="1:31" ht="12.75" customHeight="1" x14ac:dyDescent="0.2">
      <c r="A93" s="434" t="s">
        <v>50</v>
      </c>
    </row>
    <row r="94" spans="1:31" ht="12.75" customHeight="1" x14ac:dyDescent="0.2">
      <c r="A94" s="435"/>
    </row>
    <row r="95" spans="1:31" ht="12.75" customHeight="1" x14ac:dyDescent="0.2">
      <c r="A95" s="435"/>
    </row>
    <row r="96" spans="1:31" ht="249.75" customHeight="1" x14ac:dyDescent="0.2">
      <c r="A96" s="97"/>
    </row>
    <row r="97" spans="1:1" x14ac:dyDescent="0.2">
      <c r="A97" s="98"/>
    </row>
    <row r="98" spans="1:1" x14ac:dyDescent="0.2">
      <c r="A98" s="98"/>
    </row>
    <row r="99" spans="1:1" x14ac:dyDescent="0.2">
      <c r="A99" s="98"/>
    </row>
    <row r="100" spans="1:1" x14ac:dyDescent="0.2">
      <c r="A100" s="98"/>
    </row>
    <row r="101" spans="1:1" x14ac:dyDescent="0.2">
      <c r="A101" s="98"/>
    </row>
    <row r="102" spans="1:1" x14ac:dyDescent="0.2">
      <c r="A102" s="98"/>
    </row>
    <row r="103" spans="1:1" x14ac:dyDescent="0.2">
      <c r="A103" s="98"/>
    </row>
    <row r="138" spans="6:15" x14ac:dyDescent="0.2">
      <c r="J138" s="3" t="s">
        <v>51</v>
      </c>
      <c r="K138" s="3" t="s">
        <v>52</v>
      </c>
    </row>
    <row r="139" spans="6:15" s="99" customFormat="1" x14ac:dyDescent="0.2">
      <c r="F139" s="99">
        <v>0</v>
      </c>
      <c r="G139" s="99">
        <v>0</v>
      </c>
      <c r="H139" s="99">
        <v>0</v>
      </c>
      <c r="I139" s="99">
        <v>0</v>
      </c>
      <c r="J139" s="99">
        <v>0</v>
      </c>
      <c r="K139" s="99">
        <v>0</v>
      </c>
      <c r="L139" s="99">
        <v>0</v>
      </c>
      <c r="M139" s="99">
        <v>0</v>
      </c>
      <c r="N139" s="99" t="str">
        <f>+CONCATENATE(G139,"VEHICULO",M139)</f>
        <v>0VEHICULO0</v>
      </c>
      <c r="O139" s="302"/>
    </row>
    <row r="140" spans="6:15" s="99" customFormat="1" x14ac:dyDescent="0.2">
      <c r="F140" s="284" t="s">
        <v>230</v>
      </c>
      <c r="G140" s="284" t="s">
        <v>53</v>
      </c>
      <c r="H140" s="284" t="s">
        <v>351</v>
      </c>
      <c r="I140" s="285">
        <v>1955007</v>
      </c>
      <c r="J140" s="285" t="s">
        <v>54</v>
      </c>
      <c r="K140" s="286">
        <v>4</v>
      </c>
      <c r="L140" s="284" t="s">
        <v>55</v>
      </c>
      <c r="M140" s="284" t="s">
        <v>56</v>
      </c>
      <c r="N140" s="284" t="str">
        <f>+CONCATENATE(G140,F140)</f>
        <v>1.40m³/50m³ -15H-4OP</v>
      </c>
      <c r="O140" s="302"/>
    </row>
    <row r="141" spans="6:15" s="99" customFormat="1" x14ac:dyDescent="0.2">
      <c r="F141" s="284" t="s">
        <v>231</v>
      </c>
      <c r="G141" s="99" t="s">
        <v>57</v>
      </c>
      <c r="H141" s="284" t="s">
        <v>352</v>
      </c>
      <c r="I141" s="100">
        <v>1795972</v>
      </c>
      <c r="J141" s="100" t="s">
        <v>54</v>
      </c>
      <c r="K141" s="101">
        <v>3</v>
      </c>
      <c r="L141" s="99" t="s">
        <v>58</v>
      </c>
      <c r="M141" s="99" t="s">
        <v>56</v>
      </c>
      <c r="N141" s="99" t="str">
        <f t="shared" ref="N141:N216" si="20">+CONCATENATE(G141,F141)</f>
        <v>2.40m³/50m³ -15H-3OP</v>
      </c>
      <c r="O141" s="302"/>
    </row>
    <row r="142" spans="6:15" s="99" customFormat="1" x14ac:dyDescent="0.2">
      <c r="F142" s="99" t="s">
        <v>232</v>
      </c>
      <c r="G142" s="99" t="s">
        <v>59</v>
      </c>
      <c r="H142" s="99" t="s">
        <v>353</v>
      </c>
      <c r="I142" s="100">
        <v>1435144</v>
      </c>
      <c r="J142" s="100" t="s">
        <v>54</v>
      </c>
      <c r="K142" s="101">
        <v>2</v>
      </c>
      <c r="L142" s="99" t="s">
        <v>60</v>
      </c>
      <c r="M142" s="99" t="s">
        <v>56</v>
      </c>
      <c r="N142" s="99" t="str">
        <f t="shared" si="20"/>
        <v>3.40m³/50m³-15H-2OP</v>
      </c>
      <c r="O142" s="302"/>
    </row>
    <row r="143" spans="6:15" s="99" customFormat="1" x14ac:dyDescent="0.2">
      <c r="F143" s="99" t="s">
        <v>233</v>
      </c>
      <c r="G143" s="99" t="s">
        <v>61</v>
      </c>
      <c r="H143" s="99" t="s">
        <v>354</v>
      </c>
      <c r="I143" s="100">
        <v>942678</v>
      </c>
      <c r="J143" s="100" t="s">
        <v>54</v>
      </c>
      <c r="K143" s="101">
        <v>1</v>
      </c>
      <c r="L143" s="99" t="s">
        <v>62</v>
      </c>
      <c r="M143" s="99" t="s">
        <v>56</v>
      </c>
      <c r="N143" s="99" t="str">
        <f t="shared" si="20"/>
        <v>4.40m³/50m³-15H-1OP</v>
      </c>
      <c r="O143" s="302"/>
    </row>
    <row r="144" spans="6:15" s="99" customFormat="1" x14ac:dyDescent="0.2">
      <c r="F144" s="99" t="s">
        <v>234</v>
      </c>
      <c r="G144" s="99" t="s">
        <v>63</v>
      </c>
      <c r="H144" s="99" t="s">
        <v>355</v>
      </c>
      <c r="I144" s="100">
        <v>745988</v>
      </c>
      <c r="J144" s="100" t="s">
        <v>54</v>
      </c>
      <c r="K144" s="101">
        <v>0</v>
      </c>
      <c r="L144" s="99" t="s">
        <v>64</v>
      </c>
      <c r="M144" s="99" t="s">
        <v>56</v>
      </c>
      <c r="N144" s="99" t="str">
        <f t="shared" si="20"/>
        <v>5.40m³/50m³-15H-0OP</v>
      </c>
      <c r="O144" s="302"/>
    </row>
    <row r="145" spans="6:15" s="99" customFormat="1" x14ac:dyDescent="0.2">
      <c r="F145" s="99" t="s">
        <v>235</v>
      </c>
      <c r="G145" s="99" t="s">
        <v>65</v>
      </c>
      <c r="H145" s="99" t="s">
        <v>356</v>
      </c>
      <c r="I145" s="100">
        <v>1665773</v>
      </c>
      <c r="J145" s="100" t="s">
        <v>66</v>
      </c>
      <c r="K145" s="101">
        <v>4</v>
      </c>
      <c r="L145" s="99" t="s">
        <v>67</v>
      </c>
      <c r="M145" s="99" t="s">
        <v>56</v>
      </c>
      <c r="N145" s="99" t="str">
        <f t="shared" si="20"/>
        <v>6.40m³/50m³-9H-4OP</v>
      </c>
      <c r="O145" s="302"/>
    </row>
    <row r="146" spans="6:15" s="99" customFormat="1" x14ac:dyDescent="0.2">
      <c r="F146" s="99" t="s">
        <v>236</v>
      </c>
      <c r="G146" s="99" t="s">
        <v>68</v>
      </c>
      <c r="H146" s="99" t="s">
        <v>357</v>
      </c>
      <c r="I146" s="100">
        <v>1499814</v>
      </c>
      <c r="J146" s="100" t="s">
        <v>66</v>
      </c>
      <c r="K146" s="101">
        <v>3</v>
      </c>
      <c r="L146" s="99" t="s">
        <v>69</v>
      </c>
      <c r="M146" s="99" t="s">
        <v>56</v>
      </c>
      <c r="N146" s="99" t="str">
        <f t="shared" si="20"/>
        <v>7.40m³/50m³-9H-3OP</v>
      </c>
      <c r="O146" s="302"/>
    </row>
    <row r="147" spans="6:15" s="99" customFormat="1" x14ac:dyDescent="0.2">
      <c r="F147" s="99" t="s">
        <v>237</v>
      </c>
      <c r="G147" s="99" t="s">
        <v>70</v>
      </c>
      <c r="H147" s="99" t="s">
        <v>358</v>
      </c>
      <c r="I147" s="100">
        <v>1222505</v>
      </c>
      <c r="J147" s="100" t="s">
        <v>66</v>
      </c>
      <c r="K147" s="101">
        <v>2</v>
      </c>
      <c r="L147" s="99" t="s">
        <v>71</v>
      </c>
      <c r="M147" s="99" t="s">
        <v>56</v>
      </c>
      <c r="N147" s="99" t="str">
        <f t="shared" si="20"/>
        <v>8.40m³/50m³-9H-2OP</v>
      </c>
      <c r="O147" s="302"/>
    </row>
    <row r="148" spans="6:15" s="99" customFormat="1" x14ac:dyDescent="0.2">
      <c r="F148" s="99" t="s">
        <v>238</v>
      </c>
      <c r="G148" s="99" t="s">
        <v>72</v>
      </c>
      <c r="H148" s="99" t="s">
        <v>359</v>
      </c>
      <c r="I148" s="100">
        <v>769092</v>
      </c>
      <c r="J148" s="100" t="s">
        <v>66</v>
      </c>
      <c r="K148" s="101">
        <v>1</v>
      </c>
      <c r="L148" s="99" t="s">
        <v>73</v>
      </c>
      <c r="M148" s="99" t="s">
        <v>56</v>
      </c>
      <c r="N148" s="99" t="str">
        <f t="shared" si="20"/>
        <v>9.40m³/50m³-9H-1OP</v>
      </c>
      <c r="O148" s="302"/>
    </row>
    <row r="149" spans="6:15" s="99" customFormat="1" x14ac:dyDescent="0.2">
      <c r="F149" s="99" t="s">
        <v>239</v>
      </c>
      <c r="G149" s="99" t="s">
        <v>74</v>
      </c>
      <c r="H149" s="99" t="s">
        <v>360</v>
      </c>
      <c r="I149" s="100">
        <v>604794</v>
      </c>
      <c r="J149" s="100" t="s">
        <v>66</v>
      </c>
      <c r="K149" s="101">
        <v>0</v>
      </c>
      <c r="L149" s="99" t="s">
        <v>75</v>
      </c>
      <c r="M149" s="99" t="s">
        <v>56</v>
      </c>
      <c r="N149" s="99" t="str">
        <f t="shared" si="20"/>
        <v>10.40m³/50m³-9H-0OP</v>
      </c>
      <c r="O149" s="302"/>
    </row>
    <row r="150" spans="6:15" s="99" customFormat="1" x14ac:dyDescent="0.2">
      <c r="F150" s="99" t="s">
        <v>240</v>
      </c>
      <c r="G150" s="99" t="s">
        <v>76</v>
      </c>
      <c r="H150" s="99" t="s">
        <v>361</v>
      </c>
      <c r="I150" s="100">
        <v>1382917</v>
      </c>
      <c r="J150" s="100" t="s">
        <v>77</v>
      </c>
      <c r="K150" s="101">
        <v>4</v>
      </c>
      <c r="L150" s="99" t="s">
        <v>78</v>
      </c>
      <c r="M150" s="99" t="s">
        <v>56</v>
      </c>
      <c r="N150" s="99" t="str">
        <f t="shared" si="20"/>
        <v>11.40m³/50m³-4H-4OP</v>
      </c>
      <c r="O150" s="302"/>
    </row>
    <row r="151" spans="6:15" s="99" customFormat="1" x14ac:dyDescent="0.2">
      <c r="F151" s="99" t="s">
        <v>241</v>
      </c>
      <c r="G151" s="99" t="s">
        <v>79</v>
      </c>
      <c r="H151" s="99" t="s">
        <v>362</v>
      </c>
      <c r="I151" s="100">
        <v>1230935</v>
      </c>
      <c r="J151" s="100" t="s">
        <v>77</v>
      </c>
      <c r="K151" s="101">
        <v>3</v>
      </c>
      <c r="L151" s="99" t="s">
        <v>80</v>
      </c>
      <c r="M151" s="99" t="s">
        <v>56</v>
      </c>
      <c r="N151" s="99" t="str">
        <f t="shared" si="20"/>
        <v>12.40m³/50m³-4H-3OP</v>
      </c>
      <c r="O151" s="302"/>
    </row>
    <row r="152" spans="6:15" s="99" customFormat="1" x14ac:dyDescent="0.2">
      <c r="F152" s="99" t="s">
        <v>242</v>
      </c>
      <c r="G152" s="99" t="s">
        <v>81</v>
      </c>
      <c r="H152" s="99" t="s">
        <v>363</v>
      </c>
      <c r="I152" s="100">
        <v>1081630</v>
      </c>
      <c r="J152" s="100" t="s">
        <v>77</v>
      </c>
      <c r="K152" s="101">
        <v>2</v>
      </c>
      <c r="L152" s="99" t="s">
        <v>82</v>
      </c>
      <c r="M152" s="99" t="s">
        <v>56</v>
      </c>
      <c r="N152" s="99" t="str">
        <f t="shared" si="20"/>
        <v>13.40m³/50m³-4H-2OP</v>
      </c>
      <c r="O152" s="302"/>
    </row>
    <row r="153" spans="6:15" s="99" customFormat="1" x14ac:dyDescent="0.2">
      <c r="F153" s="99" t="s">
        <v>243</v>
      </c>
      <c r="G153" s="99" t="s">
        <v>83</v>
      </c>
      <c r="H153" s="99" t="s">
        <v>364</v>
      </c>
      <c r="I153" s="100">
        <v>575460</v>
      </c>
      <c r="J153" s="100" t="s">
        <v>77</v>
      </c>
      <c r="K153" s="101">
        <v>1</v>
      </c>
      <c r="L153" s="99" t="s">
        <v>84</v>
      </c>
      <c r="M153" s="99" t="s">
        <v>56</v>
      </c>
      <c r="N153" s="99" t="str">
        <f t="shared" si="20"/>
        <v>14.40m³/50m³-4H-1OP</v>
      </c>
      <c r="O153" s="302"/>
    </row>
    <row r="154" spans="6:15" s="99" customFormat="1" x14ac:dyDescent="0.2">
      <c r="F154" s="99" t="s">
        <v>244</v>
      </c>
      <c r="G154" s="99" t="s">
        <v>85</v>
      </c>
      <c r="H154" s="99" t="s">
        <v>365</v>
      </c>
      <c r="I154" s="100">
        <v>477806</v>
      </c>
      <c r="J154" s="100" t="s">
        <v>77</v>
      </c>
      <c r="K154" s="101">
        <v>0</v>
      </c>
      <c r="L154" s="99" t="s">
        <v>86</v>
      </c>
      <c r="M154" s="99" t="s">
        <v>56</v>
      </c>
      <c r="N154" s="99" t="str">
        <f t="shared" si="20"/>
        <v>15.40m³50m³-4H-0OP</v>
      </c>
      <c r="O154" s="302"/>
    </row>
    <row r="155" spans="6:15" s="99" customFormat="1" x14ac:dyDescent="0.2">
      <c r="F155" s="99" t="s">
        <v>87</v>
      </c>
      <c r="G155" s="99" t="s">
        <v>88</v>
      </c>
      <c r="H155" s="99" t="s">
        <v>366</v>
      </c>
      <c r="I155" s="100">
        <v>1691890</v>
      </c>
      <c r="J155" s="100" t="s">
        <v>54</v>
      </c>
      <c r="K155" s="101">
        <v>4</v>
      </c>
      <c r="L155" s="99" t="s">
        <v>89</v>
      </c>
      <c r="M155" s="99" t="s">
        <v>56</v>
      </c>
      <c r="N155" s="99" t="str">
        <f t="shared" si="20"/>
        <v>16.25m³-15H-4OP</v>
      </c>
      <c r="O155" s="302"/>
    </row>
    <row r="156" spans="6:15" s="99" customFormat="1" x14ac:dyDescent="0.2">
      <c r="F156" s="99" t="s">
        <v>90</v>
      </c>
      <c r="G156" s="99" t="s">
        <v>91</v>
      </c>
      <c r="H156" s="99" t="s">
        <v>367</v>
      </c>
      <c r="I156" s="100">
        <v>1505234</v>
      </c>
      <c r="J156" s="100" t="s">
        <v>54</v>
      </c>
      <c r="K156" s="101">
        <v>3</v>
      </c>
      <c r="L156" s="99" t="s">
        <v>92</v>
      </c>
      <c r="M156" s="99" t="s">
        <v>56</v>
      </c>
      <c r="N156" s="99" t="str">
        <f t="shared" si="20"/>
        <v>17.25m³-15H-3OP</v>
      </c>
      <c r="O156" s="302"/>
    </row>
    <row r="157" spans="6:15" s="99" customFormat="1" x14ac:dyDescent="0.2">
      <c r="F157" s="99" t="s">
        <v>93</v>
      </c>
      <c r="G157" s="99" t="s">
        <v>94</v>
      </c>
      <c r="H157" s="99" t="s">
        <v>368</v>
      </c>
      <c r="I157" s="100">
        <v>1308251</v>
      </c>
      <c r="J157" s="100" t="s">
        <v>54</v>
      </c>
      <c r="K157" s="101">
        <v>2</v>
      </c>
      <c r="L157" s="99" t="s">
        <v>95</v>
      </c>
      <c r="M157" s="99" t="s">
        <v>56</v>
      </c>
      <c r="N157" s="99" t="str">
        <f t="shared" si="20"/>
        <v>18.25m³-15H-2OP</v>
      </c>
      <c r="O157" s="302"/>
    </row>
    <row r="158" spans="6:15" s="99" customFormat="1" x14ac:dyDescent="0.2">
      <c r="F158" s="99" t="s">
        <v>96</v>
      </c>
      <c r="G158" s="99" t="s">
        <v>97</v>
      </c>
      <c r="H158" s="99" t="s">
        <v>369</v>
      </c>
      <c r="I158" s="100">
        <v>1097977</v>
      </c>
      <c r="J158" s="100" t="s">
        <v>54</v>
      </c>
      <c r="K158" s="101">
        <v>1</v>
      </c>
      <c r="L158" s="99" t="s">
        <v>98</v>
      </c>
      <c r="M158" s="99" t="s">
        <v>56</v>
      </c>
      <c r="N158" s="99" t="str">
        <f t="shared" si="20"/>
        <v>19.25m³-15H-1OP</v>
      </c>
      <c r="O158" s="302"/>
    </row>
    <row r="159" spans="6:15" s="99" customFormat="1" x14ac:dyDescent="0.2">
      <c r="F159" s="99" t="s">
        <v>99</v>
      </c>
      <c r="G159" s="99" t="s">
        <v>100</v>
      </c>
      <c r="H159" s="99" t="s">
        <v>370</v>
      </c>
      <c r="I159" s="100">
        <v>861675</v>
      </c>
      <c r="J159" s="100" t="s">
        <v>54</v>
      </c>
      <c r="K159" s="101">
        <v>0</v>
      </c>
      <c r="L159" s="99" t="s">
        <v>101</v>
      </c>
      <c r="M159" s="99" t="s">
        <v>56</v>
      </c>
      <c r="N159" s="99" t="str">
        <f t="shared" si="20"/>
        <v>20.25m³-15H-0OP</v>
      </c>
      <c r="O159" s="302"/>
    </row>
    <row r="160" spans="6:15" s="99" customFormat="1" x14ac:dyDescent="0.2">
      <c r="F160" s="99" t="s">
        <v>102</v>
      </c>
      <c r="G160" s="99" t="s">
        <v>103</v>
      </c>
      <c r="H160" s="99" t="s">
        <v>371</v>
      </c>
      <c r="I160" s="100">
        <v>1457200</v>
      </c>
      <c r="J160" s="100" t="s">
        <v>66</v>
      </c>
      <c r="K160" s="101">
        <v>4</v>
      </c>
      <c r="L160" s="99" t="s">
        <v>104</v>
      </c>
      <c r="M160" s="99" t="s">
        <v>56</v>
      </c>
      <c r="N160" s="99" t="str">
        <f t="shared" si="20"/>
        <v>21.25m³-9H-4OP</v>
      </c>
      <c r="O160" s="302"/>
    </row>
    <row r="161" spans="6:15" s="99" customFormat="1" x14ac:dyDescent="0.2">
      <c r="F161" s="99" t="s">
        <v>105</v>
      </c>
      <c r="G161" s="99" t="s">
        <v>106</v>
      </c>
      <c r="H161" s="99" t="s">
        <v>372</v>
      </c>
      <c r="I161" s="100">
        <v>1312665</v>
      </c>
      <c r="J161" s="100" t="s">
        <v>66</v>
      </c>
      <c r="K161" s="101">
        <v>3</v>
      </c>
      <c r="L161" s="99" t="s">
        <v>107</v>
      </c>
      <c r="M161" s="99" t="s">
        <v>56</v>
      </c>
      <c r="N161" s="99" t="str">
        <f t="shared" si="20"/>
        <v>22.25m³-9H-3OP</v>
      </c>
      <c r="O161" s="302"/>
    </row>
    <row r="162" spans="6:15" s="99" customFormat="1" x14ac:dyDescent="0.2">
      <c r="F162" s="99" t="s">
        <v>108</v>
      </c>
      <c r="G162" s="99" t="s">
        <v>109</v>
      </c>
      <c r="H162" s="99" t="s">
        <v>373</v>
      </c>
      <c r="I162" s="100">
        <v>1175229</v>
      </c>
      <c r="J162" s="100" t="s">
        <v>66</v>
      </c>
      <c r="K162" s="101">
        <v>2</v>
      </c>
      <c r="L162" s="99" t="s">
        <v>110</v>
      </c>
      <c r="M162" s="99" t="s">
        <v>56</v>
      </c>
      <c r="N162" s="99" t="str">
        <f t="shared" si="20"/>
        <v>23.25m³-9H-2OP</v>
      </c>
      <c r="O162" s="302"/>
    </row>
    <row r="163" spans="6:15" s="99" customFormat="1" x14ac:dyDescent="0.2">
      <c r="F163" s="99" t="s">
        <v>111</v>
      </c>
      <c r="G163" s="99" t="s">
        <v>112</v>
      </c>
      <c r="H163" s="99" t="s">
        <v>374</v>
      </c>
      <c r="I163" s="100">
        <v>873501</v>
      </c>
      <c r="J163" s="100" t="s">
        <v>66</v>
      </c>
      <c r="K163" s="101">
        <v>1</v>
      </c>
      <c r="L163" s="99" t="s">
        <v>113</v>
      </c>
      <c r="M163" s="99" t="s">
        <v>56</v>
      </c>
      <c r="N163" s="99" t="str">
        <f t="shared" si="20"/>
        <v>24.25m³-9H-1OP</v>
      </c>
      <c r="O163" s="302"/>
    </row>
    <row r="164" spans="6:15" s="99" customFormat="1" x14ac:dyDescent="0.2">
      <c r="F164" s="99" t="s">
        <v>114</v>
      </c>
      <c r="G164" s="99" t="s">
        <v>115</v>
      </c>
      <c r="H164" s="99" t="s">
        <v>375</v>
      </c>
      <c r="I164" s="100">
        <v>530672</v>
      </c>
      <c r="J164" s="100" t="s">
        <v>66</v>
      </c>
      <c r="K164" s="101">
        <v>0</v>
      </c>
      <c r="L164" s="99" t="s">
        <v>116</v>
      </c>
      <c r="M164" s="99" t="s">
        <v>56</v>
      </c>
      <c r="N164" s="99" t="str">
        <f t="shared" si="20"/>
        <v>25.25m³-9H-0OP</v>
      </c>
      <c r="O164" s="302"/>
    </row>
    <row r="165" spans="6:15" s="99" customFormat="1" x14ac:dyDescent="0.2">
      <c r="F165" s="99" t="s">
        <v>117</v>
      </c>
      <c r="G165" s="99" t="s">
        <v>118</v>
      </c>
      <c r="H165" s="99" t="s">
        <v>376</v>
      </c>
      <c r="I165" s="100">
        <v>1031685</v>
      </c>
      <c r="J165" s="100" t="s">
        <v>77</v>
      </c>
      <c r="K165" s="101">
        <v>4</v>
      </c>
      <c r="L165" s="99" t="s">
        <v>119</v>
      </c>
      <c r="M165" s="99" t="s">
        <v>56</v>
      </c>
      <c r="N165" s="99" t="str">
        <f t="shared" si="20"/>
        <v>26.25m³-4H-4OP</v>
      </c>
      <c r="O165" s="302"/>
    </row>
    <row r="166" spans="6:15" s="99" customFormat="1" x14ac:dyDescent="0.2">
      <c r="F166" s="99" t="s">
        <v>120</v>
      </c>
      <c r="G166" s="99" t="s">
        <v>121</v>
      </c>
      <c r="H166" s="99" t="s">
        <v>377</v>
      </c>
      <c r="I166" s="100">
        <v>1092868</v>
      </c>
      <c r="J166" s="100" t="s">
        <v>77</v>
      </c>
      <c r="K166" s="101">
        <v>3</v>
      </c>
      <c r="L166" s="99" t="s">
        <v>122</v>
      </c>
      <c r="M166" s="99" t="s">
        <v>56</v>
      </c>
      <c r="N166" s="99" t="str">
        <f t="shared" si="20"/>
        <v>27.25m³-4H-3OP</v>
      </c>
      <c r="O166" s="302"/>
    </row>
    <row r="167" spans="6:15" s="99" customFormat="1" x14ac:dyDescent="0.2">
      <c r="F167" s="99" t="s">
        <v>123</v>
      </c>
      <c r="G167" s="99" t="s">
        <v>124</v>
      </c>
      <c r="H167" s="99" t="s">
        <v>378</v>
      </c>
      <c r="I167" s="100">
        <v>961567</v>
      </c>
      <c r="J167" s="100" t="s">
        <v>77</v>
      </c>
      <c r="K167" s="101">
        <v>2</v>
      </c>
      <c r="L167" s="99" t="s">
        <v>125</v>
      </c>
      <c r="M167" s="99" t="s">
        <v>56</v>
      </c>
      <c r="N167" s="99" t="str">
        <f t="shared" si="20"/>
        <v>28.25m³-4H-2OP</v>
      </c>
      <c r="O167" s="302"/>
    </row>
    <row r="168" spans="6:15" s="99" customFormat="1" x14ac:dyDescent="0.2">
      <c r="F168" s="99" t="s">
        <v>126</v>
      </c>
      <c r="G168" s="99" t="s">
        <v>127</v>
      </c>
      <c r="H168" s="99" t="s">
        <v>379</v>
      </c>
      <c r="I168" s="100">
        <v>463364</v>
      </c>
      <c r="J168" s="100" t="s">
        <v>77</v>
      </c>
      <c r="K168" s="101">
        <v>1</v>
      </c>
      <c r="L168" s="99" t="s">
        <v>128</v>
      </c>
      <c r="M168" s="99" t="s">
        <v>56</v>
      </c>
      <c r="N168" s="99" t="str">
        <f t="shared" si="20"/>
        <v>29.25m³-4H-1OP</v>
      </c>
      <c r="O168" s="302"/>
    </row>
    <row r="169" spans="6:15" s="99" customFormat="1" x14ac:dyDescent="0.2">
      <c r="F169" s="99" t="s">
        <v>129</v>
      </c>
      <c r="G169" s="99" t="s">
        <v>130</v>
      </c>
      <c r="H169" s="99" t="s">
        <v>380</v>
      </c>
      <c r="I169" s="100">
        <v>429635</v>
      </c>
      <c r="J169" s="100" t="s">
        <v>77</v>
      </c>
      <c r="K169" s="101">
        <v>0</v>
      </c>
      <c r="L169" s="99" t="s">
        <v>131</v>
      </c>
      <c r="M169" s="99" t="s">
        <v>56</v>
      </c>
      <c r="N169" s="99" t="str">
        <f t="shared" si="20"/>
        <v>30.25m³-4H-0OP</v>
      </c>
      <c r="O169" s="302"/>
    </row>
    <row r="170" spans="6:15" s="99" customFormat="1" x14ac:dyDescent="0.2">
      <c r="F170" s="99" t="s">
        <v>132</v>
      </c>
      <c r="G170" s="99" t="s">
        <v>133</v>
      </c>
      <c r="H170" s="99" t="s">
        <v>394</v>
      </c>
      <c r="I170" s="100">
        <v>1019917</v>
      </c>
      <c r="J170" s="100" t="s">
        <v>54</v>
      </c>
      <c r="K170" s="101">
        <v>0</v>
      </c>
      <c r="L170" s="99" t="s">
        <v>134</v>
      </c>
      <c r="M170" s="99" t="s">
        <v>56</v>
      </c>
      <c r="N170" s="99" t="str">
        <f t="shared" si="20"/>
        <v>31.FURGON-15H</v>
      </c>
      <c r="O170" s="302"/>
    </row>
    <row r="171" spans="6:15" s="99" customFormat="1" x14ac:dyDescent="0.2">
      <c r="F171" s="99" t="s">
        <v>132</v>
      </c>
      <c r="G171" s="99" t="s">
        <v>136</v>
      </c>
      <c r="H171" s="99" t="s">
        <v>395</v>
      </c>
      <c r="I171" s="100">
        <v>832623</v>
      </c>
      <c r="J171" s="100" t="s">
        <v>54</v>
      </c>
      <c r="K171" s="101">
        <v>0</v>
      </c>
      <c r="L171" s="99" t="s">
        <v>134</v>
      </c>
      <c r="M171" s="99" t="s">
        <v>56</v>
      </c>
      <c r="N171" s="99" t="str">
        <f t="shared" si="20"/>
        <v>32.FURGON-15H</v>
      </c>
      <c r="O171" s="302"/>
    </row>
    <row r="172" spans="6:15" s="99" customFormat="1" x14ac:dyDescent="0.2">
      <c r="F172" s="99" t="s">
        <v>132</v>
      </c>
      <c r="G172" s="99" t="s">
        <v>139</v>
      </c>
      <c r="H172" s="99" t="s">
        <v>396</v>
      </c>
      <c r="I172" s="100">
        <v>557356</v>
      </c>
      <c r="J172" s="100" t="s">
        <v>54</v>
      </c>
      <c r="K172" s="101">
        <v>0</v>
      </c>
      <c r="L172" s="99" t="s">
        <v>134</v>
      </c>
      <c r="M172" s="99" t="s">
        <v>56</v>
      </c>
      <c r="N172" s="99" t="str">
        <f t="shared" si="20"/>
        <v>33.FURGON-15H</v>
      </c>
      <c r="O172" s="302"/>
    </row>
    <row r="173" spans="6:15" s="99" customFormat="1" x14ac:dyDescent="0.2">
      <c r="F173" s="99" t="s">
        <v>135</v>
      </c>
      <c r="G173" s="99" t="s">
        <v>142</v>
      </c>
      <c r="H173" s="99" t="s">
        <v>397</v>
      </c>
      <c r="I173" s="100">
        <v>827118</v>
      </c>
      <c r="J173" s="100" t="s">
        <v>66</v>
      </c>
      <c r="K173" s="101">
        <v>0</v>
      </c>
      <c r="L173" s="99" t="s">
        <v>137</v>
      </c>
      <c r="M173" s="99" t="s">
        <v>56</v>
      </c>
      <c r="N173" s="99" t="str">
        <f t="shared" si="20"/>
        <v>34.FURGON-9H</v>
      </c>
      <c r="O173" s="302"/>
    </row>
    <row r="174" spans="6:15" s="99" customFormat="1" x14ac:dyDescent="0.2">
      <c r="F174" s="99" t="s">
        <v>135</v>
      </c>
      <c r="G174" s="99" t="s">
        <v>145</v>
      </c>
      <c r="H174" s="99" t="s">
        <v>398</v>
      </c>
      <c r="I174" s="100">
        <v>728949</v>
      </c>
      <c r="J174" s="100" t="s">
        <v>66</v>
      </c>
      <c r="K174" s="101">
        <v>0</v>
      </c>
      <c r="L174" s="99" t="s">
        <v>137</v>
      </c>
      <c r="M174" s="99" t="s">
        <v>56</v>
      </c>
      <c r="N174" s="99" t="str">
        <f t="shared" si="20"/>
        <v>35.FURGON-9H</v>
      </c>
      <c r="O174" s="302"/>
    </row>
    <row r="175" spans="6:15" s="99" customFormat="1" x14ac:dyDescent="0.2">
      <c r="F175" s="99" t="s">
        <v>135</v>
      </c>
      <c r="G175" s="99" t="s">
        <v>148</v>
      </c>
      <c r="H175" s="99" t="s">
        <v>399</v>
      </c>
      <c r="I175" s="100">
        <v>481858</v>
      </c>
      <c r="J175" s="100" t="s">
        <v>66</v>
      </c>
      <c r="K175" s="101">
        <v>0</v>
      </c>
      <c r="L175" s="99" t="s">
        <v>137</v>
      </c>
      <c r="M175" s="99" t="s">
        <v>56</v>
      </c>
      <c r="N175" s="99" t="str">
        <f t="shared" si="20"/>
        <v>36.FURGON-9H</v>
      </c>
      <c r="O175" s="302"/>
    </row>
    <row r="176" spans="6:15" s="99" customFormat="1" x14ac:dyDescent="0.2">
      <c r="F176" s="99" t="s">
        <v>138</v>
      </c>
      <c r="G176" s="99" t="s">
        <v>151</v>
      </c>
      <c r="H176" s="99" t="s">
        <v>400</v>
      </c>
      <c r="I176" s="100">
        <v>554324</v>
      </c>
      <c r="J176" s="100" t="s">
        <v>77</v>
      </c>
      <c r="K176" s="101">
        <v>0</v>
      </c>
      <c r="L176" s="99" t="s">
        <v>140</v>
      </c>
      <c r="M176" s="99" t="s">
        <v>56</v>
      </c>
      <c r="N176" s="99" t="str">
        <f t="shared" si="20"/>
        <v>37.FURGON-4H</v>
      </c>
      <c r="O176" s="302"/>
    </row>
    <row r="177" spans="6:15" s="99" customFormat="1" x14ac:dyDescent="0.2">
      <c r="F177" s="99" t="s">
        <v>138</v>
      </c>
      <c r="G177" s="99" t="s">
        <v>154</v>
      </c>
      <c r="H177" s="99" t="s">
        <v>401</v>
      </c>
      <c r="I177" s="100">
        <v>576161</v>
      </c>
      <c r="J177" s="100" t="s">
        <v>77</v>
      </c>
      <c r="K177" s="101">
        <v>0</v>
      </c>
      <c r="L177" s="99" t="s">
        <v>140</v>
      </c>
      <c r="M177" s="99" t="s">
        <v>56</v>
      </c>
      <c r="N177" s="99" t="str">
        <f t="shared" si="20"/>
        <v>38.FURGON-4H</v>
      </c>
      <c r="O177" s="302"/>
    </row>
    <row r="178" spans="6:15" s="99" customFormat="1" x14ac:dyDescent="0.2">
      <c r="F178" s="99" t="s">
        <v>138</v>
      </c>
      <c r="G178" s="99" t="s">
        <v>158</v>
      </c>
      <c r="H178" s="99" t="s">
        <v>402</v>
      </c>
      <c r="I178" s="100">
        <v>345698</v>
      </c>
      <c r="J178" s="100" t="s">
        <v>77</v>
      </c>
      <c r="K178" s="101">
        <v>0</v>
      </c>
      <c r="L178" s="99" t="s">
        <v>140</v>
      </c>
      <c r="M178" s="99" t="s">
        <v>56</v>
      </c>
      <c r="N178" s="99" t="str">
        <f t="shared" si="20"/>
        <v>39.FURGON-4H</v>
      </c>
      <c r="O178" s="302"/>
    </row>
    <row r="179" spans="6:15" s="99" customFormat="1" x14ac:dyDescent="0.2">
      <c r="F179" s="99" t="s">
        <v>141</v>
      </c>
      <c r="G179" s="99" t="s">
        <v>161</v>
      </c>
      <c r="H179" s="99" t="s">
        <v>403</v>
      </c>
      <c r="I179" s="100">
        <v>1128712</v>
      </c>
      <c r="J179" s="100" t="s">
        <v>54</v>
      </c>
      <c r="K179" s="101">
        <v>0</v>
      </c>
      <c r="L179" s="99" t="s">
        <v>143</v>
      </c>
      <c r="M179" s="99" t="s">
        <v>56</v>
      </c>
      <c r="N179" s="99" t="str">
        <f t="shared" si="20"/>
        <v>40.4X4-15H</v>
      </c>
      <c r="O179" s="302"/>
    </row>
    <row r="180" spans="6:15" s="99" customFormat="1" x14ac:dyDescent="0.2">
      <c r="F180" s="99" t="s">
        <v>144</v>
      </c>
      <c r="G180" s="99" t="s">
        <v>163</v>
      </c>
      <c r="H180" s="99" t="s">
        <v>404</v>
      </c>
      <c r="I180" s="100">
        <v>787237</v>
      </c>
      <c r="J180" s="100" t="s">
        <v>66</v>
      </c>
      <c r="K180" s="101">
        <v>0</v>
      </c>
      <c r="L180" s="99" t="s">
        <v>146</v>
      </c>
      <c r="M180" s="99" t="s">
        <v>56</v>
      </c>
      <c r="N180" s="99" t="str">
        <f t="shared" si="20"/>
        <v>41.4X4-9H</v>
      </c>
      <c r="O180" s="302"/>
    </row>
    <row r="181" spans="6:15" s="99" customFormat="1" x14ac:dyDescent="0.2">
      <c r="F181" s="99" t="s">
        <v>147</v>
      </c>
      <c r="G181" s="99" t="s">
        <v>164</v>
      </c>
      <c r="H181" s="99" t="s">
        <v>405</v>
      </c>
      <c r="I181" s="100">
        <v>529232</v>
      </c>
      <c r="J181" s="100" t="s">
        <v>77</v>
      </c>
      <c r="K181" s="101">
        <v>0</v>
      </c>
      <c r="L181" s="99" t="s">
        <v>149</v>
      </c>
      <c r="M181" s="99" t="s">
        <v>56</v>
      </c>
      <c r="N181" s="99" t="str">
        <f t="shared" si="20"/>
        <v>42.4X4-4H</v>
      </c>
      <c r="O181" s="302"/>
    </row>
    <row r="182" spans="6:15" s="99" customFormat="1" x14ac:dyDescent="0.2">
      <c r="F182" s="99" t="s">
        <v>150</v>
      </c>
      <c r="G182" s="99" t="s">
        <v>165</v>
      </c>
      <c r="H182" s="99" t="s">
        <v>406</v>
      </c>
      <c r="I182" s="100">
        <v>939250</v>
      </c>
      <c r="J182" s="100" t="s">
        <v>54</v>
      </c>
      <c r="K182" s="101">
        <v>0</v>
      </c>
      <c r="L182" s="99" t="s">
        <v>152</v>
      </c>
      <c r="M182" s="99" t="s">
        <v>56</v>
      </c>
      <c r="N182" s="99" t="str">
        <f t="shared" si="20"/>
        <v>43.MONTACARGA-15H</v>
      </c>
      <c r="O182" s="302"/>
    </row>
    <row r="183" spans="6:15" s="99" customFormat="1" x14ac:dyDescent="0.2">
      <c r="F183" s="99" t="s">
        <v>153</v>
      </c>
      <c r="G183" s="99" t="s">
        <v>166</v>
      </c>
      <c r="H183" s="99" t="s">
        <v>407</v>
      </c>
      <c r="I183" s="100">
        <v>254150</v>
      </c>
      <c r="J183" s="100" t="s">
        <v>155</v>
      </c>
      <c r="K183" s="101">
        <v>0</v>
      </c>
      <c r="L183" s="99" t="s">
        <v>156</v>
      </c>
      <c r="M183" s="99" t="s">
        <v>56</v>
      </c>
      <c r="N183" s="99" t="str">
        <f t="shared" si="20"/>
        <v>44.MONTACARGA-1H</v>
      </c>
      <c r="O183" s="302"/>
    </row>
    <row r="184" spans="6:15" s="99" customFormat="1" x14ac:dyDescent="0.2">
      <c r="F184" s="99" t="s">
        <v>157</v>
      </c>
      <c r="G184" s="99" t="s">
        <v>167</v>
      </c>
      <c r="H184" s="99" t="s">
        <v>408</v>
      </c>
      <c r="I184" s="100">
        <v>861900</v>
      </c>
      <c r="J184" s="100" t="s">
        <v>54</v>
      </c>
      <c r="K184" s="101">
        <v>0</v>
      </c>
      <c r="L184" s="99" t="s">
        <v>159</v>
      </c>
      <c r="M184" s="99" t="s">
        <v>56</v>
      </c>
      <c r="N184" s="99" t="str">
        <f t="shared" si="20"/>
        <v>45.GRUA-15H-</v>
      </c>
      <c r="O184" s="302"/>
    </row>
    <row r="185" spans="6:15" s="99" customFormat="1" x14ac:dyDescent="0.2">
      <c r="F185" s="99" t="s">
        <v>160</v>
      </c>
      <c r="G185" s="99" t="s">
        <v>168</v>
      </c>
      <c r="H185" s="99" t="s">
        <v>409</v>
      </c>
      <c r="I185" s="100">
        <v>243100</v>
      </c>
      <c r="J185" s="100" t="s">
        <v>155</v>
      </c>
      <c r="K185" s="101">
        <v>0</v>
      </c>
      <c r="L185" s="99" t="s">
        <v>162</v>
      </c>
      <c r="M185" s="99" t="s">
        <v>56</v>
      </c>
      <c r="N185" s="99" t="str">
        <f t="shared" si="20"/>
        <v>46.GRUA-1H</v>
      </c>
      <c r="O185" s="302"/>
    </row>
    <row r="186" spans="6:15" x14ac:dyDescent="0.2">
      <c r="F186" s="99" t="s">
        <v>245</v>
      </c>
      <c r="G186" s="99" t="s">
        <v>258</v>
      </c>
      <c r="H186" s="99" t="s">
        <v>410</v>
      </c>
      <c r="I186" s="100">
        <v>283331</v>
      </c>
      <c r="J186" s="100" t="s">
        <v>155</v>
      </c>
      <c r="K186" s="101">
        <v>0</v>
      </c>
      <c r="L186" s="99" t="s">
        <v>246</v>
      </c>
      <c r="M186" s="99" t="s">
        <v>56</v>
      </c>
      <c r="N186" s="99" t="str">
        <f t="shared" si="20"/>
        <v>47.OPERARIO-15-H</v>
      </c>
    </row>
    <row r="187" spans="6:15" x14ac:dyDescent="0.2">
      <c r="F187" s="99" t="s">
        <v>247</v>
      </c>
      <c r="G187" s="99" t="s">
        <v>259</v>
      </c>
      <c r="H187" s="99" t="s">
        <v>411</v>
      </c>
      <c r="I187" s="100">
        <v>221732</v>
      </c>
      <c r="J187" s="100" t="s">
        <v>66</v>
      </c>
      <c r="K187" s="101">
        <v>0</v>
      </c>
      <c r="L187" s="99" t="s">
        <v>248</v>
      </c>
      <c r="M187" s="99" t="s">
        <v>56</v>
      </c>
      <c r="N187" s="99" t="str">
        <f t="shared" si="20"/>
        <v>48.OPERARIO-9-H</v>
      </c>
    </row>
    <row r="188" spans="6:15" x14ac:dyDescent="0.2">
      <c r="F188" s="99" t="s">
        <v>249</v>
      </c>
      <c r="G188" s="99" t="s">
        <v>260</v>
      </c>
      <c r="H188" s="99" t="s">
        <v>412</v>
      </c>
      <c r="I188" s="100">
        <v>160134</v>
      </c>
      <c r="J188" s="99" t="s">
        <v>77</v>
      </c>
      <c r="K188" s="99"/>
      <c r="L188" s="99" t="s">
        <v>250</v>
      </c>
      <c r="M188" s="99" t="s">
        <v>56</v>
      </c>
      <c r="N188" s="99" t="str">
        <f t="shared" si="20"/>
        <v>49.OPERARIO-4-H</v>
      </c>
    </row>
    <row r="189" spans="6:15" x14ac:dyDescent="0.2">
      <c r="F189" s="99" t="s">
        <v>251</v>
      </c>
      <c r="G189" s="99" t="s">
        <v>261</v>
      </c>
      <c r="H189" s="99" t="s">
        <v>413</v>
      </c>
      <c r="I189" s="100">
        <v>477011</v>
      </c>
      <c r="J189" s="99" t="s">
        <v>54</v>
      </c>
      <c r="K189" s="99"/>
      <c r="L189" s="99" t="s">
        <v>253</v>
      </c>
      <c r="M189" s="99" t="s">
        <v>56</v>
      </c>
      <c r="N189" s="99" t="str">
        <f t="shared" si="20"/>
        <v>50.COORDINADOR X DIA</v>
      </c>
    </row>
    <row r="190" spans="6:15" x14ac:dyDescent="0.2">
      <c r="F190" s="99" t="s">
        <v>252</v>
      </c>
      <c r="G190" s="99" t="s">
        <v>270</v>
      </c>
      <c r="H190" s="99" t="s">
        <v>414</v>
      </c>
      <c r="I190" s="100">
        <v>1370200</v>
      </c>
      <c r="J190" s="99" t="s">
        <v>54</v>
      </c>
      <c r="K190" s="99">
        <v>4</v>
      </c>
      <c r="L190" s="99" t="s">
        <v>254</v>
      </c>
      <c r="M190" s="99" t="s">
        <v>56</v>
      </c>
      <c r="N190" s="99" t="str">
        <f t="shared" si="20"/>
        <v>51.BOGOTA SUMAPAZ 40/50m³ 15H-4OP</v>
      </c>
    </row>
    <row r="191" spans="6:15" x14ac:dyDescent="0.2">
      <c r="F191" s="99" t="s">
        <v>256</v>
      </c>
      <c r="G191" s="99" t="s">
        <v>273</v>
      </c>
      <c r="H191" s="99" t="s">
        <v>415</v>
      </c>
      <c r="I191" s="100">
        <v>1259700</v>
      </c>
      <c r="J191" s="99" t="s">
        <v>54</v>
      </c>
      <c r="K191" s="99">
        <v>4</v>
      </c>
      <c r="L191" s="99" t="s">
        <v>255</v>
      </c>
      <c r="M191" s="99" t="s">
        <v>56</v>
      </c>
      <c r="N191" s="99" t="str">
        <f>+CONCATENATE(G191,F191)</f>
        <v>52.BOGOTA FUNZA 40/50m³ 15H-4OP</v>
      </c>
    </row>
    <row r="192" spans="6:15" x14ac:dyDescent="0.2">
      <c r="F192" s="99" t="s">
        <v>257</v>
      </c>
      <c r="G192" s="99" t="s">
        <v>276</v>
      </c>
      <c r="H192" s="99" t="s">
        <v>416</v>
      </c>
      <c r="I192" s="100">
        <v>1266330</v>
      </c>
      <c r="J192" s="100" t="s">
        <v>54</v>
      </c>
      <c r="K192" s="99">
        <v>4</v>
      </c>
      <c r="L192" s="99" t="s">
        <v>262</v>
      </c>
      <c r="M192" s="99" t="s">
        <v>56</v>
      </c>
      <c r="N192" s="99" t="str">
        <f t="shared" si="20"/>
        <v>53.BOGOTA COTA 40/50m³ 15H-4OP</v>
      </c>
    </row>
    <row r="193" spans="6:14" x14ac:dyDescent="0.2">
      <c r="F193" s="99" t="s">
        <v>263</v>
      </c>
      <c r="G193" s="99" t="s">
        <v>279</v>
      </c>
      <c r="H193" s="99" t="s">
        <v>417</v>
      </c>
      <c r="I193" s="100">
        <v>1450865</v>
      </c>
      <c r="J193" s="100" t="s">
        <v>54</v>
      </c>
      <c r="K193" s="99">
        <v>4</v>
      </c>
      <c r="L193" s="99" t="s">
        <v>264</v>
      </c>
      <c r="M193" s="99" t="s">
        <v>56</v>
      </c>
      <c r="N193" s="99" t="str">
        <f t="shared" si="20"/>
        <v>54.BOGOTA FUSA 40/50m³ 15H-4OP</v>
      </c>
    </row>
    <row r="194" spans="6:14" x14ac:dyDescent="0.2">
      <c r="F194" s="99" t="s">
        <v>265</v>
      </c>
      <c r="G194" s="287" t="s">
        <v>281</v>
      </c>
      <c r="H194" s="99" t="s">
        <v>418</v>
      </c>
      <c r="I194" s="100">
        <v>1328210</v>
      </c>
      <c r="J194" s="100" t="s">
        <v>54</v>
      </c>
      <c r="K194" s="99">
        <v>4</v>
      </c>
      <c r="L194" s="99" t="s">
        <v>266</v>
      </c>
      <c r="M194" s="99" t="s">
        <v>56</v>
      </c>
      <c r="N194" s="99" t="str">
        <f t="shared" si="20"/>
        <v>55.BOGOTA SOACHA 40/50m³ 15H-4OP</v>
      </c>
    </row>
    <row r="195" spans="6:14" x14ac:dyDescent="0.2">
      <c r="F195" s="99" t="s">
        <v>267</v>
      </c>
      <c r="G195" s="99" t="s">
        <v>283</v>
      </c>
      <c r="H195" s="99" t="s">
        <v>419</v>
      </c>
      <c r="I195" s="100">
        <v>933725</v>
      </c>
      <c r="J195" s="100" t="s">
        <v>66</v>
      </c>
      <c r="K195" s="99">
        <v>3</v>
      </c>
      <c r="L195" s="99" t="s">
        <v>268</v>
      </c>
      <c r="M195" s="99" t="s">
        <v>56</v>
      </c>
      <c r="N195" s="99" t="str">
        <f t="shared" si="20"/>
        <v>56.BOGOTA SOACHA 40/50m³ 9H-4OP</v>
      </c>
    </row>
    <row r="196" spans="6:14" x14ac:dyDescent="0.2">
      <c r="F196" s="99" t="s">
        <v>269</v>
      </c>
      <c r="G196" s="99" t="s">
        <v>287</v>
      </c>
      <c r="H196" s="99" t="s">
        <v>420</v>
      </c>
      <c r="I196" s="100">
        <v>1102790</v>
      </c>
      <c r="J196" s="100" t="s">
        <v>54</v>
      </c>
      <c r="K196" s="99">
        <v>4</v>
      </c>
      <c r="L196" s="99" t="s">
        <v>271</v>
      </c>
      <c r="M196" s="99" t="s">
        <v>56</v>
      </c>
      <c r="N196" s="99" t="str">
        <f t="shared" si="20"/>
        <v>57.BOGOTA SUMAPAZ 25m³ 15H-4OP</v>
      </c>
    </row>
    <row r="197" spans="6:14" x14ac:dyDescent="0.2">
      <c r="F197" s="99" t="s">
        <v>272</v>
      </c>
      <c r="G197" s="99" t="s">
        <v>288</v>
      </c>
      <c r="H197" s="99" t="s">
        <v>421</v>
      </c>
      <c r="I197" s="100">
        <v>877370</v>
      </c>
      <c r="J197" s="100" t="s">
        <v>54</v>
      </c>
      <c r="K197" s="99">
        <v>4</v>
      </c>
      <c r="L197" s="99" t="s">
        <v>274</v>
      </c>
      <c r="M197" s="99" t="s">
        <v>56</v>
      </c>
      <c r="N197" s="99" t="str">
        <f t="shared" si="20"/>
        <v>58.BOGOTA FUNZA 25m³ 15H-4OP</v>
      </c>
    </row>
    <row r="198" spans="6:14" x14ac:dyDescent="0.2">
      <c r="F198" s="99" t="s">
        <v>275</v>
      </c>
      <c r="G198" s="99" t="s">
        <v>289</v>
      </c>
      <c r="H198" s="99" t="s">
        <v>422</v>
      </c>
      <c r="I198" s="100">
        <v>876265</v>
      </c>
      <c r="J198" s="100" t="s">
        <v>54</v>
      </c>
      <c r="K198" s="99">
        <v>4</v>
      </c>
      <c r="L198" s="99" t="s">
        <v>277</v>
      </c>
      <c r="M198" s="99" t="s">
        <v>56</v>
      </c>
      <c r="N198" s="99" t="str">
        <f t="shared" si="20"/>
        <v>59.BOGOTA COTA 25m³ 15H-4OP</v>
      </c>
    </row>
    <row r="199" spans="6:14" x14ac:dyDescent="0.2">
      <c r="F199" s="99" t="s">
        <v>278</v>
      </c>
      <c r="G199" s="99" t="s">
        <v>290</v>
      </c>
      <c r="H199" s="99" t="s">
        <v>423</v>
      </c>
      <c r="I199" s="100">
        <v>839800</v>
      </c>
      <c r="J199" s="100" t="s">
        <v>54</v>
      </c>
      <c r="K199" s="99">
        <v>4</v>
      </c>
      <c r="L199" s="99" t="s">
        <v>284</v>
      </c>
      <c r="M199" s="99" t="s">
        <v>56</v>
      </c>
      <c r="N199" s="99" t="str">
        <f t="shared" si="20"/>
        <v>60.BOGOTA FUSA 25m³ 15H-4OP</v>
      </c>
    </row>
    <row r="200" spans="6:14" x14ac:dyDescent="0.2">
      <c r="F200" s="99" t="s">
        <v>280</v>
      </c>
      <c r="G200" s="99" t="s">
        <v>291</v>
      </c>
      <c r="H200" s="99" t="s">
        <v>424</v>
      </c>
      <c r="I200" s="100">
        <v>1014390</v>
      </c>
      <c r="J200" s="100" t="s">
        <v>54</v>
      </c>
      <c r="K200" s="99">
        <v>4</v>
      </c>
      <c r="L200" s="99" t="s">
        <v>285</v>
      </c>
      <c r="M200" s="99" t="s">
        <v>56</v>
      </c>
      <c r="N200" s="99" t="str">
        <f t="shared" si="20"/>
        <v>61.BOGOTA SOACHA 25m³ 15H-4OP</v>
      </c>
    </row>
    <row r="201" spans="6:14" x14ac:dyDescent="0.2">
      <c r="F201" s="99" t="s">
        <v>282</v>
      </c>
      <c r="G201" s="99" t="s">
        <v>292</v>
      </c>
      <c r="H201" s="99" t="s">
        <v>425</v>
      </c>
      <c r="I201" s="100">
        <v>822120</v>
      </c>
      <c r="J201" s="100" t="s">
        <v>66</v>
      </c>
      <c r="K201" s="99">
        <v>4</v>
      </c>
      <c r="L201" s="99" t="s">
        <v>286</v>
      </c>
      <c r="M201" s="99" t="s">
        <v>56</v>
      </c>
      <c r="N201" s="99" t="str">
        <f t="shared" si="20"/>
        <v>62.BOGOTA SOACHA 25m³ 9H-4OP</v>
      </c>
    </row>
    <row r="202" spans="6:14" x14ac:dyDescent="0.2">
      <c r="F202" s="99" t="s">
        <v>293</v>
      </c>
      <c r="G202" s="99" t="s">
        <v>300</v>
      </c>
      <c r="H202" s="99" t="s">
        <v>426</v>
      </c>
      <c r="I202" s="100">
        <v>751400</v>
      </c>
      <c r="J202" s="100" t="s">
        <v>54</v>
      </c>
      <c r="L202" s="99" t="s">
        <v>329</v>
      </c>
      <c r="M202" s="99" t="s">
        <v>56</v>
      </c>
      <c r="N202" s="99" t="str">
        <f t="shared" si="20"/>
        <v>63.BOGOTA SUMAPAZ FURGONADA-15H</v>
      </c>
    </row>
    <row r="203" spans="6:14" x14ac:dyDescent="0.2">
      <c r="F203" s="99" t="s">
        <v>294</v>
      </c>
      <c r="G203" s="99" t="s">
        <v>302</v>
      </c>
      <c r="H203" s="99" t="s">
        <v>427</v>
      </c>
      <c r="I203" s="100">
        <v>552500</v>
      </c>
      <c r="J203" s="100" t="s">
        <v>54</v>
      </c>
      <c r="L203" s="99" t="s">
        <v>330</v>
      </c>
      <c r="M203" s="99" t="s">
        <v>56</v>
      </c>
      <c r="N203" s="99" t="str">
        <f t="shared" si="20"/>
        <v>64.BOGOTA FUNZA FURGONADA-15H</v>
      </c>
    </row>
    <row r="204" spans="6:14" x14ac:dyDescent="0.2">
      <c r="F204" s="99" t="s">
        <v>295</v>
      </c>
      <c r="G204" s="99" t="s">
        <v>304</v>
      </c>
      <c r="H204" s="99" t="s">
        <v>428</v>
      </c>
      <c r="I204" s="100">
        <v>524875</v>
      </c>
      <c r="J204" s="100" t="s">
        <v>54</v>
      </c>
      <c r="L204" s="99" t="s">
        <v>331</v>
      </c>
      <c r="M204" s="99" t="s">
        <v>56</v>
      </c>
      <c r="N204" s="99" t="str">
        <f t="shared" si="20"/>
        <v>65.BOGOTA COTA FURGONADA-15H</v>
      </c>
    </row>
    <row r="205" spans="6:14" x14ac:dyDescent="0.2">
      <c r="F205" s="99" t="s">
        <v>296</v>
      </c>
      <c r="G205" s="99" t="s">
        <v>306</v>
      </c>
      <c r="H205" s="99" t="s">
        <v>429</v>
      </c>
      <c r="I205" s="100">
        <v>524875</v>
      </c>
      <c r="J205" s="100" t="s">
        <v>54</v>
      </c>
      <c r="L205" s="99" t="s">
        <v>332</v>
      </c>
      <c r="M205" s="99" t="s">
        <v>56</v>
      </c>
      <c r="N205" s="99" t="str">
        <f t="shared" si="20"/>
        <v>66.BOGOTA FUSA FURGONADA-15H</v>
      </c>
    </row>
    <row r="206" spans="6:14" x14ac:dyDescent="0.2">
      <c r="F206" s="99" t="s">
        <v>297</v>
      </c>
      <c r="G206" s="99" t="s">
        <v>308</v>
      </c>
      <c r="H206" s="99" t="s">
        <v>430</v>
      </c>
      <c r="I206" s="100">
        <v>585650</v>
      </c>
      <c r="J206" s="100" t="s">
        <v>54</v>
      </c>
      <c r="L206" s="99" t="s">
        <v>333</v>
      </c>
      <c r="M206" s="3" t="s">
        <v>56</v>
      </c>
      <c r="N206" s="99" t="str">
        <f t="shared" si="20"/>
        <v>67.BOGOTA SOACHA FURGONADA-15H</v>
      </c>
    </row>
    <row r="207" spans="6:14" x14ac:dyDescent="0.2">
      <c r="F207" s="99" t="s">
        <v>298</v>
      </c>
      <c r="G207" s="99" t="s">
        <v>310</v>
      </c>
      <c r="H207" s="99" t="s">
        <v>431</v>
      </c>
      <c r="I207" s="100">
        <v>530400</v>
      </c>
      <c r="J207" s="100" t="s">
        <v>54</v>
      </c>
      <c r="L207" s="99" t="s">
        <v>334</v>
      </c>
      <c r="M207" s="99" t="s">
        <v>56</v>
      </c>
      <c r="N207" s="99" t="str">
        <f t="shared" si="20"/>
        <v>68.BOGOTA SOACHA FURGONADA-09H</v>
      </c>
    </row>
    <row r="208" spans="6:14" x14ac:dyDescent="0.2">
      <c r="F208" s="99" t="s">
        <v>299</v>
      </c>
      <c r="G208" s="99" t="s">
        <v>313</v>
      </c>
      <c r="H208" s="99" t="s">
        <v>432</v>
      </c>
      <c r="I208" s="100">
        <v>795600</v>
      </c>
      <c r="J208" s="100" t="s">
        <v>54</v>
      </c>
      <c r="L208" s="99" t="s">
        <v>335</v>
      </c>
      <c r="M208" s="99" t="s">
        <v>56</v>
      </c>
      <c r="N208" s="99" t="str">
        <f t="shared" si="20"/>
        <v>69.BOGOTA SUMAPAPAZ 4X4 15H</v>
      </c>
    </row>
    <row r="209" spans="6:14" x14ac:dyDescent="0.2">
      <c r="F209" s="99" t="s">
        <v>301</v>
      </c>
      <c r="G209" s="99" t="s">
        <v>321</v>
      </c>
      <c r="H209" s="99" t="s">
        <v>433</v>
      </c>
      <c r="I209" s="100">
        <v>591175</v>
      </c>
      <c r="J209" s="100" t="s">
        <v>54</v>
      </c>
      <c r="L209" s="99" t="s">
        <v>336</v>
      </c>
      <c r="M209" s="99" t="s">
        <v>56</v>
      </c>
      <c r="N209" s="99" t="str">
        <f t="shared" si="20"/>
        <v>70.BOGOTA FUNZA 4X4 15H</v>
      </c>
    </row>
    <row r="210" spans="6:14" x14ac:dyDescent="0.2">
      <c r="F210" s="99" t="s">
        <v>303</v>
      </c>
      <c r="G210" s="99" t="s">
        <v>322</v>
      </c>
      <c r="H210" s="99" t="s">
        <v>434</v>
      </c>
      <c r="I210" s="100">
        <v>585650</v>
      </c>
      <c r="J210" s="100" t="s">
        <v>54</v>
      </c>
      <c r="L210" s="99" t="s">
        <v>337</v>
      </c>
      <c r="M210" s="99" t="s">
        <v>56</v>
      </c>
      <c r="N210" s="99" t="str">
        <f t="shared" si="20"/>
        <v>71.BOGOTA COTA 4X4 15H</v>
      </c>
    </row>
    <row r="211" spans="6:14" x14ac:dyDescent="0.2">
      <c r="F211" s="99" t="s">
        <v>305</v>
      </c>
      <c r="G211" s="99" t="s">
        <v>323</v>
      </c>
      <c r="H211" s="99" t="s">
        <v>435</v>
      </c>
      <c r="I211" s="100">
        <v>585650</v>
      </c>
      <c r="J211" s="100" t="s">
        <v>54</v>
      </c>
      <c r="L211" s="99" t="s">
        <v>338</v>
      </c>
      <c r="M211" s="99" t="s">
        <v>56</v>
      </c>
      <c r="N211" s="99" t="str">
        <f t="shared" si="20"/>
        <v>72.BOGOTA FUSA 4X4 15H</v>
      </c>
    </row>
    <row r="212" spans="6:14" x14ac:dyDescent="0.2">
      <c r="F212" s="99" t="s">
        <v>307</v>
      </c>
      <c r="G212" s="99" t="s">
        <v>324</v>
      </c>
      <c r="H212" s="99" t="s">
        <v>436</v>
      </c>
      <c r="I212" s="100">
        <v>607750</v>
      </c>
      <c r="J212" s="100" t="s">
        <v>54</v>
      </c>
      <c r="L212" s="99" t="s">
        <v>339</v>
      </c>
      <c r="M212" s="99" t="s">
        <v>56</v>
      </c>
      <c r="N212" s="99" t="str">
        <f t="shared" si="20"/>
        <v>73.BOGOTA SOACHA 4X4 15H</v>
      </c>
    </row>
    <row r="213" spans="6:14" x14ac:dyDescent="0.2">
      <c r="F213" s="99" t="s">
        <v>309</v>
      </c>
      <c r="G213" s="99" t="s">
        <v>325</v>
      </c>
      <c r="H213" s="99" t="s">
        <v>437</v>
      </c>
      <c r="I213" s="100">
        <v>640900</v>
      </c>
      <c r="J213" s="100" t="s">
        <v>54</v>
      </c>
      <c r="L213" s="99" t="s">
        <v>340</v>
      </c>
      <c r="M213" s="99" t="s">
        <v>56</v>
      </c>
      <c r="N213" s="99" t="str">
        <f t="shared" si="20"/>
        <v>74.BOGOTA SOACHA 4X4 09H</v>
      </c>
    </row>
    <row r="214" spans="6:14" x14ac:dyDescent="0.2">
      <c r="F214" s="99" t="s">
        <v>312</v>
      </c>
      <c r="G214" s="99" t="s">
        <v>326</v>
      </c>
      <c r="H214" s="99" t="s">
        <v>438</v>
      </c>
      <c r="I214" s="100">
        <v>1536000</v>
      </c>
      <c r="J214" s="100" t="s">
        <v>54</v>
      </c>
      <c r="L214" s="99" t="s">
        <v>341</v>
      </c>
      <c r="M214" s="99" t="s">
        <v>56</v>
      </c>
      <c r="N214" s="99" t="str">
        <f t="shared" si="20"/>
        <v xml:space="preserve">75.6 OPERARIOS-15-H </v>
      </c>
    </row>
    <row r="215" spans="6:14" x14ac:dyDescent="0.2">
      <c r="F215" s="99" t="s">
        <v>314</v>
      </c>
      <c r="G215" s="99" t="s">
        <v>327</v>
      </c>
      <c r="H215" s="99" t="s">
        <v>439</v>
      </c>
      <c r="I215" s="100">
        <v>2051264</v>
      </c>
      <c r="J215" s="100" t="s">
        <v>54</v>
      </c>
      <c r="L215" s="99" t="s">
        <v>342</v>
      </c>
      <c r="M215" s="99" t="s">
        <v>56</v>
      </c>
      <c r="N215" s="99" t="str">
        <f t="shared" si="20"/>
        <v xml:space="preserve">76.8 OPERARIOS-15-H </v>
      </c>
    </row>
    <row r="216" spans="6:14" x14ac:dyDescent="0.2">
      <c r="F216" s="99" t="s">
        <v>315</v>
      </c>
      <c r="G216" s="99" t="s">
        <v>328</v>
      </c>
      <c r="H216" s="99" t="s">
        <v>440</v>
      </c>
      <c r="I216" s="100">
        <v>2564080</v>
      </c>
      <c r="J216" s="100" t="s">
        <v>54</v>
      </c>
      <c r="L216" s="99" t="s">
        <v>343</v>
      </c>
      <c r="M216" s="99" t="s">
        <v>56</v>
      </c>
      <c r="N216" s="99" t="str">
        <f t="shared" si="20"/>
        <v xml:space="preserve">77.10 OPERARIOS-15-H </v>
      </c>
    </row>
    <row r="217" spans="6:14" x14ac:dyDescent="0.2">
      <c r="F217" s="99" t="s">
        <v>316</v>
      </c>
      <c r="G217" s="99" t="s">
        <v>441</v>
      </c>
      <c r="H217" s="99" t="s">
        <v>442</v>
      </c>
      <c r="I217" s="100">
        <v>1203972</v>
      </c>
      <c r="J217" s="100" t="s">
        <v>66</v>
      </c>
      <c r="L217" s="99" t="s">
        <v>344</v>
      </c>
      <c r="M217" s="99" t="s">
        <v>56</v>
      </c>
      <c r="N217" s="99" t="str">
        <f t="shared" ref="N217:N221" si="21">+CONCATENATE(G217,F217)</f>
        <v xml:space="preserve">78.6 OPERARIOS-09-H </v>
      </c>
    </row>
    <row r="218" spans="6:14" x14ac:dyDescent="0.2">
      <c r="F218" s="99" t="s">
        <v>317</v>
      </c>
      <c r="G218" s="99" t="s">
        <v>443</v>
      </c>
      <c r="H218" s="99" t="s">
        <v>444</v>
      </c>
      <c r="I218" s="100">
        <v>1605296</v>
      </c>
      <c r="J218" s="100" t="s">
        <v>66</v>
      </c>
      <c r="L218" s="99" t="s">
        <v>345</v>
      </c>
      <c r="M218" s="99" t="s">
        <v>56</v>
      </c>
      <c r="N218" s="99" t="str">
        <f t="shared" si="21"/>
        <v xml:space="preserve">79.8 OPERARIOS-09-H </v>
      </c>
    </row>
    <row r="219" spans="6:14" x14ac:dyDescent="0.2">
      <c r="F219" s="99" t="s">
        <v>318</v>
      </c>
      <c r="G219" s="99" t="s">
        <v>445</v>
      </c>
      <c r="H219" s="99" t="s">
        <v>446</v>
      </c>
      <c r="I219" s="100">
        <v>2006620</v>
      </c>
      <c r="J219" s="294" t="s">
        <v>66</v>
      </c>
      <c r="L219" s="99" t="s">
        <v>346</v>
      </c>
      <c r="M219" s="99" t="s">
        <v>56</v>
      </c>
      <c r="N219" s="99" t="str">
        <f t="shared" si="21"/>
        <v xml:space="preserve">80.10 OPERARIOS-09-H </v>
      </c>
    </row>
    <row r="220" spans="6:14" x14ac:dyDescent="0.2">
      <c r="F220" s="99" t="s">
        <v>319</v>
      </c>
      <c r="G220" s="99" t="s">
        <v>447</v>
      </c>
      <c r="H220" s="99" t="s">
        <v>448</v>
      </c>
      <c r="I220" s="100">
        <v>869508</v>
      </c>
      <c r="J220" s="294" t="s">
        <v>77</v>
      </c>
      <c r="L220" s="99" t="s">
        <v>347</v>
      </c>
      <c r="M220" s="99" t="s">
        <v>56</v>
      </c>
      <c r="N220" s="99" t="str">
        <f t="shared" si="21"/>
        <v xml:space="preserve">81.6 OPERARIOS-04-H </v>
      </c>
    </row>
    <row r="221" spans="6:14" x14ac:dyDescent="0.2">
      <c r="F221" s="99" t="s">
        <v>320</v>
      </c>
      <c r="G221" s="99" t="s">
        <v>449</v>
      </c>
      <c r="H221" s="99" t="s">
        <v>450</v>
      </c>
      <c r="I221" s="100">
        <v>1159344</v>
      </c>
      <c r="J221" s="294" t="s">
        <v>77</v>
      </c>
      <c r="L221" s="99" t="s">
        <v>348</v>
      </c>
      <c r="M221" s="99" t="s">
        <v>56</v>
      </c>
      <c r="N221" s="99" t="str">
        <f t="shared" si="21"/>
        <v xml:space="preserve">82.8 OPERARIOS-04-H </v>
      </c>
    </row>
    <row r="222" spans="6:14" x14ac:dyDescent="0.2">
      <c r="F222" s="99" t="s">
        <v>349</v>
      </c>
      <c r="G222" s="99" t="s">
        <v>451</v>
      </c>
      <c r="H222" s="99" t="s">
        <v>452</v>
      </c>
      <c r="I222" s="100">
        <v>1449180</v>
      </c>
      <c r="J222" s="294" t="s">
        <v>77</v>
      </c>
      <c r="L222" s="99" t="s">
        <v>350</v>
      </c>
      <c r="M222" s="99" t="s">
        <v>56</v>
      </c>
      <c r="N222" s="99" t="str">
        <f>+CONCATENATE(G222,F222)</f>
        <v xml:space="preserve">83.10 OPERARIOS-04H-10OP </v>
      </c>
    </row>
  </sheetData>
  <sheetProtection selectLockedCells="1" selectUnlockedCells="1"/>
  <mergeCells count="20">
    <mergeCell ref="A73:Y91"/>
    <mergeCell ref="A93:A95"/>
    <mergeCell ref="A41:G41"/>
    <mergeCell ref="A42:G42"/>
    <mergeCell ref="J46:P65"/>
    <mergeCell ref="A52:G52"/>
    <mergeCell ref="K70:L70"/>
    <mergeCell ref="A72:AE72"/>
    <mergeCell ref="AA2:AE2"/>
    <mergeCell ref="R13:Y13"/>
    <mergeCell ref="A32:G32"/>
    <mergeCell ref="A1:G1"/>
    <mergeCell ref="A2:G2"/>
    <mergeCell ref="I2:P2"/>
    <mergeCell ref="R2:Y2"/>
    <mergeCell ref="A14:G14"/>
    <mergeCell ref="I16:P16"/>
    <mergeCell ref="R18:Y18"/>
    <mergeCell ref="A23:G23"/>
    <mergeCell ref="A24:G24"/>
  </mergeCells>
  <dataValidations count="3">
    <dataValidation type="list" allowBlank="1" showInputMessage="1" showErrorMessage="1" sqref="F12:F13" xr:uid="{DD02EE36-A54D-D943-BD33-AFE15D5AAD5D}">
      <formula1>$H$140:$H$185</formula1>
    </dataValidation>
    <dataValidation type="list" allowBlank="1" showInputMessage="1" showErrorMessage="1" sqref="F31 F64 O23:O24 O10:O15" xr:uid="{66B277C9-304A-B74F-88C1-E99D0B629A11}">
      <formula1>$H$139:$H$185</formula1>
    </dataValidation>
    <dataValidation type="list" allowBlank="1" showInputMessage="1" showErrorMessage="1" sqref="F4:F11 F16:F21 F26:F30 F34:F39 F46:F51 F54:F63 O4:O9 O18:O22 X4:X6 X15:X16 X20:X30" xr:uid="{92194367-CA73-A649-B228-A1230DFB2D4E}">
      <formula1>$H$139:$H$216</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6FFB3A4-6B5C-5F44-9783-CEDB69460D65}">
  <sheetPr>
    <tabColor rgb="FF00B050"/>
  </sheetPr>
  <dimension ref="A1:AE222"/>
  <sheetViews>
    <sheetView view="pageBreakPreview" topLeftCell="F41" zoomScale="90" zoomScaleNormal="59" zoomScaleSheetLayoutView="90" workbookViewId="0">
      <selection activeCell="M7" sqref="M7"/>
    </sheetView>
  </sheetViews>
  <sheetFormatPr baseColWidth="10" defaultColWidth="11.42578125" defaultRowHeight="12.75" x14ac:dyDescent="0.2"/>
  <cols>
    <col min="1" max="1" width="43.140625" style="3" customWidth="1"/>
    <col min="2" max="2" width="27.42578125" style="3" customWidth="1"/>
    <col min="3" max="3" width="20.85546875" style="3" customWidth="1"/>
    <col min="4" max="4" width="33.42578125" style="3" customWidth="1"/>
    <col min="5" max="5" width="28.710937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43.42578125" style="301" customWidth="1"/>
    <col min="16" max="16" width="29.28515625" style="3" customWidth="1"/>
    <col min="17" max="17" width="23.85546875" style="3" customWidth="1"/>
    <col min="18" max="18" width="18.140625" style="3" customWidth="1"/>
    <col min="19" max="19" width="35.42578125" style="3" customWidth="1"/>
    <col min="20" max="20" width="20.28515625" style="3" customWidth="1"/>
    <col min="21" max="21" width="19" style="3" customWidth="1"/>
    <col min="22" max="23" width="25.42578125" style="3" customWidth="1"/>
    <col min="24" max="24" width="42.710937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422" t="s">
        <v>0</v>
      </c>
      <c r="B1" s="422"/>
      <c r="C1" s="422"/>
      <c r="D1" s="422"/>
      <c r="E1" s="422"/>
      <c r="F1" s="422"/>
      <c r="G1" s="422"/>
      <c r="H1" s="2"/>
      <c r="I1" s="2"/>
      <c r="J1" s="2"/>
      <c r="K1" s="2"/>
      <c r="L1" s="2"/>
      <c r="M1" s="2"/>
      <c r="N1" s="2"/>
      <c r="O1" s="295"/>
      <c r="P1" s="2"/>
      <c r="Q1" s="2"/>
      <c r="R1" s="2"/>
      <c r="S1" s="2"/>
      <c r="T1" s="2"/>
      <c r="U1" s="2"/>
      <c r="V1" s="2"/>
      <c r="W1" s="2"/>
      <c r="X1" s="2"/>
      <c r="Y1" s="2"/>
    </row>
    <row r="2" spans="1:31" ht="15.75" x14ac:dyDescent="0.2">
      <c r="A2" s="422" t="s">
        <v>1</v>
      </c>
      <c r="B2" s="422"/>
      <c r="C2" s="422"/>
      <c r="D2" s="422"/>
      <c r="E2" s="422"/>
      <c r="F2" s="422"/>
      <c r="G2" s="422"/>
      <c r="H2" s="2"/>
      <c r="I2" s="423" t="s">
        <v>2</v>
      </c>
      <c r="J2" s="424"/>
      <c r="K2" s="424"/>
      <c r="L2" s="424"/>
      <c r="M2" s="424"/>
      <c r="N2" s="424"/>
      <c r="O2" s="424"/>
      <c r="P2" s="425"/>
      <c r="Q2" s="2"/>
      <c r="R2" s="418" t="s">
        <v>3</v>
      </c>
      <c r="S2" s="419"/>
      <c r="T2" s="419"/>
      <c r="U2" s="419"/>
      <c r="V2" s="419"/>
      <c r="W2" s="419"/>
      <c r="X2" s="419"/>
      <c r="Y2" s="420"/>
      <c r="AA2" s="417"/>
      <c r="AB2" s="417"/>
      <c r="AC2" s="417"/>
      <c r="AD2" s="417"/>
      <c r="AE2" s="417"/>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303" t="s">
        <v>11</v>
      </c>
      <c r="S3" s="304" t="s">
        <v>4</v>
      </c>
      <c r="T3" s="305" t="s">
        <v>5</v>
      </c>
      <c r="U3" s="305" t="s">
        <v>6</v>
      </c>
      <c r="V3" s="305" t="s">
        <v>7</v>
      </c>
      <c r="W3" s="305" t="s">
        <v>8</v>
      </c>
      <c r="X3" s="305" t="s">
        <v>9</v>
      </c>
      <c r="Y3" s="305" t="s">
        <v>10</v>
      </c>
      <c r="AA3" s="4"/>
      <c r="AB3" s="9"/>
      <c r="AC3" s="9"/>
      <c r="AD3" s="9"/>
      <c r="AE3" s="9"/>
    </row>
    <row r="4" spans="1:31" ht="31.5" x14ac:dyDescent="0.25">
      <c r="A4" s="10" t="s">
        <v>12</v>
      </c>
      <c r="B4" s="11" t="str">
        <f>+IF(F4=0,0,MID(F4,LEN(F4)-4,3))</f>
        <v xml:space="preserve">04 </v>
      </c>
      <c r="C4" s="12">
        <v>1</v>
      </c>
      <c r="D4" s="12" t="s">
        <v>229</v>
      </c>
      <c r="E4" s="13" t="str">
        <f>+IF(F4=0,0,CONCATENATE(MID(F4,FIND("-",F4,1)+1,4),"ORAS"))</f>
        <v>15 HORAS</v>
      </c>
      <c r="F4" s="14" t="s">
        <v>351</v>
      </c>
      <c r="G4" s="362">
        <f>+IF(F4="","",VLOOKUP(F4,$H$139:$I$217,2,FALSE))</f>
        <v>1955007</v>
      </c>
      <c r="H4" s="2"/>
      <c r="I4" s="15" t="s">
        <v>13</v>
      </c>
      <c r="J4" s="14" t="s">
        <v>16</v>
      </c>
      <c r="K4" s="11" t="str">
        <f>+IF(O4=0,0,MID(O4,LEN(O4)-4,3))</f>
        <v xml:space="preserve">03 </v>
      </c>
      <c r="L4" s="17">
        <v>1</v>
      </c>
      <c r="M4" s="12" t="s">
        <v>229</v>
      </c>
      <c r="N4" s="13" t="str">
        <f>+IF(O4=0,0,CONCATENATE(MID(O4,FIND("-",O4,1)+1,4),"ORAS"))</f>
        <v>15 HORAS</v>
      </c>
      <c r="O4" s="296" t="s">
        <v>394</v>
      </c>
      <c r="P4" s="362">
        <f>+IF(O4="","",VLOOKUP(O4,$H$139:$I$217,2,FALSE))</f>
        <v>1019917</v>
      </c>
      <c r="Q4" s="2"/>
      <c r="R4" s="306" t="s">
        <v>13</v>
      </c>
      <c r="S4" s="307" t="s">
        <v>14</v>
      </c>
      <c r="T4" s="308">
        <v>4</v>
      </c>
      <c r="U4" s="309">
        <v>1</v>
      </c>
      <c r="V4" s="310" t="s">
        <v>229</v>
      </c>
      <c r="W4" s="13" t="str">
        <f>+IF(X4=0,0,CONCATENATE(MID(X4,FIND("-",X4,1)+1,4),"ORAS"))</f>
        <v>15 HORAS</v>
      </c>
      <c r="X4" s="296" t="s">
        <v>366</v>
      </c>
      <c r="Y4" s="362">
        <f>+IF(X4="","",VLOOKUP(X4,$H$139:$I$217,2,FALSE))</f>
        <v>1691890</v>
      </c>
      <c r="AA4" s="20"/>
      <c r="AB4" s="21"/>
      <c r="AC4" s="21"/>
      <c r="AD4" s="22"/>
      <c r="AE4" s="23"/>
    </row>
    <row r="5" spans="1:31" ht="31.5" x14ac:dyDescent="0.25">
      <c r="A5" s="14" t="s">
        <v>15</v>
      </c>
      <c r="B5" s="11" t="str">
        <f t="shared" ref="B5:B10" si="0">+IF(F5=0,0,MID(F5,LEN(F5)-4,3))</f>
        <v xml:space="preserve">03 </v>
      </c>
      <c r="C5" s="18">
        <v>1</v>
      </c>
      <c r="D5" s="12" t="s">
        <v>229</v>
      </c>
      <c r="E5" s="13" t="str">
        <f t="shared" ref="E5:E10" si="1">+IF(F5=0,0,CONCATENATE(MID(F5,FIND("-",F5,1)+1,4),"ORAS"))</f>
        <v>15 HORAS</v>
      </c>
      <c r="F5" s="14" t="s">
        <v>352</v>
      </c>
      <c r="G5" s="362">
        <f t="shared" ref="G5:G12" si="2">+IF(F5="","",VLOOKUP(F5,$H$139:$I$217,2,FALSE))</f>
        <v>1795972</v>
      </c>
      <c r="H5" s="2"/>
      <c r="I5" s="15"/>
      <c r="J5" s="14"/>
      <c r="K5" s="11">
        <f t="shared" ref="K5:K8" si="3">+IF(O5=0,0,MID(O5,LEN(O5)-4,3))</f>
        <v>0</v>
      </c>
      <c r="L5" s="17">
        <v>1</v>
      </c>
      <c r="M5" s="12" t="s">
        <v>229</v>
      </c>
      <c r="N5" s="13">
        <f t="shared" ref="N5:N8" si="4">+IF(O5=0,0,CONCATENATE(MID(O5,FIND("-",O5,1)+1,4),"ORAS"))</f>
        <v>0</v>
      </c>
      <c r="O5" s="296">
        <v>0</v>
      </c>
      <c r="P5" s="341">
        <f t="shared" ref="P5:P8" si="5">+IF(O5="","",VLOOKUP(O5,$H$139:$I$217,2,FALSE))</f>
        <v>0</v>
      </c>
      <c r="Q5" s="2"/>
      <c r="R5" s="313" t="s">
        <v>13</v>
      </c>
      <c r="S5" s="314" t="s">
        <v>17</v>
      </c>
      <c r="T5" s="308">
        <v>4</v>
      </c>
      <c r="U5" s="315">
        <v>1</v>
      </c>
      <c r="V5" s="310" t="s">
        <v>229</v>
      </c>
      <c r="W5" s="13" t="str">
        <f>+IF(X5=0,0,CONCATENATE(MID(X5,FIND("-",X5,1)+1,4),"ORAS"))</f>
        <v>15 HORAS</v>
      </c>
      <c r="X5" s="296" t="s">
        <v>366</v>
      </c>
      <c r="Y5" s="362">
        <f>+IF(X5="","",VLOOKUP(X5,$H$139:$I$217,2,FALSE))</f>
        <v>1691890</v>
      </c>
      <c r="AA5" s="20"/>
      <c r="AB5" s="21"/>
      <c r="AC5" s="21"/>
      <c r="AD5" s="22"/>
      <c r="AE5" s="23"/>
    </row>
    <row r="6" spans="1:31" ht="31.5" x14ac:dyDescent="0.25">
      <c r="A6" s="14" t="s">
        <v>18</v>
      </c>
      <c r="B6" s="11" t="str">
        <f t="shared" si="0"/>
        <v xml:space="preserve">03 </v>
      </c>
      <c r="C6" s="18">
        <v>1</v>
      </c>
      <c r="D6" s="12" t="s">
        <v>229</v>
      </c>
      <c r="E6" s="13" t="str">
        <f t="shared" si="1"/>
        <v>15 HORAS</v>
      </c>
      <c r="F6" s="14" t="s">
        <v>352</v>
      </c>
      <c r="G6" s="362">
        <f t="shared" si="2"/>
        <v>1795972</v>
      </c>
      <c r="H6" s="2"/>
      <c r="I6" s="15" t="s">
        <v>13</v>
      </c>
      <c r="J6" s="13" t="s">
        <v>491</v>
      </c>
      <c r="K6" s="11" t="str">
        <f t="shared" si="3"/>
        <v xml:space="preserve">02 </v>
      </c>
      <c r="L6" s="17">
        <v>1</v>
      </c>
      <c r="M6" s="12" t="s">
        <v>229</v>
      </c>
      <c r="N6" s="13" t="str">
        <f t="shared" si="4"/>
        <v>09 HORAS</v>
      </c>
      <c r="O6" s="296" t="s">
        <v>373</v>
      </c>
      <c r="P6" s="362">
        <f t="shared" si="5"/>
        <v>1175229</v>
      </c>
      <c r="Q6" s="2"/>
      <c r="R6" s="313" t="s">
        <v>13</v>
      </c>
      <c r="S6" s="314" t="s">
        <v>19</v>
      </c>
      <c r="T6" s="308">
        <v>4</v>
      </c>
      <c r="U6" s="315">
        <v>1</v>
      </c>
      <c r="V6" s="310" t="s">
        <v>229</v>
      </c>
      <c r="W6" s="13" t="str">
        <f>+IF(X6=0,0,CONCATENATE(MID(X6,FIND("-",X6,1)+1,4),"ORAS"))</f>
        <v>15 HORAS</v>
      </c>
      <c r="X6" s="296" t="s">
        <v>366</v>
      </c>
      <c r="Y6" s="362">
        <f>+IF(X6="","",VLOOKUP(X6,$H$139:$I$217,2,FALSE))</f>
        <v>1691890</v>
      </c>
      <c r="AA6" s="20"/>
      <c r="AB6" s="21"/>
      <c r="AC6" s="21"/>
      <c r="AD6" s="22"/>
      <c r="AE6" s="23"/>
    </row>
    <row r="7" spans="1:31" ht="31.5" x14ac:dyDescent="0.25">
      <c r="A7" s="14" t="s">
        <v>20</v>
      </c>
      <c r="B7" s="11" t="str">
        <f t="shared" si="0"/>
        <v xml:space="preserve">03 </v>
      </c>
      <c r="C7" s="18">
        <v>1</v>
      </c>
      <c r="D7" s="12" t="s">
        <v>229</v>
      </c>
      <c r="E7" s="13" t="str">
        <f t="shared" si="1"/>
        <v>15 HORAS</v>
      </c>
      <c r="F7" s="14" t="s">
        <v>352</v>
      </c>
      <c r="G7" s="362">
        <f t="shared" si="2"/>
        <v>1795972</v>
      </c>
      <c r="H7" s="2"/>
      <c r="I7" s="15" t="s">
        <v>13</v>
      </c>
      <c r="J7" s="14" t="s">
        <v>492</v>
      </c>
      <c r="K7" s="11" t="str">
        <f t="shared" si="3"/>
        <v xml:space="preserve">02 </v>
      </c>
      <c r="L7" s="17">
        <v>1</v>
      </c>
      <c r="M7" s="12" t="s">
        <v>229</v>
      </c>
      <c r="N7" s="13" t="str">
        <f t="shared" si="4"/>
        <v>09 HORAS</v>
      </c>
      <c r="O7" s="296" t="s">
        <v>398</v>
      </c>
      <c r="P7" s="362">
        <f t="shared" si="5"/>
        <v>728949</v>
      </c>
      <c r="Q7" s="2"/>
      <c r="R7" s="317"/>
      <c r="S7" s="319"/>
      <c r="T7" s="320"/>
      <c r="U7" s="321"/>
      <c r="V7" s="310"/>
      <c r="W7" s="311"/>
      <c r="X7" s="316">
        <v>0</v>
      </c>
      <c r="Y7" s="342">
        <v>0</v>
      </c>
      <c r="AA7" s="20"/>
      <c r="AB7" s="20"/>
      <c r="AC7" s="20"/>
      <c r="AD7" s="20"/>
      <c r="AE7" s="20"/>
    </row>
    <row r="8" spans="1:31" ht="31.5" x14ac:dyDescent="0.25">
      <c r="A8" s="14" t="s">
        <v>21</v>
      </c>
      <c r="B8" s="11" t="str">
        <f t="shared" si="0"/>
        <v xml:space="preserve">03 </v>
      </c>
      <c r="C8" s="18">
        <v>1</v>
      </c>
      <c r="D8" s="12" t="s">
        <v>229</v>
      </c>
      <c r="E8" s="13" t="str">
        <f t="shared" si="1"/>
        <v>15 HORAS</v>
      </c>
      <c r="F8" s="14" t="s">
        <v>352</v>
      </c>
      <c r="G8" s="362">
        <f t="shared" si="2"/>
        <v>1795972</v>
      </c>
      <c r="H8" s="2"/>
      <c r="I8" s="15" t="s">
        <v>13</v>
      </c>
      <c r="J8" s="14" t="s">
        <v>493</v>
      </c>
      <c r="K8" s="11" t="str">
        <f t="shared" si="3"/>
        <v xml:space="preserve">02 </v>
      </c>
      <c r="L8" s="17">
        <v>1</v>
      </c>
      <c r="M8" s="12" t="s">
        <v>229</v>
      </c>
      <c r="N8" s="13" t="str">
        <f t="shared" si="4"/>
        <v>09 HORAS</v>
      </c>
      <c r="O8" s="296" t="s">
        <v>398</v>
      </c>
      <c r="P8" s="362">
        <f t="shared" si="5"/>
        <v>728949</v>
      </c>
      <c r="Q8" s="2"/>
      <c r="R8" s="306"/>
      <c r="S8" s="322"/>
      <c r="T8" s="315"/>
      <c r="U8" s="309">
        <v>3</v>
      </c>
      <c r="V8" s="323"/>
      <c r="W8" s="312"/>
      <c r="X8" s="316"/>
      <c r="Y8" s="324"/>
      <c r="AA8" s="20"/>
      <c r="AB8" s="20"/>
      <c r="AC8" s="20"/>
      <c r="AD8" s="20"/>
      <c r="AE8" s="20"/>
    </row>
    <row r="9" spans="1:31" ht="15.75" x14ac:dyDescent="0.25">
      <c r="A9" s="25" t="s">
        <v>381</v>
      </c>
      <c r="B9" s="11" t="str">
        <f t="shared" si="0"/>
        <v xml:space="preserve">03 </v>
      </c>
      <c r="C9" s="18">
        <v>1</v>
      </c>
      <c r="D9" s="12" t="s">
        <v>229</v>
      </c>
      <c r="E9" s="13" t="str">
        <f t="shared" si="1"/>
        <v>15 HORAS</v>
      </c>
      <c r="F9" s="14" t="s">
        <v>352</v>
      </c>
      <c r="G9" s="362">
        <f t="shared" si="2"/>
        <v>1795972</v>
      </c>
      <c r="H9" s="2"/>
      <c r="I9" s="15"/>
      <c r="J9" s="14"/>
      <c r="K9" s="11">
        <f>+IF(O9=0,0,MID(O9,LEN(O9)-4,3))</f>
        <v>0</v>
      </c>
      <c r="L9" s="17"/>
      <c r="M9" s="12"/>
      <c r="N9" s="13">
        <f>+IF(O9=0,0,CONCATENATE(MID(O9,FIND("-",O9,1)+1,4),"ORAS"))</f>
        <v>0</v>
      </c>
      <c r="O9" s="296">
        <v>0</v>
      </c>
      <c r="P9" s="341">
        <f>+IF(O9="","",VLOOKUP(O9,$H$139:$I$217,2,FALSE))</f>
        <v>0</v>
      </c>
      <c r="Q9" s="2"/>
      <c r="R9" s="325"/>
      <c r="S9" s="318"/>
      <c r="T9" s="318"/>
      <c r="U9" s="318"/>
      <c r="V9" s="326"/>
      <c r="W9" s="326"/>
      <c r="X9" s="326"/>
      <c r="Y9" s="327"/>
      <c r="AA9" s="20"/>
      <c r="AB9" s="20"/>
      <c r="AC9" s="20"/>
      <c r="AD9" s="20"/>
      <c r="AE9" s="20"/>
    </row>
    <row r="10" spans="1:31" ht="15.75" x14ac:dyDescent="0.25">
      <c r="A10" s="25" t="s">
        <v>382</v>
      </c>
      <c r="B10" s="11" t="str">
        <f t="shared" si="0"/>
        <v xml:space="preserve">04 </v>
      </c>
      <c r="C10" s="18">
        <v>1</v>
      </c>
      <c r="D10" s="12" t="s">
        <v>229</v>
      </c>
      <c r="E10" s="13" t="str">
        <f t="shared" si="1"/>
        <v>15 HORAS</v>
      </c>
      <c r="F10" s="14" t="s">
        <v>351</v>
      </c>
      <c r="G10" s="362">
        <f t="shared" si="2"/>
        <v>1955007</v>
      </c>
      <c r="H10" s="2"/>
      <c r="I10" s="26"/>
      <c r="J10" s="14"/>
      <c r="K10" s="16"/>
      <c r="L10" s="27"/>
      <c r="M10" s="27"/>
      <c r="N10" s="14"/>
      <c r="O10" s="296"/>
      <c r="P10" s="28"/>
      <c r="Q10" s="2"/>
      <c r="R10" s="325"/>
      <c r="S10" s="318"/>
      <c r="T10" s="318"/>
      <c r="U10" s="318"/>
      <c r="V10" s="326"/>
      <c r="W10" s="326"/>
      <c r="X10" s="326"/>
      <c r="Y10" s="327"/>
      <c r="AA10" s="20"/>
      <c r="AB10" s="20"/>
      <c r="AC10" s="20"/>
      <c r="AD10" s="20"/>
      <c r="AE10" s="20"/>
    </row>
    <row r="11" spans="1:31" ht="15.75" x14ac:dyDescent="0.25">
      <c r="A11" s="25" t="s">
        <v>393</v>
      </c>
      <c r="B11" s="11" t="str">
        <f>+IF(F11=0,0,MID(F11,LEN(F11)-4,3))</f>
        <v xml:space="preserve">04 </v>
      </c>
      <c r="C11" s="18">
        <v>1</v>
      </c>
      <c r="D11" s="18" t="s">
        <v>229</v>
      </c>
      <c r="E11" s="13" t="str">
        <f>+IF(F11=0,0,CONCATENATE(MID(F11,FIND("-",F11,1)+1,4),"ORAS"))</f>
        <v>15 HORAS</v>
      </c>
      <c r="F11" s="14" t="s">
        <v>351</v>
      </c>
      <c r="G11" s="362">
        <f t="shared" si="2"/>
        <v>1955007</v>
      </c>
      <c r="H11" s="2"/>
      <c r="I11" s="26"/>
      <c r="J11" s="14"/>
      <c r="K11" s="16"/>
      <c r="L11" s="27"/>
      <c r="M11" s="27"/>
      <c r="N11" s="14"/>
      <c r="O11" s="296"/>
      <c r="P11" s="29"/>
      <c r="Q11" s="2"/>
      <c r="R11" s="325"/>
      <c r="S11" s="318"/>
      <c r="T11" s="318"/>
      <c r="U11" s="318"/>
      <c r="V11" s="326"/>
      <c r="W11" s="326"/>
      <c r="X11" s="326"/>
      <c r="Y11" s="327"/>
      <c r="AA11" s="20"/>
      <c r="AB11" s="20"/>
      <c r="AC11" s="20"/>
      <c r="AD11" s="20"/>
      <c r="AE11" s="20"/>
    </row>
    <row r="12" spans="1:31" ht="15.75" x14ac:dyDescent="0.25">
      <c r="A12" s="30"/>
      <c r="B12" s="11"/>
      <c r="C12" s="18"/>
      <c r="D12" s="18"/>
      <c r="E12" s="13"/>
      <c r="F12" s="14"/>
      <c r="G12" s="341" t="str">
        <f t="shared" si="2"/>
        <v/>
      </c>
      <c r="H12" s="2"/>
      <c r="I12" s="26"/>
      <c r="J12" s="14"/>
      <c r="K12" s="16"/>
      <c r="L12" s="27"/>
      <c r="M12" s="27"/>
      <c r="N12" s="14"/>
      <c r="O12" s="296"/>
      <c r="P12" s="29"/>
      <c r="Q12" s="2"/>
      <c r="R12" s="325"/>
      <c r="S12" s="318"/>
      <c r="T12" s="318"/>
      <c r="U12" s="318"/>
      <c r="V12" s="326"/>
      <c r="W12" s="326"/>
      <c r="X12" s="326"/>
      <c r="Y12" s="327"/>
      <c r="AA12" s="20"/>
      <c r="AB12" s="20"/>
      <c r="AC12" s="20"/>
      <c r="AD12" s="20"/>
      <c r="AE12" s="20"/>
    </row>
    <row r="13" spans="1:31" ht="15.75" x14ac:dyDescent="0.25">
      <c r="A13" s="31"/>
      <c r="B13" s="11">
        <f>+B10+B9+B8+B7+B6+B5+B4</f>
        <v>23</v>
      </c>
      <c r="C13" s="11">
        <f>+C10+C9+C8+C7+C6+C5+C4</f>
        <v>7</v>
      </c>
      <c r="D13" s="32"/>
      <c r="E13" s="32"/>
      <c r="F13" s="14"/>
      <c r="G13" s="33">
        <f>SUM(G4:G12)</f>
        <v>14844881</v>
      </c>
      <c r="H13" s="2"/>
      <c r="I13" s="26"/>
      <c r="J13" s="14"/>
      <c r="K13" s="16"/>
      <c r="L13" s="17"/>
      <c r="M13" s="27"/>
      <c r="N13" s="14"/>
      <c r="O13" s="296"/>
      <c r="P13" s="34"/>
      <c r="Q13" s="2"/>
      <c r="R13" s="418" t="s">
        <v>22</v>
      </c>
      <c r="S13" s="419"/>
      <c r="T13" s="419"/>
      <c r="U13" s="419"/>
      <c r="V13" s="419"/>
      <c r="W13" s="419"/>
      <c r="X13" s="419"/>
      <c r="Y13" s="420"/>
      <c r="AA13" s="20"/>
      <c r="AB13" s="20"/>
      <c r="AC13" s="20"/>
      <c r="AD13" s="20"/>
      <c r="AE13" s="20"/>
    </row>
    <row r="14" spans="1:31" ht="16.5" customHeight="1" x14ac:dyDescent="0.25">
      <c r="A14" s="426" t="s">
        <v>23</v>
      </c>
      <c r="B14" s="426"/>
      <c r="C14" s="426"/>
      <c r="D14" s="426"/>
      <c r="E14" s="426"/>
      <c r="F14" s="426"/>
      <c r="G14" s="426"/>
      <c r="H14" s="2"/>
      <c r="I14" s="26"/>
      <c r="J14" s="14"/>
      <c r="K14" s="16"/>
      <c r="L14" s="17"/>
      <c r="M14" s="27"/>
      <c r="N14" s="14"/>
      <c r="O14" s="296"/>
      <c r="P14" s="35"/>
      <c r="Q14" s="2"/>
      <c r="R14" s="303" t="s">
        <v>11</v>
      </c>
      <c r="S14" s="304" t="s">
        <v>4</v>
      </c>
      <c r="T14" s="305" t="s">
        <v>5</v>
      </c>
      <c r="U14" s="305" t="s">
        <v>6</v>
      </c>
      <c r="V14" s="305" t="s">
        <v>7</v>
      </c>
      <c r="W14" s="305" t="s">
        <v>8</v>
      </c>
      <c r="X14" s="305" t="s">
        <v>9</v>
      </c>
      <c r="Y14" s="305" t="s">
        <v>10</v>
      </c>
      <c r="Z14" s="36"/>
    </row>
    <row r="15" spans="1:31" ht="15.75" x14ac:dyDescent="0.2">
      <c r="A15" s="1" t="s">
        <v>4</v>
      </c>
      <c r="B15" s="5" t="s">
        <v>5</v>
      </c>
      <c r="C15" s="5" t="s">
        <v>6</v>
      </c>
      <c r="D15" s="5" t="s">
        <v>7</v>
      </c>
      <c r="E15" s="5" t="s">
        <v>8</v>
      </c>
      <c r="F15" s="37" t="s">
        <v>9</v>
      </c>
      <c r="G15" s="5" t="s">
        <v>10</v>
      </c>
      <c r="H15" s="2"/>
      <c r="I15" s="31"/>
      <c r="J15" s="31"/>
      <c r="K15" s="31"/>
      <c r="L15" s="31"/>
      <c r="M15" s="31"/>
      <c r="N15" s="14"/>
      <c r="O15" s="296"/>
      <c r="P15" s="38"/>
      <c r="Q15" s="2"/>
      <c r="R15" s="328" t="s">
        <v>13</v>
      </c>
      <c r="S15" s="307" t="s">
        <v>24</v>
      </c>
      <c r="T15" s="308">
        <v>0</v>
      </c>
      <c r="U15" s="307">
        <v>0</v>
      </c>
      <c r="V15" s="310" t="s">
        <v>229</v>
      </c>
      <c r="W15" s="13">
        <f>+IF(X15=0,0,CONCATENATE(MID(X15,FIND("-",X15,1)+1,4),"ORAS"))</f>
        <v>0</v>
      </c>
      <c r="X15" s="296">
        <v>0</v>
      </c>
      <c r="Y15" s="341">
        <f>+IF(X15="","",VLOOKUP(X15,$H$139:$I$217,2,FALSE))*T15</f>
        <v>0</v>
      </c>
    </row>
    <row r="16" spans="1:31" ht="18.75" customHeight="1" x14ac:dyDescent="0.2">
      <c r="A16" s="25"/>
      <c r="B16" s="11">
        <f>+IF(F16=0,0,MID(F16,LEN(F16)-4,3))</f>
        <v>0</v>
      </c>
      <c r="C16" s="363"/>
      <c r="D16" s="12"/>
      <c r="E16" s="13">
        <f>+IF(F16=0,0,CONCATENATE(MID(F16,FIND("-",F16,1)+1,4),"ORAS"))</f>
        <v>0</v>
      </c>
      <c r="F16" s="14">
        <v>0</v>
      </c>
      <c r="G16" s="341">
        <f t="shared" ref="G16:G21" si="6">+IF(F16="","",VLOOKUP(F16,$H$139:$I$217,2,FALSE))</f>
        <v>0</v>
      </c>
      <c r="H16" s="2"/>
      <c r="I16" s="427" t="s">
        <v>26</v>
      </c>
      <c r="J16" s="428"/>
      <c r="K16" s="428"/>
      <c r="L16" s="428"/>
      <c r="M16" s="428"/>
      <c r="N16" s="428"/>
      <c r="O16" s="428"/>
      <c r="P16" s="429"/>
      <c r="Q16" s="2"/>
      <c r="R16" s="329"/>
      <c r="S16" s="314"/>
      <c r="T16" s="330"/>
      <c r="U16" s="314"/>
      <c r="V16" s="323"/>
      <c r="W16" s="14">
        <f>+IF(X16=0,0,CONCATENATE(MID(X16,FIND("-",X16,1)+1,4),"ORAS"))</f>
        <v>0</v>
      </c>
      <c r="X16" s="296">
        <v>0</v>
      </c>
      <c r="Y16" s="35">
        <f>+IF(X16="","",VLOOKUP(X16,$H$139:$I$217,2,FALSE))*T16</f>
        <v>0</v>
      </c>
    </row>
    <row r="17" spans="1:31" ht="23.25" customHeight="1" x14ac:dyDescent="0.2">
      <c r="A17" s="40"/>
      <c r="B17" s="16"/>
      <c r="C17" s="364"/>
      <c r="D17" s="18"/>
      <c r="E17" s="14"/>
      <c r="F17" s="14">
        <v>0</v>
      </c>
      <c r="G17" s="341">
        <f t="shared" si="6"/>
        <v>0</v>
      </c>
      <c r="H17" s="2"/>
      <c r="I17" s="7" t="s">
        <v>11</v>
      </c>
      <c r="J17" s="7" t="s">
        <v>4</v>
      </c>
      <c r="K17" s="8" t="s">
        <v>5</v>
      </c>
      <c r="L17" s="8" t="s">
        <v>6</v>
      </c>
      <c r="M17" s="8" t="s">
        <v>7</v>
      </c>
      <c r="N17" s="8" t="s">
        <v>8</v>
      </c>
      <c r="O17" s="8" t="s">
        <v>9</v>
      </c>
      <c r="P17" s="8" t="s">
        <v>10</v>
      </c>
      <c r="Q17" s="2"/>
      <c r="R17" s="327"/>
      <c r="S17" s="327"/>
      <c r="T17" s="327"/>
      <c r="U17" s="327"/>
      <c r="V17" s="327"/>
      <c r="W17" s="327"/>
      <c r="X17" s="327"/>
      <c r="Y17" s="327"/>
    </row>
    <row r="18" spans="1:31" ht="31.5" x14ac:dyDescent="0.25">
      <c r="A18" s="40"/>
      <c r="B18" s="16"/>
      <c r="C18" s="364"/>
      <c r="D18" s="18"/>
      <c r="E18" s="14"/>
      <c r="F18" s="14">
        <v>0</v>
      </c>
      <c r="G18" s="341">
        <f t="shared" si="6"/>
        <v>0</v>
      </c>
      <c r="H18" s="2"/>
      <c r="I18" s="15" t="s">
        <v>227</v>
      </c>
      <c r="J18" s="14" t="s">
        <v>483</v>
      </c>
      <c r="K18" s="11" t="str">
        <f t="shared" ref="K18:K21" si="7">+IF(O18=0,0,MID(O18,LEN(O18)-4,3))</f>
        <v xml:space="preserve">04 </v>
      </c>
      <c r="L18" s="17">
        <v>1</v>
      </c>
      <c r="M18" s="12" t="s">
        <v>229</v>
      </c>
      <c r="N18" s="13" t="str">
        <f t="shared" ref="N18:N24" si="8">+IF(O18=0,0,CONCATENATE(MID(O18,FIND("-",O18,1)+1,4),"ORAS"))</f>
        <v>15 HORAS</v>
      </c>
      <c r="O18" s="296" t="s">
        <v>351</v>
      </c>
      <c r="P18" s="362">
        <f t="shared" ref="P18:P22" si="9">+IF(O18="","",VLOOKUP(O18,$H$139:$I$217,2,FALSE))</f>
        <v>1955007</v>
      </c>
      <c r="Q18" s="2"/>
      <c r="R18" s="418" t="s">
        <v>27</v>
      </c>
      <c r="S18" s="419"/>
      <c r="T18" s="419"/>
      <c r="U18" s="419"/>
      <c r="V18" s="419"/>
      <c r="W18" s="419"/>
      <c r="X18" s="419"/>
      <c r="Y18" s="420"/>
    </row>
    <row r="19" spans="1:31" ht="31.5" x14ac:dyDescent="0.25">
      <c r="A19" s="41"/>
      <c r="B19" s="16"/>
      <c r="C19" s="18"/>
      <c r="D19" s="18"/>
      <c r="E19" s="14"/>
      <c r="F19" s="14">
        <v>0</v>
      </c>
      <c r="G19" s="341">
        <f t="shared" si="6"/>
        <v>0</v>
      </c>
      <c r="H19" s="2"/>
      <c r="I19" s="15" t="s">
        <v>13</v>
      </c>
      <c r="J19" s="14" t="s">
        <v>385</v>
      </c>
      <c r="K19" s="11" t="str">
        <f t="shared" si="7"/>
        <v xml:space="preserve">03 </v>
      </c>
      <c r="L19" s="42">
        <v>1</v>
      </c>
      <c r="M19" s="12" t="s">
        <v>229</v>
      </c>
      <c r="N19" s="13" t="str">
        <f t="shared" si="8"/>
        <v>15 HORAS</v>
      </c>
      <c r="O19" s="296" t="s">
        <v>352</v>
      </c>
      <c r="P19" s="362">
        <f t="shared" si="9"/>
        <v>1795972</v>
      </c>
      <c r="Q19" s="2"/>
      <c r="R19" s="303" t="s">
        <v>11</v>
      </c>
      <c r="S19" s="304" t="s">
        <v>4</v>
      </c>
      <c r="T19" s="305" t="s">
        <v>5</v>
      </c>
      <c r="U19" s="305" t="s">
        <v>6</v>
      </c>
      <c r="V19" s="305" t="s">
        <v>7</v>
      </c>
      <c r="W19" s="305" t="s">
        <v>8</v>
      </c>
      <c r="X19" s="305" t="s">
        <v>9</v>
      </c>
      <c r="Y19" s="305" t="s">
        <v>10</v>
      </c>
      <c r="AA19" s="20"/>
      <c r="AB19" s="20"/>
      <c r="AC19" s="20"/>
      <c r="AD19" s="20"/>
      <c r="AE19" s="20"/>
    </row>
    <row r="20" spans="1:31" ht="31.5" x14ac:dyDescent="0.25">
      <c r="A20" s="43"/>
      <c r="B20" s="16"/>
      <c r="C20" s="44"/>
      <c r="D20" s="44"/>
      <c r="E20" s="14"/>
      <c r="F20" s="14">
        <v>0</v>
      </c>
      <c r="G20" s="341">
        <f t="shared" si="6"/>
        <v>0</v>
      </c>
      <c r="H20" s="2"/>
      <c r="I20" s="15" t="s">
        <v>13</v>
      </c>
      <c r="J20" s="13" t="s">
        <v>488</v>
      </c>
      <c r="K20" s="11" t="str">
        <f t="shared" si="7"/>
        <v xml:space="preserve">04 </v>
      </c>
      <c r="L20" s="45">
        <v>1</v>
      </c>
      <c r="M20" s="12" t="s">
        <v>229</v>
      </c>
      <c r="N20" s="13" t="str">
        <f t="shared" si="8"/>
        <v>09 HORAS</v>
      </c>
      <c r="O20" s="296" t="s">
        <v>356</v>
      </c>
      <c r="P20" s="362">
        <f t="shared" si="9"/>
        <v>1665773</v>
      </c>
      <c r="Q20" s="2"/>
      <c r="R20" s="331" t="s">
        <v>28</v>
      </c>
      <c r="S20" s="307" t="s">
        <v>390</v>
      </c>
      <c r="T20" s="320" t="s">
        <v>25</v>
      </c>
      <c r="U20" s="307" t="s">
        <v>25</v>
      </c>
      <c r="V20" s="332" t="s">
        <v>229</v>
      </c>
      <c r="W20" s="14" t="e">
        <f t="shared" ref="W20:W29" si="10">+IF(X20=0,0,CONCATENATE(MID(X20,FIND("-",X20,1)+1,4),"ORAS"))</f>
        <v>#VALUE!</v>
      </c>
      <c r="X20" s="296" t="s">
        <v>413</v>
      </c>
      <c r="Y20" s="362">
        <f t="shared" ref="Y20:Y29" si="11">+IF(X20="","",VLOOKUP(X20,$H$139:$I$217,2,FALSE))</f>
        <v>477011</v>
      </c>
      <c r="AA20" s="20"/>
      <c r="AB20" s="20"/>
      <c r="AC20" s="20"/>
      <c r="AD20" s="20"/>
      <c r="AE20" s="20"/>
    </row>
    <row r="21" spans="1:31" ht="15.75" x14ac:dyDescent="0.25">
      <c r="A21" s="43"/>
      <c r="B21" s="16"/>
      <c r="C21" s="44"/>
      <c r="D21" s="44"/>
      <c r="E21" s="14"/>
      <c r="F21" s="14">
        <v>0</v>
      </c>
      <c r="G21" s="341">
        <f t="shared" si="6"/>
        <v>0</v>
      </c>
      <c r="H21" s="2"/>
      <c r="I21" s="15"/>
      <c r="J21" s="13"/>
      <c r="K21" s="11">
        <f t="shared" si="7"/>
        <v>0</v>
      </c>
      <c r="L21" s="45"/>
      <c r="M21" s="12"/>
      <c r="N21" s="13">
        <f t="shared" si="8"/>
        <v>0</v>
      </c>
      <c r="O21" s="296">
        <v>0</v>
      </c>
      <c r="P21" s="341">
        <f t="shared" si="9"/>
        <v>0</v>
      </c>
      <c r="Q21" s="2"/>
      <c r="R21" s="333" t="s">
        <v>28</v>
      </c>
      <c r="S21" s="314" t="s">
        <v>24</v>
      </c>
      <c r="T21" s="334" t="s">
        <v>25</v>
      </c>
      <c r="U21" s="314" t="s">
        <v>25</v>
      </c>
      <c r="V21" s="332" t="s">
        <v>229</v>
      </c>
      <c r="W21" s="14" t="str">
        <f t="shared" si="10"/>
        <v>15 HORAS</v>
      </c>
      <c r="X21" s="296" t="s">
        <v>403</v>
      </c>
      <c r="Y21" s="362">
        <f t="shared" si="11"/>
        <v>1128712</v>
      </c>
      <c r="AA21" s="20"/>
      <c r="AB21" s="20"/>
      <c r="AC21" s="20"/>
      <c r="AD21" s="20"/>
      <c r="AE21" s="20"/>
    </row>
    <row r="22" spans="1:31" ht="15.75" x14ac:dyDescent="0.25">
      <c r="A22" s="46" t="s">
        <v>29</v>
      </c>
      <c r="B22" s="47">
        <f>SUM(B4:B13)+B16+B17+B18+B19+B20+B21</f>
        <v>23</v>
      </c>
      <c r="C22" s="47">
        <f>+C4+C5+C6+C7+C8+C9+C10+C16</f>
        <v>7</v>
      </c>
      <c r="D22" s="48"/>
      <c r="E22" s="49"/>
      <c r="F22" s="48"/>
      <c r="G22" s="33">
        <f>SUM(G13,G16:G21)</f>
        <v>14844881</v>
      </c>
      <c r="H22" s="2"/>
      <c r="I22" s="15"/>
      <c r="J22" s="14"/>
      <c r="K22" s="16"/>
      <c r="L22" s="42"/>
      <c r="M22" s="12"/>
      <c r="N22" s="13">
        <f t="shared" si="8"/>
        <v>0</v>
      </c>
      <c r="O22" s="296">
        <v>0</v>
      </c>
      <c r="P22" s="341">
        <f t="shared" si="9"/>
        <v>0</v>
      </c>
      <c r="Q22" s="2"/>
      <c r="R22" s="333" t="s">
        <v>28</v>
      </c>
      <c r="S22" s="314" t="s">
        <v>24</v>
      </c>
      <c r="T22" s="334" t="s">
        <v>25</v>
      </c>
      <c r="U22" s="314" t="s">
        <v>25</v>
      </c>
      <c r="V22" s="332" t="s">
        <v>229</v>
      </c>
      <c r="W22" s="14" t="str">
        <f t="shared" si="10"/>
        <v>15 HORAS</v>
      </c>
      <c r="X22" s="296" t="s">
        <v>403</v>
      </c>
      <c r="Y22" s="362">
        <f t="shared" si="11"/>
        <v>1128712</v>
      </c>
      <c r="AA22" s="20"/>
      <c r="AB22" s="20"/>
      <c r="AC22" s="20"/>
      <c r="AD22" s="20"/>
      <c r="AE22" s="20"/>
    </row>
    <row r="23" spans="1:31" ht="15.75" x14ac:dyDescent="0.25">
      <c r="A23" s="430" t="s">
        <v>30</v>
      </c>
      <c r="B23" s="430"/>
      <c r="C23" s="430"/>
      <c r="D23" s="430"/>
      <c r="E23" s="430"/>
      <c r="F23" s="430"/>
      <c r="G23" s="430"/>
      <c r="H23" s="2"/>
      <c r="I23" s="51"/>
      <c r="J23" s="14"/>
      <c r="K23" s="16"/>
      <c r="L23" s="42"/>
      <c r="M23" s="19"/>
      <c r="N23" s="13">
        <f t="shared" si="8"/>
        <v>0</v>
      </c>
      <c r="O23" s="296"/>
      <c r="P23" s="52"/>
      <c r="Q23" s="2"/>
      <c r="R23" s="329" t="s">
        <v>227</v>
      </c>
      <c r="S23" s="314" t="s">
        <v>391</v>
      </c>
      <c r="T23" s="334" t="s">
        <v>25</v>
      </c>
      <c r="U23" s="314" t="s">
        <v>25</v>
      </c>
      <c r="V23" s="335" t="s">
        <v>229</v>
      </c>
      <c r="W23" s="14" t="e">
        <f t="shared" si="10"/>
        <v>#VALUE!</v>
      </c>
      <c r="X23" s="296" t="s">
        <v>413</v>
      </c>
      <c r="Y23" s="362">
        <f t="shared" si="11"/>
        <v>477011</v>
      </c>
      <c r="AA23" s="20"/>
      <c r="AB23" s="20"/>
      <c r="AC23" s="20"/>
      <c r="AD23" s="20"/>
      <c r="AE23" s="20"/>
    </row>
    <row r="24" spans="1:31" ht="21.95" customHeight="1" x14ac:dyDescent="0.25">
      <c r="A24" s="430" t="s">
        <v>1</v>
      </c>
      <c r="B24" s="430"/>
      <c r="C24" s="430"/>
      <c r="D24" s="430"/>
      <c r="E24" s="430"/>
      <c r="F24" s="430"/>
      <c r="G24" s="430"/>
      <c r="H24" s="2"/>
      <c r="I24" s="26"/>
      <c r="J24" s="53"/>
      <c r="K24" s="16"/>
      <c r="L24" s="27"/>
      <c r="M24" s="27"/>
      <c r="N24" s="13">
        <f t="shared" si="8"/>
        <v>0</v>
      </c>
      <c r="O24" s="296"/>
      <c r="P24" s="54"/>
      <c r="Q24" s="2"/>
      <c r="R24" s="329" t="s">
        <v>227</v>
      </c>
      <c r="S24" s="339" t="s">
        <v>386</v>
      </c>
      <c r="T24" s="336" t="s">
        <v>25</v>
      </c>
      <c r="U24" s="314">
        <v>1</v>
      </c>
      <c r="V24" s="337" t="s">
        <v>387</v>
      </c>
      <c r="W24" s="14" t="str">
        <f t="shared" si="10"/>
        <v>15 HORAS</v>
      </c>
      <c r="X24" s="296" t="s">
        <v>395</v>
      </c>
      <c r="Y24" s="362">
        <f t="shared" si="11"/>
        <v>832623</v>
      </c>
      <c r="AA24" s="20"/>
      <c r="AB24" s="20"/>
      <c r="AC24" s="20"/>
      <c r="AD24" s="20"/>
      <c r="AE24" s="20"/>
    </row>
    <row r="25" spans="1:31" ht="15.75" x14ac:dyDescent="0.25">
      <c r="A25" s="50" t="s">
        <v>4</v>
      </c>
      <c r="B25" s="55" t="s">
        <v>5</v>
      </c>
      <c r="C25" s="55" t="s">
        <v>6</v>
      </c>
      <c r="D25" s="55" t="s">
        <v>7</v>
      </c>
      <c r="E25" s="55" t="s">
        <v>8</v>
      </c>
      <c r="F25" s="55" t="s">
        <v>9</v>
      </c>
      <c r="G25" s="55" t="s">
        <v>10</v>
      </c>
      <c r="H25" s="2"/>
      <c r="I25" s="2"/>
      <c r="J25" s="56" t="s">
        <v>32</v>
      </c>
      <c r="K25" s="340">
        <f>K4+K5+K6+K7+K8+K9+K18+K19+K20</f>
        <v>20</v>
      </c>
      <c r="L25" s="57">
        <f>SUM(L4:L24)</f>
        <v>8</v>
      </c>
      <c r="M25" s="56"/>
      <c r="N25" s="56"/>
      <c r="O25" s="297"/>
      <c r="P25" s="58">
        <f>SUM(P4:P24)</f>
        <v>9069796</v>
      </c>
      <c r="Q25" s="2"/>
      <c r="R25" s="338" t="s">
        <v>31</v>
      </c>
      <c r="S25" s="339" t="s">
        <v>24</v>
      </c>
      <c r="T25" s="336" t="s">
        <v>25</v>
      </c>
      <c r="U25" s="314" t="s">
        <v>25</v>
      </c>
      <c r="V25" s="337" t="s">
        <v>387</v>
      </c>
      <c r="W25" s="14" t="str">
        <f t="shared" si="10"/>
        <v>15 HORAS</v>
      </c>
      <c r="X25" s="296" t="s">
        <v>403</v>
      </c>
      <c r="Y25" s="362">
        <f t="shared" si="11"/>
        <v>1128712</v>
      </c>
      <c r="AA25" s="62"/>
      <c r="AB25" s="62"/>
      <c r="AC25" s="62"/>
      <c r="AD25" s="62"/>
      <c r="AE25" s="63"/>
    </row>
    <row r="26" spans="1:31" ht="15.75" x14ac:dyDescent="0.25">
      <c r="A26" s="64" t="s">
        <v>33</v>
      </c>
      <c r="B26" s="11" t="str">
        <f t="shared" ref="B26:B28" si="12">+IF(F26=0,0,MID(F26,LEN(F26)-4,3))</f>
        <v xml:space="preserve">04 </v>
      </c>
      <c r="C26" s="12">
        <v>1</v>
      </c>
      <c r="D26" s="12" t="s">
        <v>229</v>
      </c>
      <c r="E26" s="13" t="str">
        <f>+IF(F26=0,0,CONCATENATE(MID(F26,FIND("-",F26,1)+1,4),"ORAS"))</f>
        <v>15 HORAS</v>
      </c>
      <c r="F26" s="14" t="s">
        <v>351</v>
      </c>
      <c r="G26" s="362">
        <f t="shared" ref="G26:G31" si="13">+IF(F26="","",VLOOKUP(F26,$H$139:$I$217,2,FALSE))</f>
        <v>1955007</v>
      </c>
      <c r="H26" s="2"/>
      <c r="I26" s="2"/>
      <c r="J26" s="2"/>
      <c r="K26" s="2"/>
      <c r="L26" s="2"/>
      <c r="M26" s="2"/>
      <c r="N26" s="2"/>
      <c r="O26" s="295"/>
      <c r="P26" s="2"/>
      <c r="Q26" s="2"/>
      <c r="R26" s="338" t="s">
        <v>31</v>
      </c>
      <c r="S26" s="307" t="s">
        <v>392</v>
      </c>
      <c r="T26" s="334" t="s">
        <v>25</v>
      </c>
      <c r="U26" s="314" t="s">
        <v>25</v>
      </c>
      <c r="V26" s="337" t="s">
        <v>388</v>
      </c>
      <c r="W26" s="14" t="e">
        <f t="shared" si="10"/>
        <v>#VALUE!</v>
      </c>
      <c r="X26" s="296" t="s">
        <v>413</v>
      </c>
      <c r="Y26" s="362">
        <f t="shared" si="11"/>
        <v>477011</v>
      </c>
      <c r="AA26" s="20"/>
      <c r="AB26" s="20"/>
      <c r="AC26" s="20"/>
      <c r="AD26" s="20"/>
      <c r="AE26" s="20"/>
    </row>
    <row r="27" spans="1:31" ht="20.100000000000001" customHeight="1" x14ac:dyDescent="0.25">
      <c r="A27" s="64" t="s">
        <v>34</v>
      </c>
      <c r="B27" s="11" t="str">
        <f t="shared" si="12"/>
        <v xml:space="preserve">04 </v>
      </c>
      <c r="C27" s="65">
        <v>1</v>
      </c>
      <c r="D27" s="12" t="s">
        <v>229</v>
      </c>
      <c r="E27" s="13" t="str">
        <f>+IF(F27=0,0,CONCATENATE(MID(F27,FIND("-",F27,1)+1,4),"ORAS"))</f>
        <v>15 HORAS</v>
      </c>
      <c r="F27" s="14" t="s">
        <v>351</v>
      </c>
      <c r="G27" s="362">
        <f t="shared" si="13"/>
        <v>1955007</v>
      </c>
      <c r="H27" s="2"/>
      <c r="I27" s="2"/>
      <c r="J27" s="2"/>
      <c r="K27" s="2"/>
      <c r="L27" s="2"/>
      <c r="M27" s="2"/>
      <c r="N27" s="2"/>
      <c r="O27" s="295"/>
      <c r="P27" s="2"/>
      <c r="Q27" s="2"/>
      <c r="R27" s="338"/>
      <c r="S27" s="307"/>
      <c r="T27" s="334"/>
      <c r="U27" s="314"/>
      <c r="V27" s="337"/>
      <c r="W27" s="14">
        <f t="shared" si="10"/>
        <v>0</v>
      </c>
      <c r="X27" s="296">
        <v>0</v>
      </c>
      <c r="Y27" s="341">
        <f t="shared" si="11"/>
        <v>0</v>
      </c>
    </row>
    <row r="28" spans="1:31" ht="15.75" customHeight="1" x14ac:dyDescent="0.25">
      <c r="A28" s="64" t="s">
        <v>35</v>
      </c>
      <c r="B28" s="11" t="str">
        <f t="shared" si="12"/>
        <v xml:space="preserve">04 </v>
      </c>
      <c r="C28" s="65">
        <v>1</v>
      </c>
      <c r="D28" s="12" t="s">
        <v>229</v>
      </c>
      <c r="E28" s="13" t="str">
        <f>+IF(F28=0,0,CONCATENATE(MID(F28,FIND("-",F28,1)+1,4),"ORAS"))</f>
        <v>15 HORAS</v>
      </c>
      <c r="F28" s="14" t="s">
        <v>351</v>
      </c>
      <c r="G28" s="362">
        <f t="shared" si="13"/>
        <v>1955007</v>
      </c>
      <c r="H28" s="2"/>
      <c r="I28" s="2"/>
      <c r="J28" s="2"/>
      <c r="K28" s="2"/>
      <c r="L28" s="2"/>
      <c r="M28" s="2"/>
      <c r="N28" s="2"/>
      <c r="O28" s="295"/>
      <c r="P28" s="2"/>
      <c r="Q28" s="2"/>
      <c r="R28" s="338"/>
      <c r="S28" s="314"/>
      <c r="T28" s="334"/>
      <c r="U28" s="314"/>
      <c r="V28" s="337"/>
      <c r="W28" s="14">
        <f t="shared" si="10"/>
        <v>0</v>
      </c>
      <c r="X28" s="296">
        <v>0</v>
      </c>
      <c r="Y28" s="341">
        <f t="shared" si="11"/>
        <v>0</v>
      </c>
    </row>
    <row r="29" spans="1:31" ht="15.75" x14ac:dyDescent="0.25">
      <c r="A29" s="66" t="s">
        <v>36</v>
      </c>
      <c r="B29" s="11" t="str">
        <f>+IF(F29=0,0,MID(F29,LEN(F29)-4,3))</f>
        <v xml:space="preserve">03 </v>
      </c>
      <c r="C29" s="12">
        <v>1</v>
      </c>
      <c r="D29" s="12" t="s">
        <v>229</v>
      </c>
      <c r="E29" s="13" t="str">
        <f>+IF(F29=0,0,CONCATENATE(MID(F29,FIND("-",F29,1)+1,4),"ORAS"))</f>
        <v>15 HORAS</v>
      </c>
      <c r="F29" s="14" t="s">
        <v>352</v>
      </c>
      <c r="G29" s="362">
        <f t="shared" si="13"/>
        <v>1795972</v>
      </c>
      <c r="H29" s="2"/>
      <c r="I29" s="2"/>
      <c r="J29" s="2"/>
      <c r="K29" s="2"/>
      <c r="L29" s="2"/>
      <c r="M29" s="2"/>
      <c r="N29" s="2"/>
      <c r="O29" s="295"/>
      <c r="P29" s="2"/>
      <c r="Q29" s="2"/>
      <c r="R29" s="338"/>
      <c r="S29" s="314"/>
      <c r="T29" s="334"/>
      <c r="U29" s="314"/>
      <c r="V29" s="337"/>
      <c r="W29" s="13">
        <f t="shared" si="10"/>
        <v>0</v>
      </c>
      <c r="X29" s="345">
        <v>0</v>
      </c>
      <c r="Y29" s="341">
        <f t="shared" si="11"/>
        <v>0</v>
      </c>
    </row>
    <row r="30" spans="1:31" ht="15.75" x14ac:dyDescent="0.25">
      <c r="A30" s="66"/>
      <c r="B30" s="39"/>
      <c r="C30" s="65"/>
      <c r="D30" s="19"/>
      <c r="E30" s="13"/>
      <c r="F30" s="14">
        <v>0</v>
      </c>
      <c r="G30" s="341">
        <f t="shared" si="13"/>
        <v>0</v>
      </c>
      <c r="H30" s="2"/>
      <c r="I30" s="2"/>
      <c r="J30" s="2"/>
      <c r="K30" s="2"/>
      <c r="L30" s="2"/>
      <c r="M30" s="2"/>
      <c r="N30" s="2"/>
      <c r="O30" s="295"/>
      <c r="P30" s="2"/>
      <c r="Q30" s="2"/>
      <c r="R30" s="338"/>
      <c r="S30" s="314"/>
      <c r="T30" s="334"/>
      <c r="U30" s="314"/>
      <c r="V30" s="337"/>
      <c r="W30" s="14">
        <f>+IF(X30=0,0,CONCATENATE(MID(X30,FIND("-",X30,1)+1,4),"ORAS"))</f>
        <v>0</v>
      </c>
      <c r="X30" s="296">
        <v>0</v>
      </c>
      <c r="Y30" s="35">
        <f>+IF(X30="","",VLOOKUP(X30,$H$139:$I$217,2,FALSE))</f>
        <v>0</v>
      </c>
    </row>
    <row r="31" spans="1:31" ht="15.75" x14ac:dyDescent="0.2">
      <c r="A31" s="66"/>
      <c r="B31" s="65"/>
      <c r="C31" s="65"/>
      <c r="D31" s="19"/>
      <c r="E31" s="13"/>
      <c r="F31" s="44"/>
      <c r="G31" s="341" t="str">
        <f t="shared" si="13"/>
        <v/>
      </c>
      <c r="H31" s="2"/>
      <c r="I31" s="2"/>
      <c r="J31" s="2"/>
      <c r="K31" s="2"/>
      <c r="L31" s="2"/>
      <c r="M31" s="2"/>
      <c r="N31" s="2"/>
      <c r="O31" s="295"/>
      <c r="P31" s="2"/>
      <c r="Q31" s="2"/>
      <c r="R31" s="2"/>
      <c r="S31" s="2"/>
      <c r="T31" s="2"/>
      <c r="U31" s="2"/>
      <c r="V31" s="2"/>
      <c r="W31" s="2"/>
      <c r="X31" s="2"/>
      <c r="Y31" s="2"/>
    </row>
    <row r="32" spans="1:31" ht="15.75" x14ac:dyDescent="0.2">
      <c r="A32" s="421" t="s">
        <v>23</v>
      </c>
      <c r="B32" s="421"/>
      <c r="C32" s="421"/>
      <c r="D32" s="421"/>
      <c r="E32" s="421"/>
      <c r="F32" s="421"/>
      <c r="G32" s="421"/>
      <c r="H32" s="2"/>
      <c r="I32" s="2"/>
      <c r="J32" s="2"/>
      <c r="K32" s="2"/>
      <c r="L32" s="2"/>
      <c r="M32" s="2"/>
      <c r="N32" s="2"/>
      <c r="O32" s="295"/>
      <c r="P32" s="2"/>
      <c r="Q32" s="2"/>
      <c r="R32" s="2"/>
      <c r="S32" s="2"/>
      <c r="T32" s="2"/>
      <c r="U32" s="2"/>
      <c r="V32" s="2"/>
      <c r="W32" s="2"/>
      <c r="X32" s="2"/>
      <c r="Y32" s="2"/>
    </row>
    <row r="33" spans="1:25" ht="15.75" x14ac:dyDescent="0.2">
      <c r="A33" s="50"/>
      <c r="B33" s="55" t="s">
        <v>5</v>
      </c>
      <c r="C33" s="55" t="s">
        <v>6</v>
      </c>
      <c r="D33" s="55" t="s">
        <v>7</v>
      </c>
      <c r="E33" s="55"/>
      <c r="F33" s="55" t="s">
        <v>9</v>
      </c>
      <c r="G33" s="55" t="s">
        <v>10</v>
      </c>
      <c r="H33" s="2"/>
      <c r="I33" s="2"/>
      <c r="J33" s="2"/>
      <c r="K33" s="2"/>
      <c r="L33" s="2"/>
      <c r="M33" s="2"/>
      <c r="N33" s="2"/>
      <c r="O33" s="295"/>
      <c r="P33" s="2"/>
      <c r="Q33" s="2"/>
      <c r="R33" s="2"/>
      <c r="S33" s="59" t="s">
        <v>32</v>
      </c>
      <c r="T33" s="60">
        <f>+T15+T16+T4+T5+T6+T7</f>
        <v>12</v>
      </c>
      <c r="U33" s="60">
        <f>SUM(U4:U7,U24)</f>
        <v>4</v>
      </c>
      <c r="V33" s="59"/>
      <c r="W33" s="59"/>
      <c r="X33" s="59"/>
      <c r="Y33" s="61">
        <f>SUM(Y4:Y30)</f>
        <v>10725462</v>
      </c>
    </row>
    <row r="34" spans="1:25" ht="15.75" x14ac:dyDescent="0.25">
      <c r="A34" s="10" t="s">
        <v>37</v>
      </c>
      <c r="B34" s="11" t="str">
        <f t="shared" ref="B34:B37" si="14">+IF(F34=0,0,MID(F34,LEN(F34)-4,3))</f>
        <v xml:space="preserve">02 </v>
      </c>
      <c r="C34" s="365">
        <v>1</v>
      </c>
      <c r="D34" s="12" t="s">
        <v>229</v>
      </c>
      <c r="E34" s="13" t="str">
        <f>+IF(F34=0,0,CONCATENATE(MID(F34,FIND("-",F34,1)+1,4),"ORAS"))</f>
        <v>15 HORAS</v>
      </c>
      <c r="F34" s="14" t="s">
        <v>368</v>
      </c>
      <c r="G34" s="366">
        <f t="shared" ref="G34:G39" si="15">+IF(F34="","",VLOOKUP(F34,$H$139:$I$217,2,FALSE))</f>
        <v>1308251</v>
      </c>
      <c r="H34" s="2"/>
      <c r="I34" s="2"/>
      <c r="J34" s="2"/>
      <c r="K34" s="2"/>
      <c r="L34" s="2"/>
      <c r="M34" s="2"/>
      <c r="N34" s="2"/>
      <c r="O34" s="295"/>
      <c r="P34" s="2"/>
      <c r="Q34" s="2"/>
      <c r="R34" s="2"/>
      <c r="S34" s="2"/>
      <c r="T34" s="2"/>
      <c r="U34" s="2"/>
      <c r="V34" s="2"/>
      <c r="W34" s="2"/>
      <c r="X34" s="2"/>
      <c r="Y34" s="67"/>
    </row>
    <row r="35" spans="1:25" ht="15.75" x14ac:dyDescent="0.25">
      <c r="A35" s="64" t="s">
        <v>38</v>
      </c>
      <c r="B35" s="11" t="str">
        <f t="shared" si="14"/>
        <v xml:space="preserve">03 </v>
      </c>
      <c r="C35" s="365">
        <v>1</v>
      </c>
      <c r="D35" s="12" t="s">
        <v>229</v>
      </c>
      <c r="E35" s="13" t="str">
        <f>+IF(F35=0,0,CONCATENATE(MID(F35,FIND("-",F35,1)+1,4),"ORAS"))</f>
        <v>15 HORAS</v>
      </c>
      <c r="F35" s="14" t="s">
        <v>367</v>
      </c>
      <c r="G35" s="362">
        <f t="shared" si="15"/>
        <v>1505234</v>
      </c>
      <c r="H35" s="2"/>
      <c r="I35" s="2"/>
      <c r="J35" s="2"/>
      <c r="K35" s="2"/>
      <c r="L35" s="2"/>
      <c r="M35" s="2"/>
      <c r="N35" s="2"/>
      <c r="O35" s="295"/>
      <c r="P35" s="2"/>
      <c r="Q35" s="2"/>
      <c r="R35" s="2"/>
      <c r="S35" s="2"/>
      <c r="T35" s="2"/>
      <c r="U35" s="2"/>
      <c r="V35" s="2"/>
      <c r="W35" s="2"/>
      <c r="X35" s="2"/>
      <c r="Y35" s="2"/>
    </row>
    <row r="36" spans="1:25" ht="15.75" x14ac:dyDescent="0.25">
      <c r="A36" s="64" t="s">
        <v>39</v>
      </c>
      <c r="B36" s="11" t="str">
        <f t="shared" si="14"/>
        <v xml:space="preserve">03 </v>
      </c>
      <c r="C36" s="365">
        <v>1</v>
      </c>
      <c r="D36" s="12" t="s">
        <v>229</v>
      </c>
      <c r="E36" s="13" t="str">
        <f>+IF(F36=0,0,CONCATENATE(MID(F36,FIND("-",F36,1)+1,4),"ORAS"))</f>
        <v>15 HORAS</v>
      </c>
      <c r="F36" s="14" t="s">
        <v>367</v>
      </c>
      <c r="G36" s="362">
        <f t="shared" si="15"/>
        <v>1505234</v>
      </c>
      <c r="H36" s="2"/>
      <c r="I36" s="2"/>
      <c r="J36" s="2"/>
      <c r="K36" s="2"/>
      <c r="L36" s="2"/>
      <c r="M36" s="2"/>
      <c r="N36" s="2"/>
      <c r="O36" s="295"/>
      <c r="P36" s="2"/>
      <c r="Q36" s="2"/>
      <c r="R36" s="2"/>
      <c r="S36" s="2"/>
      <c r="T36" s="2"/>
      <c r="U36" s="2"/>
      <c r="V36" s="2"/>
      <c r="W36" s="2"/>
      <c r="X36" s="2"/>
      <c r="Y36" s="2"/>
    </row>
    <row r="37" spans="1:25" ht="15.75" x14ac:dyDescent="0.25">
      <c r="A37" s="26" t="s">
        <v>383</v>
      </c>
      <c r="B37" s="11" t="str">
        <f t="shared" si="14"/>
        <v xml:space="preserve">03 </v>
      </c>
      <c r="C37" s="365">
        <v>1</v>
      </c>
      <c r="D37" s="12" t="s">
        <v>229</v>
      </c>
      <c r="E37" s="13" t="str">
        <f>+IF(F37=0,0,CONCATENATE(MID(F37,FIND("-",F37,1)+1,4),"ORAS"))</f>
        <v>15 HORAS</v>
      </c>
      <c r="F37" s="14" t="s">
        <v>367</v>
      </c>
      <c r="G37" s="362">
        <f t="shared" si="15"/>
        <v>1505234</v>
      </c>
      <c r="H37" s="2"/>
      <c r="I37" s="2"/>
      <c r="J37" s="2"/>
      <c r="K37" s="2"/>
      <c r="L37" s="2"/>
      <c r="M37" s="2"/>
      <c r="N37" s="2"/>
      <c r="O37" s="295"/>
      <c r="P37" s="2"/>
      <c r="Q37" s="2"/>
      <c r="R37" s="2"/>
      <c r="S37" s="2"/>
      <c r="T37" s="2"/>
      <c r="U37" s="2"/>
      <c r="V37" s="2"/>
      <c r="W37" s="2"/>
      <c r="X37" s="2"/>
      <c r="Y37" s="2"/>
    </row>
    <row r="38" spans="1:25" ht="15.75" x14ac:dyDescent="0.25">
      <c r="A38" s="68"/>
      <c r="B38" s="11">
        <f>+IF(F38=0,0,MID(F38,LEN(F38)-4,3))</f>
        <v>0</v>
      </c>
      <c r="C38" s="365"/>
      <c r="D38" s="12" t="s">
        <v>229</v>
      </c>
      <c r="E38" s="13">
        <f>+IF(F38=0,0,CONCATENATE(MID(F38,FIND("-",F38,1)+1,4),"ORAS"))</f>
        <v>0</v>
      </c>
      <c r="F38" s="14">
        <v>0</v>
      </c>
      <c r="G38" s="341">
        <f t="shared" si="15"/>
        <v>0</v>
      </c>
      <c r="H38" s="2"/>
      <c r="I38" s="2"/>
      <c r="J38" s="2"/>
      <c r="K38" s="2"/>
      <c r="L38" s="2"/>
      <c r="M38" s="2"/>
      <c r="N38" s="2"/>
      <c r="O38" s="295"/>
      <c r="P38" s="2"/>
      <c r="Q38" s="2"/>
      <c r="R38" s="2"/>
      <c r="S38" s="2"/>
      <c r="T38" s="2"/>
      <c r="U38" s="2"/>
      <c r="V38" s="2"/>
      <c r="W38" s="2"/>
      <c r="X38" s="2"/>
      <c r="Y38" s="2"/>
    </row>
    <row r="39" spans="1:25" ht="15.75" x14ac:dyDescent="0.2">
      <c r="A39" s="69"/>
      <c r="B39" s="16"/>
      <c r="C39" s="70"/>
      <c r="D39" s="32"/>
      <c r="E39" s="13"/>
      <c r="F39" s="14">
        <v>0</v>
      </c>
      <c r="G39" s="341">
        <f t="shared" si="15"/>
        <v>0</v>
      </c>
      <c r="H39" s="2"/>
      <c r="I39" s="2"/>
      <c r="J39" s="2"/>
      <c r="K39" s="2"/>
      <c r="L39" s="2"/>
      <c r="M39" s="2"/>
      <c r="N39" s="2"/>
      <c r="O39" s="295"/>
      <c r="P39" s="2"/>
      <c r="Q39" s="2"/>
      <c r="R39" s="2"/>
      <c r="S39" s="2"/>
      <c r="T39" s="2"/>
      <c r="U39" s="2"/>
      <c r="V39" s="2"/>
      <c r="W39" s="2"/>
      <c r="X39" s="2"/>
      <c r="Y39" s="2"/>
    </row>
    <row r="40" spans="1:25" ht="15.75" x14ac:dyDescent="0.2">
      <c r="A40" s="46" t="s">
        <v>29</v>
      </c>
      <c r="B40" s="47">
        <f>+B26+B27+B28+B34+B35+B36+B37+B38</f>
        <v>23</v>
      </c>
      <c r="C40" s="48">
        <f>SUM(C26:C32)+C34+C35+C36+C37+C38+C39</f>
        <v>8</v>
      </c>
      <c r="D40" s="48"/>
      <c r="E40" s="13">
        <f>+IF(F40=0,0,CONCATENATE(MID(F40,FIND("-",F40,1)+1,3),"ORAS"))</f>
        <v>0</v>
      </c>
      <c r="F40" s="48"/>
      <c r="G40" s="33">
        <f>SUM(G26:G31,G34:G39)</f>
        <v>13484946</v>
      </c>
      <c r="H40" s="2"/>
      <c r="I40" s="2"/>
      <c r="J40" s="2"/>
      <c r="K40" s="2"/>
      <c r="L40" s="2"/>
      <c r="M40" s="2"/>
      <c r="N40" s="2"/>
      <c r="O40" s="295"/>
      <c r="P40" s="2"/>
      <c r="Q40" s="2"/>
      <c r="R40" s="2"/>
      <c r="S40" s="2"/>
      <c r="T40" s="2"/>
      <c r="U40" s="2"/>
      <c r="V40" s="2"/>
      <c r="W40" s="2"/>
      <c r="X40" s="2"/>
      <c r="Y40" s="2"/>
    </row>
    <row r="41" spans="1:25" ht="15.75" x14ac:dyDescent="0.2">
      <c r="A41" s="436" t="s">
        <v>40</v>
      </c>
      <c r="B41" s="436"/>
      <c r="C41" s="436"/>
      <c r="D41" s="436"/>
      <c r="E41" s="436"/>
      <c r="F41" s="436"/>
      <c r="G41" s="436"/>
      <c r="H41" s="2"/>
      <c r="I41" s="2"/>
      <c r="J41" s="2"/>
      <c r="K41" s="2"/>
      <c r="L41" s="2"/>
      <c r="M41" s="2"/>
      <c r="N41" s="2"/>
      <c r="O41" s="295"/>
      <c r="P41" s="2"/>
      <c r="Q41" s="2"/>
      <c r="R41" s="2"/>
      <c r="S41" s="2"/>
      <c r="T41" s="2"/>
      <c r="U41" s="2"/>
      <c r="V41" s="2"/>
      <c r="W41" s="2"/>
      <c r="X41" s="2"/>
      <c r="Y41" s="2"/>
    </row>
    <row r="42" spans="1:25" ht="15.75" x14ac:dyDescent="0.2">
      <c r="A42" s="436" t="s">
        <v>1</v>
      </c>
      <c r="B42" s="436"/>
      <c r="C42" s="436"/>
      <c r="D42" s="436"/>
      <c r="E42" s="436"/>
      <c r="F42" s="436"/>
      <c r="G42" s="436"/>
      <c r="H42" s="2"/>
      <c r="I42" s="2"/>
      <c r="J42" s="2"/>
      <c r="K42" s="2"/>
      <c r="L42" s="2"/>
      <c r="M42" s="2"/>
      <c r="N42" s="2"/>
      <c r="O42" s="295"/>
      <c r="P42" s="2"/>
      <c r="Q42" s="2"/>
      <c r="R42" s="2"/>
      <c r="S42" s="2"/>
      <c r="T42" s="2"/>
      <c r="U42" s="2"/>
      <c r="V42" s="2"/>
      <c r="W42" s="2"/>
      <c r="X42" s="2"/>
      <c r="Y42" s="2"/>
    </row>
    <row r="43" spans="1:25" ht="15.75" x14ac:dyDescent="0.2">
      <c r="A43" s="71" t="s">
        <v>4</v>
      </c>
      <c r="B43" s="72" t="s">
        <v>5</v>
      </c>
      <c r="C43" s="72" t="s">
        <v>6</v>
      </c>
      <c r="D43" s="72" t="s">
        <v>7</v>
      </c>
      <c r="E43" s="72" t="s">
        <v>8</v>
      </c>
      <c r="F43" s="72" t="s">
        <v>9</v>
      </c>
      <c r="G43" s="72" t="s">
        <v>10</v>
      </c>
      <c r="H43" s="2"/>
      <c r="I43" s="2"/>
      <c r="J43" s="2"/>
      <c r="K43" s="2"/>
      <c r="L43" s="2"/>
      <c r="M43" s="2"/>
      <c r="N43" s="2"/>
      <c r="O43" s="295"/>
      <c r="P43" s="2"/>
      <c r="Q43" s="2"/>
      <c r="R43" s="2"/>
      <c r="S43" s="2"/>
      <c r="T43" s="2"/>
      <c r="U43" s="2"/>
      <c r="V43" s="2"/>
      <c r="W43" s="2"/>
      <c r="X43" s="2"/>
      <c r="Y43" s="2"/>
    </row>
    <row r="44" spans="1:25" ht="15.75" x14ac:dyDescent="0.2">
      <c r="A44" s="73"/>
      <c r="B44" s="74"/>
      <c r="C44" s="74"/>
      <c r="D44" s="75"/>
      <c r="E44" s="75"/>
      <c r="F44" s="75"/>
      <c r="G44" s="76"/>
      <c r="H44" s="2"/>
      <c r="I44" s="2"/>
      <c r="J44" s="2"/>
      <c r="K44" s="2"/>
      <c r="L44" s="2"/>
      <c r="M44" s="2"/>
      <c r="N44" s="2"/>
      <c r="O44" s="295"/>
      <c r="P44" s="2"/>
      <c r="Q44" s="2"/>
      <c r="R44" s="2"/>
      <c r="S44" s="2"/>
      <c r="T44" s="2"/>
      <c r="U44" s="2"/>
      <c r="V44" s="2"/>
      <c r="W44" s="2"/>
      <c r="X44" s="2"/>
      <c r="Y44" s="2"/>
    </row>
    <row r="45" spans="1:25" ht="1.5" customHeight="1" x14ac:dyDescent="0.2">
      <c r="A45" s="73"/>
      <c r="B45" s="74"/>
      <c r="C45" s="74"/>
      <c r="D45" s="74"/>
      <c r="E45" s="74"/>
      <c r="F45" s="74"/>
      <c r="G45" s="74"/>
      <c r="H45" s="2"/>
      <c r="I45" s="2"/>
      <c r="J45" s="2"/>
      <c r="K45" s="2"/>
      <c r="L45" s="2"/>
      <c r="M45" s="2"/>
      <c r="N45" s="2"/>
      <c r="O45" s="295"/>
      <c r="P45" s="2"/>
      <c r="Q45" s="2"/>
      <c r="R45" s="2"/>
      <c r="S45" s="2"/>
      <c r="T45" s="2"/>
      <c r="U45" s="2"/>
      <c r="V45" s="2"/>
      <c r="W45" s="2"/>
      <c r="X45" s="2"/>
      <c r="Y45" s="2"/>
    </row>
    <row r="46" spans="1:25" ht="15.75" x14ac:dyDescent="0.25">
      <c r="A46" s="41" t="s">
        <v>476</v>
      </c>
      <c r="B46" s="11" t="str">
        <f t="shared" ref="B46:B51" si="16">+IF(F46=0,0,MID(F46,LEN(F46)-4,3))</f>
        <v xml:space="preserve">04 </v>
      </c>
      <c r="C46" s="365">
        <v>1</v>
      </c>
      <c r="D46" s="12" t="s">
        <v>229</v>
      </c>
      <c r="E46" s="13" t="str">
        <f>+IF(F46=0,0,CONCATENATE(MID(F46,FIND("-",F46,1)+1,4),"ORAS"))</f>
        <v>15 HORAS</v>
      </c>
      <c r="F46" s="14" t="s">
        <v>351</v>
      </c>
      <c r="G46" s="362">
        <f t="shared" ref="G46:G51" si="17">+IF(F46="","",VLOOKUP(F46,$H$139:$I$217,2,FALSE))</f>
        <v>1955007</v>
      </c>
      <c r="H46" s="2"/>
      <c r="I46" s="2"/>
      <c r="J46" s="437"/>
      <c r="K46" s="437"/>
      <c r="L46" s="437"/>
      <c r="M46" s="437"/>
      <c r="N46" s="437"/>
      <c r="O46" s="437"/>
      <c r="P46" s="437"/>
      <c r="Q46" s="2"/>
      <c r="R46" s="2"/>
      <c r="S46" s="2"/>
      <c r="T46" s="2"/>
      <c r="U46" s="2"/>
      <c r="V46" s="2"/>
      <c r="W46" s="2"/>
      <c r="X46" s="2"/>
      <c r="Y46" s="2"/>
    </row>
    <row r="47" spans="1:25" ht="15.75" x14ac:dyDescent="0.2">
      <c r="A47" s="77" t="s">
        <v>477</v>
      </c>
      <c r="B47" s="11" t="str">
        <f t="shared" si="16"/>
        <v xml:space="preserve">04 </v>
      </c>
      <c r="C47" s="44">
        <v>1</v>
      </c>
      <c r="D47" s="12" t="s">
        <v>229</v>
      </c>
      <c r="E47" s="13" t="str">
        <f>+IF(F47=0,0,CONCATENATE(MID(F47,FIND("-",F47,1)+1,4),"ORAS"))</f>
        <v>15 HORAS</v>
      </c>
      <c r="F47" s="14" t="s">
        <v>351</v>
      </c>
      <c r="G47" s="362">
        <f t="shared" si="17"/>
        <v>1955007</v>
      </c>
      <c r="H47" s="2"/>
      <c r="I47" s="2"/>
      <c r="J47" s="437"/>
      <c r="K47" s="437"/>
      <c r="L47" s="437"/>
      <c r="M47" s="437"/>
      <c r="N47" s="437"/>
      <c r="O47" s="437"/>
      <c r="P47" s="437"/>
      <c r="Q47" s="2"/>
      <c r="R47" s="2"/>
      <c r="S47" s="2"/>
      <c r="T47" s="2"/>
      <c r="U47" s="2"/>
      <c r="V47" s="2"/>
      <c r="W47" s="2"/>
      <c r="X47" s="2"/>
      <c r="Y47" s="2"/>
    </row>
    <row r="48" spans="1:25" ht="15.75" x14ac:dyDescent="0.2">
      <c r="A48" s="77"/>
      <c r="B48" s="11">
        <f t="shared" si="16"/>
        <v>0</v>
      </c>
      <c r="C48" s="44"/>
      <c r="D48" s="44"/>
      <c r="E48" s="13"/>
      <c r="F48" s="14">
        <v>0</v>
      </c>
      <c r="G48" s="341">
        <f t="shared" si="17"/>
        <v>0</v>
      </c>
      <c r="H48" s="2"/>
      <c r="I48" s="2"/>
      <c r="J48" s="437"/>
      <c r="K48" s="437"/>
      <c r="L48" s="437"/>
      <c r="M48" s="437"/>
      <c r="N48" s="437"/>
      <c r="O48" s="437"/>
      <c r="P48" s="437"/>
      <c r="Q48" s="2"/>
      <c r="R48" s="2"/>
      <c r="S48" s="2"/>
      <c r="T48" s="2"/>
      <c r="U48" s="2"/>
      <c r="V48" s="2"/>
      <c r="W48" s="2"/>
      <c r="X48" s="2"/>
      <c r="Y48" s="2"/>
    </row>
    <row r="49" spans="1:25" ht="15.75" x14ac:dyDescent="0.2">
      <c r="A49" s="77"/>
      <c r="B49" s="11">
        <f t="shared" si="16"/>
        <v>0</v>
      </c>
      <c r="C49" s="44"/>
      <c r="D49" s="44"/>
      <c r="E49" s="13"/>
      <c r="F49" s="14">
        <v>0</v>
      </c>
      <c r="G49" s="341">
        <f t="shared" si="17"/>
        <v>0</v>
      </c>
      <c r="H49" s="2"/>
      <c r="I49" s="2"/>
      <c r="J49" s="437"/>
      <c r="K49" s="437"/>
      <c r="L49" s="437"/>
      <c r="M49" s="437"/>
      <c r="N49" s="437"/>
      <c r="O49" s="437"/>
      <c r="P49" s="437"/>
      <c r="Q49" s="2"/>
      <c r="R49" s="2"/>
      <c r="S49" s="2"/>
      <c r="T49" s="2"/>
      <c r="U49" s="2"/>
      <c r="V49" s="2"/>
      <c r="W49" s="2"/>
      <c r="X49" s="2"/>
      <c r="Y49" s="2"/>
    </row>
    <row r="50" spans="1:25" ht="15.75" x14ac:dyDescent="0.2">
      <c r="A50" s="77"/>
      <c r="B50" s="11">
        <f t="shared" si="16"/>
        <v>0</v>
      </c>
      <c r="C50" s="44"/>
      <c r="D50" s="44"/>
      <c r="E50" s="13"/>
      <c r="F50" s="14">
        <v>0</v>
      </c>
      <c r="G50" s="341">
        <f t="shared" si="17"/>
        <v>0</v>
      </c>
      <c r="H50" s="2"/>
      <c r="I50" s="2"/>
      <c r="J50" s="437"/>
      <c r="K50" s="437"/>
      <c r="L50" s="437"/>
      <c r="M50" s="437"/>
      <c r="N50" s="437"/>
      <c r="O50" s="437"/>
      <c r="P50" s="437"/>
      <c r="Q50" s="2"/>
      <c r="R50" s="2"/>
      <c r="S50" s="2"/>
      <c r="T50" s="2"/>
      <c r="U50" s="2"/>
      <c r="V50" s="2"/>
      <c r="W50" s="2"/>
      <c r="X50" s="2"/>
      <c r="Y50" s="2"/>
    </row>
    <row r="51" spans="1:25" ht="15.75" x14ac:dyDescent="0.2">
      <c r="A51" s="77"/>
      <c r="B51" s="11">
        <f t="shared" si="16"/>
        <v>0</v>
      </c>
      <c r="C51" s="44"/>
      <c r="D51" s="44"/>
      <c r="E51" s="13"/>
      <c r="F51" s="14">
        <v>0</v>
      </c>
      <c r="G51" s="341">
        <f t="shared" si="17"/>
        <v>0</v>
      </c>
      <c r="H51" s="2"/>
      <c r="I51" s="2"/>
      <c r="J51" s="437"/>
      <c r="K51" s="437"/>
      <c r="L51" s="437"/>
      <c r="M51" s="437"/>
      <c r="N51" s="437"/>
      <c r="O51" s="437"/>
      <c r="P51" s="437"/>
      <c r="Q51" s="2"/>
      <c r="R51" s="2"/>
      <c r="S51" s="2"/>
      <c r="T51" s="2"/>
      <c r="U51" s="2"/>
      <c r="V51" s="2"/>
      <c r="W51" s="2"/>
      <c r="X51" s="2"/>
      <c r="Y51" s="2"/>
    </row>
    <row r="52" spans="1:25" ht="15.75" x14ac:dyDescent="0.2">
      <c r="A52" s="438" t="s">
        <v>23</v>
      </c>
      <c r="B52" s="438"/>
      <c r="C52" s="438"/>
      <c r="D52" s="438"/>
      <c r="E52" s="438"/>
      <c r="F52" s="438"/>
      <c r="G52" s="438"/>
      <c r="H52" s="2"/>
      <c r="I52" s="2"/>
      <c r="J52" s="437"/>
      <c r="K52" s="437"/>
      <c r="L52" s="437"/>
      <c r="M52" s="437"/>
      <c r="N52" s="437"/>
      <c r="O52" s="437"/>
      <c r="P52" s="437"/>
      <c r="Q52" s="2"/>
      <c r="R52" s="2"/>
      <c r="S52" s="2"/>
      <c r="T52" s="2"/>
      <c r="U52" s="2"/>
      <c r="V52" s="2"/>
      <c r="W52" s="2"/>
      <c r="X52" s="2"/>
      <c r="Y52" s="2"/>
    </row>
    <row r="53" spans="1:25" ht="15.75" x14ac:dyDescent="0.2">
      <c r="A53" s="71" t="s">
        <v>4</v>
      </c>
      <c r="B53" s="72" t="s">
        <v>5</v>
      </c>
      <c r="C53" s="72" t="s">
        <v>6</v>
      </c>
      <c r="D53" s="72" t="s">
        <v>7</v>
      </c>
      <c r="E53" s="72" t="s">
        <v>8</v>
      </c>
      <c r="F53" s="72" t="s">
        <v>9</v>
      </c>
      <c r="G53" s="72" t="s">
        <v>10</v>
      </c>
      <c r="H53" s="2"/>
      <c r="I53" s="2"/>
      <c r="J53" s="437"/>
      <c r="K53" s="437"/>
      <c r="L53" s="437"/>
      <c r="M53" s="437"/>
      <c r="N53" s="437"/>
      <c r="O53" s="437"/>
      <c r="P53" s="437"/>
      <c r="Q53" s="2"/>
      <c r="R53" s="2"/>
      <c r="S53" s="2"/>
      <c r="T53" s="2"/>
      <c r="U53" s="2"/>
      <c r="V53" s="2"/>
      <c r="W53" s="2"/>
      <c r="X53" s="2"/>
      <c r="Y53" s="2"/>
    </row>
    <row r="54" spans="1:25" ht="15.75" x14ac:dyDescent="0.25">
      <c r="A54" s="41" t="s">
        <v>41</v>
      </c>
      <c r="B54" s="11" t="str">
        <f t="shared" ref="B54:B63" si="18">+IF(F54=0,0,MID(F54,LEN(F54)-4,3))</f>
        <v xml:space="preserve">03 </v>
      </c>
      <c r="C54" s="365">
        <v>1</v>
      </c>
      <c r="D54" s="12" t="s">
        <v>229</v>
      </c>
      <c r="E54" s="13" t="str">
        <f t="shared" ref="E54:E63" si="19">+IF(F54=0,0,CONCATENATE(MID(F54,FIND("-",F54,1)+1,4),"ORAS"))</f>
        <v>15 HORAS</v>
      </c>
      <c r="F54" s="14" t="s">
        <v>367</v>
      </c>
      <c r="G54" s="362">
        <f t="shared" ref="G54:G64" si="20">+IF(F54="","",VLOOKUP(F54,$H$139:$I$217,2,FALSE))</f>
        <v>1505234</v>
      </c>
      <c r="H54" s="2"/>
      <c r="I54" s="2"/>
      <c r="J54" s="437"/>
      <c r="K54" s="437"/>
      <c r="L54" s="437"/>
      <c r="M54" s="437"/>
      <c r="N54" s="437"/>
      <c r="O54" s="437"/>
      <c r="P54" s="437"/>
      <c r="Q54" s="2"/>
      <c r="R54" s="2"/>
      <c r="S54" s="2"/>
      <c r="T54" s="2"/>
      <c r="U54" s="2"/>
      <c r="V54" s="2"/>
      <c r="W54" s="2"/>
      <c r="X54" s="2"/>
      <c r="Y54" s="2"/>
    </row>
    <row r="55" spans="1:25" ht="15.75" x14ac:dyDescent="0.25">
      <c r="A55" s="41" t="s">
        <v>42</v>
      </c>
      <c r="B55" s="11" t="str">
        <f t="shared" si="18"/>
        <v xml:space="preserve">03 </v>
      </c>
      <c r="C55" s="365">
        <v>1</v>
      </c>
      <c r="D55" s="12" t="s">
        <v>229</v>
      </c>
      <c r="E55" s="13" t="str">
        <f t="shared" si="19"/>
        <v>15 HORAS</v>
      </c>
      <c r="F55" s="14" t="s">
        <v>367</v>
      </c>
      <c r="G55" s="362">
        <f t="shared" si="20"/>
        <v>1505234</v>
      </c>
      <c r="H55" s="2"/>
      <c r="I55" s="2"/>
      <c r="J55" s="437"/>
      <c r="K55" s="437"/>
      <c r="L55" s="437"/>
      <c r="M55" s="437"/>
      <c r="N55" s="437"/>
      <c r="O55" s="437"/>
      <c r="P55" s="437"/>
      <c r="Q55" s="2"/>
      <c r="R55" s="2"/>
      <c r="S55" s="2"/>
      <c r="T55" s="2"/>
      <c r="U55" s="2"/>
      <c r="V55" s="2"/>
      <c r="W55" s="2"/>
      <c r="X55" s="2"/>
      <c r="Y55" s="2"/>
    </row>
    <row r="56" spans="1:25" ht="15.75" x14ac:dyDescent="0.25">
      <c r="A56" s="41" t="s">
        <v>43</v>
      </c>
      <c r="B56" s="11" t="str">
        <f t="shared" si="18"/>
        <v xml:space="preserve">03 </v>
      </c>
      <c r="C56" s="365">
        <v>1</v>
      </c>
      <c r="D56" s="12" t="s">
        <v>229</v>
      </c>
      <c r="E56" s="13" t="str">
        <f t="shared" si="19"/>
        <v>15 HORAS</v>
      </c>
      <c r="F56" s="14" t="s">
        <v>367</v>
      </c>
      <c r="G56" s="362">
        <f t="shared" si="20"/>
        <v>1505234</v>
      </c>
      <c r="H56" s="2"/>
      <c r="I56" s="2"/>
      <c r="J56" s="437"/>
      <c r="K56" s="437"/>
      <c r="L56" s="437"/>
      <c r="M56" s="437"/>
      <c r="N56" s="437"/>
      <c r="O56" s="437"/>
      <c r="P56" s="437"/>
      <c r="Q56" s="2"/>
      <c r="R56" s="2"/>
      <c r="S56" s="2"/>
      <c r="T56" s="2"/>
      <c r="U56" s="2"/>
      <c r="V56" s="2"/>
      <c r="W56" s="2"/>
      <c r="X56" s="2"/>
      <c r="Y56" s="2"/>
    </row>
    <row r="57" spans="1:25" ht="15.75" x14ac:dyDescent="0.25">
      <c r="A57" s="41" t="s">
        <v>169</v>
      </c>
      <c r="B57" s="11" t="str">
        <f t="shared" si="18"/>
        <v xml:space="preserve">03 </v>
      </c>
      <c r="C57" s="365">
        <v>1</v>
      </c>
      <c r="D57" s="12" t="s">
        <v>229</v>
      </c>
      <c r="E57" s="13" t="str">
        <f t="shared" si="19"/>
        <v>15 HORAS</v>
      </c>
      <c r="F57" s="14" t="s">
        <v>367</v>
      </c>
      <c r="G57" s="362">
        <f t="shared" si="20"/>
        <v>1505234</v>
      </c>
      <c r="H57" s="2"/>
      <c r="I57" s="2"/>
      <c r="J57" s="437"/>
      <c r="K57" s="437"/>
      <c r="L57" s="437"/>
      <c r="M57" s="437"/>
      <c r="N57" s="437"/>
      <c r="O57" s="437"/>
      <c r="P57" s="437"/>
      <c r="Q57" s="2"/>
      <c r="R57" s="2"/>
      <c r="S57" s="2"/>
      <c r="T57" s="2"/>
      <c r="U57" s="2"/>
      <c r="V57" s="2"/>
      <c r="W57" s="2"/>
      <c r="X57" s="2"/>
      <c r="Y57" s="2"/>
    </row>
    <row r="58" spans="1:25" ht="15.75" x14ac:dyDescent="0.25">
      <c r="A58" s="79" t="s">
        <v>170</v>
      </c>
      <c r="B58" s="11" t="str">
        <f t="shared" si="18"/>
        <v xml:space="preserve">03 </v>
      </c>
      <c r="C58" s="365">
        <v>1</v>
      </c>
      <c r="D58" s="12" t="s">
        <v>229</v>
      </c>
      <c r="E58" s="13" t="str">
        <f t="shared" si="19"/>
        <v>15 HORAS</v>
      </c>
      <c r="F58" s="14" t="s">
        <v>367</v>
      </c>
      <c r="G58" s="362">
        <f t="shared" si="20"/>
        <v>1505234</v>
      </c>
      <c r="H58" s="2"/>
      <c r="I58" s="2"/>
      <c r="J58" s="437"/>
      <c r="K58" s="437"/>
      <c r="L58" s="437"/>
      <c r="M58" s="437"/>
      <c r="N58" s="437"/>
      <c r="O58" s="437"/>
      <c r="P58" s="437"/>
      <c r="Q58" s="2"/>
      <c r="R58" s="2"/>
      <c r="S58" s="2"/>
      <c r="T58" s="2"/>
      <c r="U58" s="2"/>
      <c r="V58" s="2"/>
      <c r="W58" s="2"/>
      <c r="X58" s="2"/>
      <c r="Y58" s="2"/>
    </row>
    <row r="59" spans="1:25" ht="15.75" x14ac:dyDescent="0.25">
      <c r="A59" s="79" t="s">
        <v>171</v>
      </c>
      <c r="B59" s="11" t="str">
        <f t="shared" si="18"/>
        <v xml:space="preserve">03 </v>
      </c>
      <c r="C59" s="365">
        <v>1</v>
      </c>
      <c r="D59" s="12" t="s">
        <v>229</v>
      </c>
      <c r="E59" s="13" t="str">
        <f t="shared" si="19"/>
        <v>15 HORAS</v>
      </c>
      <c r="F59" s="14" t="s">
        <v>367</v>
      </c>
      <c r="G59" s="362">
        <f t="shared" si="20"/>
        <v>1505234</v>
      </c>
      <c r="H59" s="2"/>
      <c r="I59" s="2"/>
      <c r="J59" s="437"/>
      <c r="K59" s="437"/>
      <c r="L59" s="437"/>
      <c r="M59" s="437"/>
      <c r="N59" s="437"/>
      <c r="O59" s="437"/>
      <c r="P59" s="437"/>
      <c r="Q59" s="2"/>
      <c r="R59" s="2"/>
      <c r="S59" s="2"/>
      <c r="T59" s="2"/>
      <c r="U59" s="2"/>
      <c r="V59" s="2"/>
      <c r="W59" s="2"/>
      <c r="X59" s="2"/>
      <c r="Y59" s="2"/>
    </row>
    <row r="60" spans="1:25" ht="15.75" x14ac:dyDescent="0.25">
      <c r="A60" s="79" t="s">
        <v>172</v>
      </c>
      <c r="B60" s="11" t="str">
        <f t="shared" si="18"/>
        <v xml:space="preserve">03 </v>
      </c>
      <c r="C60" s="365">
        <v>1</v>
      </c>
      <c r="D60" s="12" t="s">
        <v>229</v>
      </c>
      <c r="E60" s="13" t="str">
        <f t="shared" si="19"/>
        <v>15 HORAS</v>
      </c>
      <c r="F60" s="14" t="s">
        <v>367</v>
      </c>
      <c r="G60" s="362">
        <f t="shared" si="20"/>
        <v>1505234</v>
      </c>
      <c r="H60" s="2"/>
      <c r="I60" s="2"/>
      <c r="J60" s="437"/>
      <c r="K60" s="437"/>
      <c r="L60" s="437"/>
      <c r="M60" s="437"/>
      <c r="N60" s="437"/>
      <c r="O60" s="437"/>
      <c r="P60" s="437"/>
      <c r="Q60" s="2"/>
      <c r="R60" s="2"/>
      <c r="S60" s="2"/>
      <c r="T60" s="2"/>
      <c r="U60" s="2"/>
      <c r="V60" s="2"/>
      <c r="W60" s="2"/>
      <c r="X60" s="2"/>
      <c r="Y60" s="2"/>
    </row>
    <row r="61" spans="1:25" ht="15.75" x14ac:dyDescent="0.25">
      <c r="A61" s="79" t="s">
        <v>173</v>
      </c>
      <c r="B61" s="11" t="str">
        <f t="shared" si="18"/>
        <v xml:space="preserve">03 </v>
      </c>
      <c r="C61" s="365">
        <v>1</v>
      </c>
      <c r="D61" s="12" t="s">
        <v>229</v>
      </c>
      <c r="E61" s="13" t="str">
        <f t="shared" si="19"/>
        <v>15 HORAS</v>
      </c>
      <c r="F61" s="14" t="s">
        <v>367</v>
      </c>
      <c r="G61" s="362">
        <f t="shared" si="20"/>
        <v>1505234</v>
      </c>
      <c r="H61" s="2"/>
      <c r="I61" s="2"/>
      <c r="J61" s="437"/>
      <c r="K61" s="437"/>
      <c r="L61" s="437"/>
      <c r="M61" s="437"/>
      <c r="N61" s="437"/>
      <c r="O61" s="437"/>
      <c r="P61" s="437"/>
      <c r="Q61" s="2"/>
      <c r="R61" s="2"/>
      <c r="S61" s="2"/>
      <c r="T61" s="2"/>
      <c r="U61" s="2"/>
      <c r="V61" s="2"/>
      <c r="W61" s="2"/>
      <c r="X61" s="2"/>
      <c r="Y61" s="2"/>
    </row>
    <row r="62" spans="1:25" ht="15.75" x14ac:dyDescent="0.25">
      <c r="A62" s="78" t="s">
        <v>44</v>
      </c>
      <c r="B62" s="11" t="str">
        <f t="shared" si="18"/>
        <v xml:space="preserve">03 </v>
      </c>
      <c r="C62" s="365">
        <v>1</v>
      </c>
      <c r="D62" s="12" t="s">
        <v>229</v>
      </c>
      <c r="E62" s="13" t="str">
        <f t="shared" si="19"/>
        <v>15 HORAS</v>
      </c>
      <c r="F62" s="14" t="s">
        <v>367</v>
      </c>
      <c r="G62" s="362">
        <f t="shared" si="20"/>
        <v>1505234</v>
      </c>
      <c r="H62" s="2"/>
      <c r="I62" s="2"/>
      <c r="J62" s="437"/>
      <c r="K62" s="437"/>
      <c r="L62" s="437"/>
      <c r="M62" s="437"/>
      <c r="N62" s="437"/>
      <c r="O62" s="437"/>
      <c r="P62" s="437"/>
      <c r="Q62" s="2"/>
      <c r="R62" s="2"/>
      <c r="S62" s="2"/>
      <c r="T62" s="2"/>
      <c r="U62" s="2"/>
      <c r="V62" s="2"/>
      <c r="W62" s="2"/>
      <c r="X62" s="2"/>
      <c r="Y62" s="2"/>
    </row>
    <row r="63" spans="1:25" ht="15.75" x14ac:dyDescent="0.25">
      <c r="A63" s="78" t="s">
        <v>45</v>
      </c>
      <c r="B63" s="11" t="str">
        <f t="shared" si="18"/>
        <v xml:space="preserve">03 </v>
      </c>
      <c r="C63" s="365">
        <v>1</v>
      </c>
      <c r="D63" s="12" t="s">
        <v>229</v>
      </c>
      <c r="E63" s="13" t="str">
        <f t="shared" si="19"/>
        <v>15 HORAS</v>
      </c>
      <c r="F63" s="14" t="s">
        <v>367</v>
      </c>
      <c r="G63" s="362">
        <f t="shared" si="20"/>
        <v>1505234</v>
      </c>
      <c r="H63" s="2"/>
      <c r="I63" s="2"/>
      <c r="J63" s="437"/>
      <c r="K63" s="437"/>
      <c r="L63" s="437"/>
      <c r="M63" s="437"/>
      <c r="N63" s="437"/>
      <c r="O63" s="437"/>
      <c r="P63" s="437"/>
      <c r="Q63" s="2"/>
      <c r="R63" s="2"/>
      <c r="S63" s="2"/>
      <c r="T63" s="2"/>
      <c r="U63" s="2"/>
      <c r="V63" s="2"/>
      <c r="W63" s="2"/>
      <c r="X63" s="2"/>
      <c r="Y63" s="2"/>
    </row>
    <row r="64" spans="1:25" ht="15.75" x14ac:dyDescent="0.25">
      <c r="A64" s="77"/>
      <c r="B64" s="16"/>
      <c r="C64" s="365"/>
      <c r="D64" s="80"/>
      <c r="E64" s="14"/>
      <c r="F64" s="14"/>
      <c r="G64" s="341" t="str">
        <f t="shared" si="20"/>
        <v/>
      </c>
      <c r="H64" s="2"/>
      <c r="I64" s="2"/>
      <c r="J64" s="437"/>
      <c r="K64" s="437"/>
      <c r="L64" s="437"/>
      <c r="M64" s="437"/>
      <c r="N64" s="437"/>
      <c r="O64" s="437"/>
      <c r="P64" s="437"/>
      <c r="Q64" s="2"/>
      <c r="R64" s="2"/>
      <c r="S64" s="2"/>
      <c r="T64" s="2"/>
      <c r="U64" s="2"/>
      <c r="V64" s="2"/>
      <c r="W64" s="2"/>
      <c r="X64" s="2"/>
      <c r="Y64" s="2"/>
    </row>
    <row r="65" spans="1:31" ht="15.75" x14ac:dyDescent="0.2">
      <c r="A65" s="77" t="s">
        <v>29</v>
      </c>
      <c r="B65" s="48">
        <f>+B54+B55+B56+B57+B58+B64+B59+B60+B61+B62+B63+B46+B47+B48+B49+B50+B51</f>
        <v>38</v>
      </c>
      <c r="C65" s="48">
        <f>C59+C60+C61+C62+C63+C46+C47+C48+C49+C50+C54+C55+C56+C57+C58+C64</f>
        <v>12</v>
      </c>
      <c r="D65" s="48"/>
      <c r="E65" s="81"/>
      <c r="F65" s="48"/>
      <c r="G65" s="33">
        <f>SUM(G46:G51,G54:G64)</f>
        <v>18962354</v>
      </c>
      <c r="H65" s="2"/>
      <c r="I65" s="2"/>
      <c r="J65" s="437"/>
      <c r="K65" s="437"/>
      <c r="L65" s="437"/>
      <c r="M65" s="437"/>
      <c r="N65" s="437"/>
      <c r="O65" s="437"/>
      <c r="P65" s="437"/>
      <c r="Q65" s="2"/>
      <c r="R65" s="2"/>
      <c r="S65" s="2"/>
      <c r="T65" s="2"/>
      <c r="U65" s="2"/>
      <c r="V65" s="2"/>
      <c r="W65" s="2"/>
      <c r="X65" s="2"/>
      <c r="Y65" s="2"/>
    </row>
    <row r="66" spans="1:31" ht="15" x14ac:dyDescent="0.2">
      <c r="A66" s="2"/>
      <c r="B66" s="2"/>
      <c r="C66" s="2"/>
      <c r="D66" s="2"/>
      <c r="E66" s="2"/>
      <c r="F66" s="2"/>
      <c r="G66" s="2"/>
      <c r="H66" s="2"/>
      <c r="I66" s="2"/>
      <c r="J66" s="2"/>
      <c r="K66" s="2"/>
      <c r="L66" s="2"/>
      <c r="M66" s="2"/>
      <c r="N66" s="2"/>
      <c r="O66" s="295"/>
      <c r="P66" s="2"/>
      <c r="Q66" s="2"/>
      <c r="R66" s="2"/>
      <c r="S66" s="2"/>
      <c r="T66" s="2"/>
      <c r="U66" s="2"/>
      <c r="V66" s="2"/>
      <c r="W66" s="2"/>
      <c r="X66" s="2"/>
      <c r="Y66" s="2"/>
    </row>
    <row r="67" spans="1:31" ht="15" x14ac:dyDescent="0.2">
      <c r="A67" s="59" t="s">
        <v>32</v>
      </c>
      <c r="B67" s="278">
        <f>B65+B40+B22</f>
        <v>84</v>
      </c>
      <c r="C67" s="278">
        <f>C65+C40+C22</f>
        <v>27</v>
      </c>
      <c r="D67" s="59">
        <f>D65+D40+D22</f>
        <v>0</v>
      </c>
      <c r="E67" s="2"/>
      <c r="F67" s="2"/>
      <c r="G67" s="33">
        <f>SUM(G22,G40,G65)</f>
        <v>47292181</v>
      </c>
      <c r="H67" s="2"/>
      <c r="I67" s="2"/>
      <c r="J67" s="2"/>
      <c r="K67" s="2"/>
      <c r="L67" s="2"/>
      <c r="M67" s="2"/>
      <c r="N67" s="2"/>
      <c r="O67" s="295"/>
      <c r="P67" s="2"/>
      <c r="Q67" s="2"/>
      <c r="R67" s="2"/>
      <c r="S67" s="2"/>
      <c r="T67" s="2"/>
      <c r="U67" s="2"/>
      <c r="V67" s="2"/>
      <c r="W67" s="2"/>
      <c r="X67" s="2"/>
      <c r="Y67" s="2"/>
    </row>
    <row r="68" spans="1:31" ht="15.75" x14ac:dyDescent="0.25">
      <c r="A68" s="2"/>
      <c r="B68" s="2"/>
      <c r="C68" s="2"/>
      <c r="D68" s="2"/>
      <c r="E68" s="2"/>
      <c r="F68" s="2"/>
      <c r="G68" s="2"/>
      <c r="H68" s="2"/>
      <c r="I68" s="2"/>
      <c r="J68" s="82" t="s">
        <v>46</v>
      </c>
      <c r="K68" s="83">
        <f>K25+B67+T33+AB25</f>
        <v>116</v>
      </c>
      <c r="L68" s="84"/>
      <c r="M68" s="85"/>
      <c r="N68" s="85"/>
      <c r="O68" s="298"/>
      <c r="P68" s="85"/>
      <c r="Q68" s="2"/>
      <c r="R68" s="2"/>
      <c r="S68" s="2"/>
      <c r="T68" s="2"/>
      <c r="U68" s="2"/>
      <c r="V68" s="2"/>
      <c r="W68" s="2"/>
      <c r="X68" s="2"/>
      <c r="Y68" s="2"/>
    </row>
    <row r="69" spans="1:31" ht="16.5" thickBot="1" x14ac:dyDescent="0.3">
      <c r="A69" s="2"/>
      <c r="B69" s="2"/>
      <c r="C69" s="2"/>
      <c r="D69" s="2"/>
      <c r="E69" s="2"/>
      <c r="F69" s="2"/>
      <c r="G69" s="2"/>
      <c r="H69" s="2"/>
      <c r="I69" s="2"/>
      <c r="J69" s="82" t="s">
        <v>47</v>
      </c>
      <c r="K69" s="86">
        <f>L25+C67+U33+AC25</f>
        <v>39</v>
      </c>
      <c r="L69" s="2"/>
      <c r="M69" s="87" t="s">
        <v>0</v>
      </c>
      <c r="N69" s="87" t="s">
        <v>30</v>
      </c>
      <c r="O69" s="299" t="s">
        <v>40</v>
      </c>
      <c r="P69" s="88"/>
      <c r="R69" s="89"/>
      <c r="T69" s="2"/>
      <c r="U69" s="2"/>
      <c r="V69" s="2"/>
      <c r="W69" s="2"/>
      <c r="X69" s="2"/>
      <c r="Y69" s="2"/>
    </row>
    <row r="70" spans="1:31" ht="27" customHeight="1" thickBot="1" x14ac:dyDescent="0.3">
      <c r="A70" s="2"/>
      <c r="B70" s="2"/>
      <c r="C70" s="2"/>
      <c r="D70" s="2"/>
      <c r="E70" s="2"/>
      <c r="F70" s="2"/>
      <c r="G70" s="2"/>
      <c r="H70" s="2"/>
      <c r="I70" s="2"/>
      <c r="J70" s="90" t="s">
        <v>48</v>
      </c>
      <c r="K70" s="439">
        <f>SUM(G67,P25,Y33)</f>
        <v>67087439</v>
      </c>
      <c r="L70" s="440"/>
      <c r="M70" s="91">
        <f>SUM(G22,Y20:Y22)</f>
        <v>17579316</v>
      </c>
      <c r="N70" s="92">
        <f>SUM(G40,P4:P15,P18:P24,Y4:Y8,Y15:Y16,Y23:Y24)</f>
        <v>28940046</v>
      </c>
      <c r="O70" s="300">
        <f>SUM(G46:G51,G54:G63,Y25:Y30)</f>
        <v>20568077</v>
      </c>
      <c r="P70" s="93">
        <f>SUM(M70:O70)</f>
        <v>67087439</v>
      </c>
      <c r="R70" s="94"/>
      <c r="S70" s="95"/>
      <c r="T70" s="2"/>
      <c r="U70" s="2"/>
      <c r="V70" s="2"/>
      <c r="W70" s="2"/>
      <c r="X70" s="2"/>
      <c r="Y70" s="2"/>
    </row>
    <row r="71" spans="1:31" ht="13.5" thickBot="1" x14ac:dyDescent="0.25"/>
    <row r="72" spans="1:31" ht="36" customHeight="1" thickBot="1" x14ac:dyDescent="0.25">
      <c r="A72" s="441" t="s">
        <v>49</v>
      </c>
      <c r="B72" s="442"/>
      <c r="C72" s="442"/>
      <c r="D72" s="442"/>
      <c r="E72" s="442"/>
      <c r="F72" s="442"/>
      <c r="G72" s="442"/>
      <c r="H72" s="442"/>
      <c r="I72" s="442"/>
      <c r="J72" s="442"/>
      <c r="K72" s="442"/>
      <c r="L72" s="442"/>
      <c r="M72" s="442"/>
      <c r="N72" s="442"/>
      <c r="O72" s="442"/>
      <c r="P72" s="442"/>
      <c r="Q72" s="442"/>
      <c r="R72" s="442"/>
      <c r="S72" s="442"/>
      <c r="T72" s="442"/>
      <c r="U72" s="442"/>
      <c r="V72" s="442"/>
      <c r="W72" s="442"/>
      <c r="X72" s="442"/>
      <c r="Y72" s="442"/>
      <c r="Z72" s="442"/>
      <c r="AA72" s="442"/>
      <c r="AB72" s="442"/>
      <c r="AC72" s="442"/>
      <c r="AD72" s="442"/>
      <c r="AE72" s="443"/>
    </row>
    <row r="73" spans="1:31" ht="286.5" customHeight="1" x14ac:dyDescent="0.2">
      <c r="A73" s="431" t="s">
        <v>478</v>
      </c>
      <c r="B73" s="432"/>
      <c r="C73" s="432"/>
      <c r="D73" s="432"/>
      <c r="E73" s="432"/>
      <c r="F73" s="432"/>
      <c r="G73" s="432"/>
      <c r="H73" s="432"/>
      <c r="I73" s="432"/>
      <c r="J73" s="432"/>
      <c r="K73" s="432"/>
      <c r="L73" s="432"/>
      <c r="M73" s="432"/>
      <c r="N73" s="432"/>
      <c r="O73" s="432"/>
      <c r="P73" s="432"/>
      <c r="Q73" s="432"/>
      <c r="R73" s="432"/>
      <c r="S73" s="432"/>
      <c r="T73" s="432"/>
      <c r="U73" s="432"/>
      <c r="V73" s="432"/>
      <c r="W73" s="432"/>
      <c r="X73" s="432"/>
      <c r="Y73" s="432"/>
      <c r="Z73" s="344"/>
      <c r="AA73" s="344"/>
      <c r="AB73" s="344"/>
      <c r="AC73" s="344"/>
      <c r="AD73" s="344"/>
      <c r="AE73" s="344"/>
    </row>
    <row r="74" spans="1:31" ht="222.75" customHeight="1" x14ac:dyDescent="0.2">
      <c r="A74" s="433"/>
      <c r="B74" s="433"/>
      <c r="C74" s="433"/>
      <c r="D74" s="433"/>
      <c r="E74" s="433"/>
      <c r="F74" s="433"/>
      <c r="G74" s="433"/>
      <c r="H74" s="433"/>
      <c r="I74" s="433"/>
      <c r="J74" s="433"/>
      <c r="K74" s="433"/>
      <c r="L74" s="433"/>
      <c r="M74" s="433"/>
      <c r="N74" s="433"/>
      <c r="O74" s="433"/>
      <c r="P74" s="433"/>
      <c r="Q74" s="433"/>
      <c r="R74" s="433"/>
      <c r="S74" s="433"/>
      <c r="T74" s="433"/>
      <c r="U74" s="433"/>
      <c r="V74" s="433"/>
      <c r="W74" s="433"/>
      <c r="X74" s="433"/>
      <c r="Y74" s="433"/>
      <c r="Z74" s="343"/>
      <c r="AA74" s="343"/>
      <c r="AB74" s="343"/>
      <c r="AC74" s="343"/>
      <c r="AD74" s="343"/>
      <c r="AE74" s="343"/>
    </row>
    <row r="75" spans="1:31" ht="109.5" customHeight="1" x14ac:dyDescent="0.2">
      <c r="A75" s="433"/>
      <c r="B75" s="433"/>
      <c r="C75" s="433"/>
      <c r="D75" s="433"/>
      <c r="E75" s="433"/>
      <c r="F75" s="433"/>
      <c r="G75" s="433"/>
      <c r="H75" s="433"/>
      <c r="I75" s="433"/>
      <c r="J75" s="433"/>
      <c r="K75" s="433"/>
      <c r="L75" s="433"/>
      <c r="M75" s="433"/>
      <c r="N75" s="433"/>
      <c r="O75" s="433"/>
      <c r="P75" s="433"/>
      <c r="Q75" s="433"/>
      <c r="R75" s="433"/>
      <c r="S75" s="433"/>
      <c r="T75" s="433"/>
      <c r="U75" s="433"/>
      <c r="V75" s="433"/>
      <c r="W75" s="433"/>
      <c r="X75" s="433"/>
      <c r="Y75" s="433"/>
      <c r="Z75" s="343"/>
      <c r="AA75" s="343"/>
      <c r="AB75" s="343"/>
      <c r="AC75" s="343"/>
      <c r="AD75" s="343"/>
      <c r="AE75" s="343"/>
    </row>
    <row r="76" spans="1:31" ht="148.5" customHeight="1" x14ac:dyDescent="0.2">
      <c r="A76" s="433"/>
      <c r="B76" s="433"/>
      <c r="C76" s="433"/>
      <c r="D76" s="433"/>
      <c r="E76" s="433"/>
      <c r="F76" s="433"/>
      <c r="G76" s="433"/>
      <c r="H76" s="433"/>
      <c r="I76" s="433"/>
      <c r="J76" s="433"/>
      <c r="K76" s="433"/>
      <c r="L76" s="433"/>
      <c r="M76" s="433"/>
      <c r="N76" s="433"/>
      <c r="O76" s="433"/>
      <c r="P76" s="433"/>
      <c r="Q76" s="433"/>
      <c r="R76" s="433"/>
      <c r="S76" s="433"/>
      <c r="T76" s="433"/>
      <c r="U76" s="433"/>
      <c r="V76" s="433"/>
      <c r="W76" s="433"/>
      <c r="X76" s="433"/>
      <c r="Y76" s="433"/>
      <c r="Z76" s="343"/>
      <c r="AA76" s="343"/>
      <c r="AB76" s="343"/>
      <c r="AC76" s="343"/>
      <c r="AD76" s="343"/>
      <c r="AE76" s="343"/>
    </row>
    <row r="77" spans="1:31" ht="90" customHeight="1" x14ac:dyDescent="0.2">
      <c r="A77" s="433"/>
      <c r="B77" s="433"/>
      <c r="C77" s="433"/>
      <c r="D77" s="433"/>
      <c r="E77" s="433"/>
      <c r="F77" s="433"/>
      <c r="G77" s="433"/>
      <c r="H77" s="433"/>
      <c r="I77" s="433"/>
      <c r="J77" s="433"/>
      <c r="K77" s="433"/>
      <c r="L77" s="433"/>
      <c r="M77" s="433"/>
      <c r="N77" s="433"/>
      <c r="O77" s="433"/>
      <c r="P77" s="433"/>
      <c r="Q77" s="433"/>
      <c r="R77" s="433"/>
      <c r="S77" s="433"/>
      <c r="T77" s="433"/>
      <c r="U77" s="433"/>
      <c r="V77" s="433"/>
      <c r="W77" s="433"/>
      <c r="X77" s="433"/>
      <c r="Y77" s="433"/>
      <c r="Z77" s="343"/>
      <c r="AA77" s="343"/>
      <c r="AB77" s="343"/>
      <c r="AC77" s="343"/>
      <c r="AD77" s="343"/>
      <c r="AE77" s="343"/>
    </row>
    <row r="78" spans="1:31" ht="156" customHeight="1" x14ac:dyDescent="0.2">
      <c r="A78" s="433"/>
      <c r="B78" s="433"/>
      <c r="C78" s="433"/>
      <c r="D78" s="433"/>
      <c r="E78" s="433"/>
      <c r="F78" s="433"/>
      <c r="G78" s="433"/>
      <c r="H78" s="433"/>
      <c r="I78" s="433"/>
      <c r="J78" s="433"/>
      <c r="K78" s="433"/>
      <c r="L78" s="433"/>
      <c r="M78" s="433"/>
      <c r="N78" s="433"/>
      <c r="O78" s="433"/>
      <c r="P78" s="433"/>
      <c r="Q78" s="433"/>
      <c r="R78" s="433"/>
      <c r="S78" s="433"/>
      <c r="T78" s="433"/>
      <c r="U78" s="433"/>
      <c r="V78" s="433"/>
      <c r="W78" s="433"/>
      <c r="X78" s="433"/>
      <c r="Y78" s="433"/>
      <c r="Z78" s="343"/>
      <c r="AA78" s="343"/>
      <c r="AB78" s="343"/>
      <c r="AC78" s="343"/>
      <c r="AD78" s="343"/>
      <c r="AE78" s="343"/>
    </row>
    <row r="79" spans="1:31" ht="258" customHeight="1" x14ac:dyDescent="0.2">
      <c r="A79" s="433"/>
      <c r="B79" s="433"/>
      <c r="C79" s="433"/>
      <c r="D79" s="433"/>
      <c r="E79" s="433"/>
      <c r="F79" s="433"/>
      <c r="G79" s="433"/>
      <c r="H79" s="433"/>
      <c r="I79" s="433"/>
      <c r="J79" s="433"/>
      <c r="K79" s="433"/>
      <c r="L79" s="433"/>
      <c r="M79" s="433"/>
      <c r="N79" s="433"/>
      <c r="O79" s="433"/>
      <c r="P79" s="433"/>
      <c r="Q79" s="433"/>
      <c r="R79" s="433"/>
      <c r="S79" s="433"/>
      <c r="T79" s="433"/>
      <c r="U79" s="433"/>
      <c r="V79" s="433"/>
      <c r="W79" s="433"/>
      <c r="X79" s="433"/>
      <c r="Y79" s="433"/>
      <c r="Z79" s="343"/>
      <c r="AA79" s="343"/>
      <c r="AB79" s="343"/>
      <c r="AC79" s="343"/>
      <c r="AD79" s="343"/>
      <c r="AE79" s="343"/>
    </row>
    <row r="80" spans="1:31" ht="18.95" customHeight="1" x14ac:dyDescent="0.2">
      <c r="A80" s="433"/>
      <c r="B80" s="433"/>
      <c r="C80" s="433"/>
      <c r="D80" s="433"/>
      <c r="E80" s="433"/>
      <c r="F80" s="433"/>
      <c r="G80" s="433"/>
      <c r="H80" s="433"/>
      <c r="I80" s="433"/>
      <c r="J80" s="433"/>
      <c r="K80" s="433"/>
      <c r="L80" s="433"/>
      <c r="M80" s="433"/>
      <c r="N80" s="433"/>
      <c r="O80" s="433"/>
      <c r="P80" s="433"/>
      <c r="Q80" s="433"/>
      <c r="R80" s="433"/>
      <c r="S80" s="433"/>
      <c r="T80" s="433"/>
      <c r="U80" s="433"/>
      <c r="V80" s="433"/>
      <c r="W80" s="433"/>
      <c r="X80" s="433"/>
      <c r="Y80" s="433"/>
      <c r="Z80" s="343"/>
      <c r="AA80" s="343"/>
      <c r="AB80" s="343"/>
      <c r="AC80" s="343"/>
      <c r="AD80" s="343"/>
      <c r="AE80" s="343"/>
    </row>
    <row r="81" spans="1:31" ht="18.95" customHeight="1" x14ac:dyDescent="0.2">
      <c r="A81" s="433"/>
      <c r="B81" s="433"/>
      <c r="C81" s="433"/>
      <c r="D81" s="433"/>
      <c r="E81" s="433"/>
      <c r="F81" s="433"/>
      <c r="G81" s="433"/>
      <c r="H81" s="433"/>
      <c r="I81" s="433"/>
      <c r="J81" s="433"/>
      <c r="K81" s="433"/>
      <c r="L81" s="433"/>
      <c r="M81" s="433"/>
      <c r="N81" s="433"/>
      <c r="O81" s="433"/>
      <c r="P81" s="433"/>
      <c r="Q81" s="433"/>
      <c r="R81" s="433"/>
      <c r="S81" s="433"/>
      <c r="T81" s="433"/>
      <c r="U81" s="433"/>
      <c r="V81" s="433"/>
      <c r="W81" s="433"/>
      <c r="X81" s="433"/>
      <c r="Y81" s="433"/>
      <c r="Z81" s="343"/>
      <c r="AA81" s="343"/>
      <c r="AB81" s="343"/>
      <c r="AC81" s="343"/>
      <c r="AD81" s="343"/>
      <c r="AE81" s="343"/>
    </row>
    <row r="82" spans="1:31" ht="18.95" customHeight="1" x14ac:dyDescent="0.2">
      <c r="A82" s="433"/>
      <c r="B82" s="433"/>
      <c r="C82" s="433"/>
      <c r="D82" s="433"/>
      <c r="E82" s="433"/>
      <c r="F82" s="433"/>
      <c r="G82" s="433"/>
      <c r="H82" s="433"/>
      <c r="I82" s="433"/>
      <c r="J82" s="433"/>
      <c r="K82" s="433"/>
      <c r="L82" s="433"/>
      <c r="M82" s="433"/>
      <c r="N82" s="433"/>
      <c r="O82" s="433"/>
      <c r="P82" s="433"/>
      <c r="Q82" s="433"/>
      <c r="R82" s="433"/>
      <c r="S82" s="433"/>
      <c r="T82" s="433"/>
      <c r="U82" s="433"/>
      <c r="V82" s="433"/>
      <c r="W82" s="433"/>
      <c r="X82" s="433"/>
      <c r="Y82" s="433"/>
      <c r="Z82" s="343"/>
      <c r="AA82" s="343"/>
      <c r="AB82" s="343"/>
      <c r="AC82" s="343"/>
      <c r="AD82" s="343"/>
      <c r="AE82" s="343"/>
    </row>
    <row r="83" spans="1:31" ht="18.95" customHeight="1" x14ac:dyDescent="0.2">
      <c r="A83" s="433"/>
      <c r="B83" s="433"/>
      <c r="C83" s="433"/>
      <c r="D83" s="433"/>
      <c r="E83" s="433"/>
      <c r="F83" s="433"/>
      <c r="G83" s="433"/>
      <c r="H83" s="433"/>
      <c r="I83" s="433"/>
      <c r="J83" s="433"/>
      <c r="K83" s="433"/>
      <c r="L83" s="433"/>
      <c r="M83" s="433"/>
      <c r="N83" s="433"/>
      <c r="O83" s="433"/>
      <c r="P83" s="433"/>
      <c r="Q83" s="433"/>
      <c r="R83" s="433"/>
      <c r="S83" s="433"/>
      <c r="T83" s="433"/>
      <c r="U83" s="433"/>
      <c r="V83" s="433"/>
      <c r="W83" s="433"/>
      <c r="X83" s="433"/>
      <c r="Y83" s="433"/>
      <c r="Z83" s="343"/>
      <c r="AA83" s="343"/>
      <c r="AB83" s="343"/>
      <c r="AC83" s="343"/>
      <c r="AD83" s="343"/>
      <c r="AE83" s="343"/>
    </row>
    <row r="84" spans="1:31" ht="18.95" customHeight="1" x14ac:dyDescent="0.2">
      <c r="A84" s="433"/>
      <c r="B84" s="433"/>
      <c r="C84" s="433"/>
      <c r="D84" s="433"/>
      <c r="E84" s="433"/>
      <c r="F84" s="433"/>
      <c r="G84" s="433"/>
      <c r="H84" s="433"/>
      <c r="I84" s="433"/>
      <c r="J84" s="433"/>
      <c r="K84" s="433"/>
      <c r="L84" s="433"/>
      <c r="M84" s="433"/>
      <c r="N84" s="433"/>
      <c r="O84" s="433"/>
      <c r="P84" s="433"/>
      <c r="Q84" s="433"/>
      <c r="R84" s="433"/>
      <c r="S84" s="433"/>
      <c r="T84" s="433"/>
      <c r="U84" s="433"/>
      <c r="V84" s="433"/>
      <c r="W84" s="433"/>
      <c r="X84" s="433"/>
      <c r="Y84" s="433"/>
      <c r="Z84" s="343"/>
      <c r="AA84" s="343"/>
      <c r="AB84" s="343"/>
      <c r="AC84" s="343"/>
      <c r="AD84" s="343"/>
      <c r="AE84" s="343"/>
    </row>
    <row r="85" spans="1:31" ht="18.95" customHeight="1" x14ac:dyDescent="0.2">
      <c r="A85" s="433"/>
      <c r="B85" s="433"/>
      <c r="C85" s="433"/>
      <c r="D85" s="433"/>
      <c r="E85" s="433"/>
      <c r="F85" s="433"/>
      <c r="G85" s="433"/>
      <c r="H85" s="433"/>
      <c r="I85" s="433"/>
      <c r="J85" s="433"/>
      <c r="K85" s="433"/>
      <c r="L85" s="433"/>
      <c r="M85" s="433"/>
      <c r="N85" s="433"/>
      <c r="O85" s="433"/>
      <c r="P85" s="433"/>
      <c r="Q85" s="433"/>
      <c r="R85" s="433"/>
      <c r="S85" s="433"/>
      <c r="T85" s="433"/>
      <c r="U85" s="433"/>
      <c r="V85" s="433"/>
      <c r="W85" s="433"/>
      <c r="X85" s="433"/>
      <c r="Y85" s="433"/>
      <c r="Z85" s="343"/>
      <c r="AA85" s="343"/>
      <c r="AB85" s="343"/>
      <c r="AC85" s="343"/>
      <c r="AD85" s="343"/>
      <c r="AE85" s="343"/>
    </row>
    <row r="86" spans="1:31" ht="18.95" customHeight="1" x14ac:dyDescent="0.2">
      <c r="A86" s="433"/>
      <c r="B86" s="433"/>
      <c r="C86" s="433"/>
      <c r="D86" s="433"/>
      <c r="E86" s="433"/>
      <c r="F86" s="433"/>
      <c r="G86" s="433"/>
      <c r="H86" s="433"/>
      <c r="I86" s="433"/>
      <c r="J86" s="433"/>
      <c r="K86" s="433"/>
      <c r="L86" s="433"/>
      <c r="M86" s="433"/>
      <c r="N86" s="433"/>
      <c r="O86" s="433"/>
      <c r="P86" s="433"/>
      <c r="Q86" s="433"/>
      <c r="R86" s="433"/>
      <c r="S86" s="433"/>
      <c r="T86" s="433"/>
      <c r="U86" s="433"/>
      <c r="V86" s="433"/>
      <c r="W86" s="433"/>
      <c r="X86" s="433"/>
      <c r="Y86" s="433"/>
      <c r="Z86" s="343"/>
      <c r="AA86" s="343"/>
      <c r="AB86" s="343"/>
      <c r="AC86" s="343"/>
      <c r="AD86" s="343"/>
      <c r="AE86" s="343"/>
    </row>
    <row r="87" spans="1:31" ht="18.95" customHeight="1" x14ac:dyDescent="0.2">
      <c r="A87" s="433"/>
      <c r="B87" s="433"/>
      <c r="C87" s="433"/>
      <c r="D87" s="433"/>
      <c r="E87" s="433"/>
      <c r="F87" s="433"/>
      <c r="G87" s="433"/>
      <c r="H87" s="433"/>
      <c r="I87" s="433"/>
      <c r="J87" s="433"/>
      <c r="K87" s="433"/>
      <c r="L87" s="433"/>
      <c r="M87" s="433"/>
      <c r="N87" s="433"/>
      <c r="O87" s="433"/>
      <c r="P87" s="433"/>
      <c r="Q87" s="433"/>
      <c r="R87" s="433"/>
      <c r="S87" s="433"/>
      <c r="T87" s="433"/>
      <c r="U87" s="433"/>
      <c r="V87" s="433"/>
      <c r="W87" s="433"/>
      <c r="X87" s="433"/>
      <c r="Y87" s="433"/>
      <c r="Z87" s="343"/>
      <c r="AA87" s="343"/>
      <c r="AB87" s="343"/>
      <c r="AC87" s="343"/>
      <c r="AD87" s="343"/>
      <c r="AE87" s="343"/>
    </row>
    <row r="88" spans="1:31" ht="18.95" customHeight="1" x14ac:dyDescent="0.2">
      <c r="A88" s="433"/>
      <c r="B88" s="433"/>
      <c r="C88" s="433"/>
      <c r="D88" s="433"/>
      <c r="E88" s="433"/>
      <c r="F88" s="433"/>
      <c r="G88" s="433"/>
      <c r="H88" s="433"/>
      <c r="I88" s="433"/>
      <c r="J88" s="433"/>
      <c r="K88" s="433"/>
      <c r="L88" s="433"/>
      <c r="M88" s="433"/>
      <c r="N88" s="433"/>
      <c r="O88" s="433"/>
      <c r="P88" s="433"/>
      <c r="Q88" s="433"/>
      <c r="R88" s="433"/>
      <c r="S88" s="433"/>
      <c r="T88" s="433"/>
      <c r="U88" s="433"/>
      <c r="V88" s="433"/>
      <c r="W88" s="433"/>
      <c r="X88" s="433"/>
      <c r="Y88" s="433"/>
    </row>
    <row r="89" spans="1:31" ht="18.95" customHeight="1" x14ac:dyDescent="0.2">
      <c r="A89" s="433"/>
      <c r="B89" s="433"/>
      <c r="C89" s="433"/>
      <c r="D89" s="433"/>
      <c r="E89" s="433"/>
      <c r="F89" s="433"/>
      <c r="G89" s="433"/>
      <c r="H89" s="433"/>
      <c r="I89" s="433"/>
      <c r="J89" s="433"/>
      <c r="K89" s="433"/>
      <c r="L89" s="433"/>
      <c r="M89" s="433"/>
      <c r="N89" s="433"/>
      <c r="O89" s="433"/>
      <c r="P89" s="433"/>
      <c r="Q89" s="433"/>
      <c r="R89" s="433"/>
      <c r="S89" s="433"/>
      <c r="T89" s="433"/>
      <c r="U89" s="433"/>
      <c r="V89" s="433"/>
      <c r="W89" s="433"/>
      <c r="X89" s="433"/>
      <c r="Y89" s="433"/>
    </row>
    <row r="90" spans="1:31" ht="18.95" customHeight="1" x14ac:dyDescent="0.2">
      <c r="A90" s="433"/>
      <c r="B90" s="433"/>
      <c r="C90" s="433"/>
      <c r="D90" s="433"/>
      <c r="E90" s="433"/>
      <c r="F90" s="433"/>
      <c r="G90" s="433"/>
      <c r="H90" s="433"/>
      <c r="I90" s="433"/>
      <c r="J90" s="433"/>
      <c r="K90" s="433"/>
      <c r="L90" s="433"/>
      <c r="M90" s="433"/>
      <c r="N90" s="433"/>
      <c r="O90" s="433"/>
      <c r="P90" s="433"/>
      <c r="Q90" s="433"/>
      <c r="R90" s="433"/>
      <c r="S90" s="433"/>
      <c r="T90" s="433"/>
      <c r="U90" s="433"/>
      <c r="V90" s="433"/>
      <c r="W90" s="433"/>
      <c r="X90" s="433"/>
      <c r="Y90" s="433"/>
    </row>
    <row r="91" spans="1:31" ht="18.95" customHeight="1" x14ac:dyDescent="0.2">
      <c r="A91" s="433"/>
      <c r="B91" s="433"/>
      <c r="C91" s="433"/>
      <c r="D91" s="433"/>
      <c r="E91" s="433"/>
      <c r="F91" s="433"/>
      <c r="G91" s="433"/>
      <c r="H91" s="433"/>
      <c r="I91" s="433"/>
      <c r="J91" s="433"/>
      <c r="K91" s="433"/>
      <c r="L91" s="433"/>
      <c r="M91" s="433"/>
      <c r="N91" s="433"/>
      <c r="O91" s="433"/>
      <c r="P91" s="433"/>
      <c r="Q91" s="433"/>
      <c r="R91" s="433"/>
      <c r="S91" s="433"/>
      <c r="T91" s="433"/>
      <c r="U91" s="433"/>
      <c r="V91" s="433"/>
      <c r="W91" s="433"/>
      <c r="X91" s="433"/>
      <c r="Y91" s="433"/>
    </row>
    <row r="92" spans="1:31" ht="12.75" customHeight="1" x14ac:dyDescent="0.25">
      <c r="A92" s="96"/>
    </row>
    <row r="93" spans="1:31" ht="12.75" customHeight="1" x14ac:dyDescent="0.2">
      <c r="A93" s="434" t="s">
        <v>50</v>
      </c>
    </row>
    <row r="94" spans="1:31" ht="12.75" customHeight="1" x14ac:dyDescent="0.2">
      <c r="A94" s="435"/>
    </row>
    <row r="95" spans="1:31" ht="12.75" customHeight="1" x14ac:dyDescent="0.2">
      <c r="A95" s="435"/>
    </row>
    <row r="96" spans="1:31" ht="249.75" customHeight="1" x14ac:dyDescent="0.2">
      <c r="A96" s="97"/>
    </row>
    <row r="97" spans="1:1" x14ac:dyDescent="0.2">
      <c r="A97" s="98"/>
    </row>
    <row r="98" spans="1:1" x14ac:dyDescent="0.2">
      <c r="A98" s="98"/>
    </row>
    <row r="99" spans="1:1" x14ac:dyDescent="0.2">
      <c r="A99" s="98"/>
    </row>
    <row r="100" spans="1:1" x14ac:dyDescent="0.2">
      <c r="A100" s="98"/>
    </row>
    <row r="101" spans="1:1" x14ac:dyDescent="0.2">
      <c r="A101" s="98"/>
    </row>
    <row r="102" spans="1:1" x14ac:dyDescent="0.2">
      <c r="A102" s="98"/>
    </row>
    <row r="103" spans="1:1" x14ac:dyDescent="0.2">
      <c r="A103" s="98"/>
    </row>
    <row r="138" spans="6:15" x14ac:dyDescent="0.2">
      <c r="J138" s="3" t="s">
        <v>51</v>
      </c>
      <c r="K138" s="3" t="s">
        <v>52</v>
      </c>
    </row>
    <row r="139" spans="6:15" s="99" customFormat="1" x14ac:dyDescent="0.2">
      <c r="F139" s="99">
        <v>0</v>
      </c>
      <c r="G139" s="99">
        <v>0</v>
      </c>
      <c r="H139" s="99">
        <v>0</v>
      </c>
      <c r="I139" s="99">
        <v>0</v>
      </c>
      <c r="J139" s="99">
        <v>0</v>
      </c>
      <c r="K139" s="99">
        <v>0</v>
      </c>
      <c r="L139" s="99">
        <v>0</v>
      </c>
      <c r="M139" s="99">
        <v>0</v>
      </c>
      <c r="N139" s="99" t="str">
        <f>+CONCATENATE(G139,"VEHICULO",M139)</f>
        <v>0VEHICULO0</v>
      </c>
      <c r="O139" s="302"/>
    </row>
    <row r="140" spans="6:15" s="99" customFormat="1" x14ac:dyDescent="0.2">
      <c r="F140" s="284" t="s">
        <v>230</v>
      </c>
      <c r="G140" s="284" t="s">
        <v>53</v>
      </c>
      <c r="H140" s="284" t="s">
        <v>351</v>
      </c>
      <c r="I140" s="285">
        <v>1955007</v>
      </c>
      <c r="J140" s="285" t="s">
        <v>54</v>
      </c>
      <c r="K140" s="286">
        <v>4</v>
      </c>
      <c r="L140" s="284" t="s">
        <v>55</v>
      </c>
      <c r="M140" s="284" t="s">
        <v>56</v>
      </c>
      <c r="N140" s="284" t="str">
        <f>+CONCATENATE(G140,F140)</f>
        <v>1.40m³/50m³ -15H-4OP</v>
      </c>
      <c r="O140" s="302"/>
    </row>
    <row r="141" spans="6:15" s="99" customFormat="1" x14ac:dyDescent="0.2">
      <c r="F141" s="284" t="s">
        <v>231</v>
      </c>
      <c r="G141" s="99" t="s">
        <v>57</v>
      </c>
      <c r="H141" s="284" t="s">
        <v>352</v>
      </c>
      <c r="I141" s="100">
        <v>1795972</v>
      </c>
      <c r="J141" s="100" t="s">
        <v>54</v>
      </c>
      <c r="K141" s="101">
        <v>3</v>
      </c>
      <c r="L141" s="99" t="s">
        <v>58</v>
      </c>
      <c r="M141" s="99" t="s">
        <v>56</v>
      </c>
      <c r="N141" s="99" t="str">
        <f t="shared" ref="N141:N216" si="21">+CONCATENATE(G141,F141)</f>
        <v>2.40m³/50m³ -15H-3OP</v>
      </c>
      <c r="O141" s="302"/>
    </row>
    <row r="142" spans="6:15" s="99" customFormat="1" x14ac:dyDescent="0.2">
      <c r="F142" s="99" t="s">
        <v>232</v>
      </c>
      <c r="G142" s="99" t="s">
        <v>59</v>
      </c>
      <c r="H142" s="99" t="s">
        <v>353</v>
      </c>
      <c r="I142" s="100">
        <v>1435144</v>
      </c>
      <c r="J142" s="100" t="s">
        <v>54</v>
      </c>
      <c r="K142" s="101">
        <v>2</v>
      </c>
      <c r="L142" s="99" t="s">
        <v>60</v>
      </c>
      <c r="M142" s="99" t="s">
        <v>56</v>
      </c>
      <c r="N142" s="99" t="str">
        <f t="shared" si="21"/>
        <v>3.40m³/50m³-15H-2OP</v>
      </c>
      <c r="O142" s="302"/>
    </row>
    <row r="143" spans="6:15" s="99" customFormat="1" x14ac:dyDescent="0.2">
      <c r="F143" s="99" t="s">
        <v>233</v>
      </c>
      <c r="G143" s="99" t="s">
        <v>61</v>
      </c>
      <c r="H143" s="99" t="s">
        <v>354</v>
      </c>
      <c r="I143" s="100">
        <v>942678</v>
      </c>
      <c r="J143" s="100" t="s">
        <v>54</v>
      </c>
      <c r="K143" s="101">
        <v>1</v>
      </c>
      <c r="L143" s="99" t="s">
        <v>62</v>
      </c>
      <c r="M143" s="99" t="s">
        <v>56</v>
      </c>
      <c r="N143" s="99" t="str">
        <f t="shared" si="21"/>
        <v>4.40m³/50m³-15H-1OP</v>
      </c>
      <c r="O143" s="302"/>
    </row>
    <row r="144" spans="6:15" s="99" customFormat="1" x14ac:dyDescent="0.2">
      <c r="F144" s="99" t="s">
        <v>234</v>
      </c>
      <c r="G144" s="99" t="s">
        <v>63</v>
      </c>
      <c r="H144" s="99" t="s">
        <v>355</v>
      </c>
      <c r="I144" s="100">
        <v>745988</v>
      </c>
      <c r="J144" s="100" t="s">
        <v>54</v>
      </c>
      <c r="K144" s="101">
        <v>0</v>
      </c>
      <c r="L144" s="99" t="s">
        <v>64</v>
      </c>
      <c r="M144" s="99" t="s">
        <v>56</v>
      </c>
      <c r="N144" s="99" t="str">
        <f t="shared" si="21"/>
        <v>5.40m³/50m³-15H-0OP</v>
      </c>
      <c r="O144" s="302"/>
    </row>
    <row r="145" spans="6:15" s="99" customFormat="1" x14ac:dyDescent="0.2">
      <c r="F145" s="99" t="s">
        <v>235</v>
      </c>
      <c r="G145" s="99" t="s">
        <v>65</v>
      </c>
      <c r="H145" s="99" t="s">
        <v>356</v>
      </c>
      <c r="I145" s="100">
        <v>1665773</v>
      </c>
      <c r="J145" s="100" t="s">
        <v>66</v>
      </c>
      <c r="K145" s="101">
        <v>4</v>
      </c>
      <c r="L145" s="99" t="s">
        <v>67</v>
      </c>
      <c r="M145" s="99" t="s">
        <v>56</v>
      </c>
      <c r="N145" s="99" t="str">
        <f t="shared" si="21"/>
        <v>6.40m³/50m³-9H-4OP</v>
      </c>
      <c r="O145" s="302"/>
    </row>
    <row r="146" spans="6:15" s="99" customFormat="1" x14ac:dyDescent="0.2">
      <c r="F146" s="99" t="s">
        <v>236</v>
      </c>
      <c r="G146" s="99" t="s">
        <v>68</v>
      </c>
      <c r="H146" s="99" t="s">
        <v>357</v>
      </c>
      <c r="I146" s="100">
        <v>1499814</v>
      </c>
      <c r="J146" s="100" t="s">
        <v>66</v>
      </c>
      <c r="K146" s="101">
        <v>3</v>
      </c>
      <c r="L146" s="99" t="s">
        <v>69</v>
      </c>
      <c r="M146" s="99" t="s">
        <v>56</v>
      </c>
      <c r="N146" s="99" t="str">
        <f t="shared" si="21"/>
        <v>7.40m³/50m³-9H-3OP</v>
      </c>
      <c r="O146" s="302"/>
    </row>
    <row r="147" spans="6:15" s="99" customFormat="1" x14ac:dyDescent="0.2">
      <c r="F147" s="99" t="s">
        <v>237</v>
      </c>
      <c r="G147" s="99" t="s">
        <v>70</v>
      </c>
      <c r="H147" s="99" t="s">
        <v>358</v>
      </c>
      <c r="I147" s="100">
        <v>1222505</v>
      </c>
      <c r="J147" s="100" t="s">
        <v>66</v>
      </c>
      <c r="K147" s="101">
        <v>2</v>
      </c>
      <c r="L147" s="99" t="s">
        <v>71</v>
      </c>
      <c r="M147" s="99" t="s">
        <v>56</v>
      </c>
      <c r="N147" s="99" t="str">
        <f t="shared" si="21"/>
        <v>8.40m³/50m³-9H-2OP</v>
      </c>
      <c r="O147" s="302"/>
    </row>
    <row r="148" spans="6:15" s="99" customFormat="1" x14ac:dyDescent="0.2">
      <c r="F148" s="99" t="s">
        <v>238</v>
      </c>
      <c r="G148" s="99" t="s">
        <v>72</v>
      </c>
      <c r="H148" s="99" t="s">
        <v>359</v>
      </c>
      <c r="I148" s="100">
        <v>769092</v>
      </c>
      <c r="J148" s="100" t="s">
        <v>66</v>
      </c>
      <c r="K148" s="101">
        <v>1</v>
      </c>
      <c r="L148" s="99" t="s">
        <v>73</v>
      </c>
      <c r="M148" s="99" t="s">
        <v>56</v>
      </c>
      <c r="N148" s="99" t="str">
        <f t="shared" si="21"/>
        <v>9.40m³/50m³-9H-1OP</v>
      </c>
      <c r="O148" s="302"/>
    </row>
    <row r="149" spans="6:15" s="99" customFormat="1" x14ac:dyDescent="0.2">
      <c r="F149" s="99" t="s">
        <v>239</v>
      </c>
      <c r="G149" s="99" t="s">
        <v>74</v>
      </c>
      <c r="H149" s="99" t="s">
        <v>360</v>
      </c>
      <c r="I149" s="100">
        <v>604794</v>
      </c>
      <c r="J149" s="100" t="s">
        <v>66</v>
      </c>
      <c r="K149" s="101">
        <v>0</v>
      </c>
      <c r="L149" s="99" t="s">
        <v>75</v>
      </c>
      <c r="M149" s="99" t="s">
        <v>56</v>
      </c>
      <c r="N149" s="99" t="str">
        <f t="shared" si="21"/>
        <v>10.40m³/50m³-9H-0OP</v>
      </c>
      <c r="O149" s="302"/>
    </row>
    <row r="150" spans="6:15" s="99" customFormat="1" x14ac:dyDescent="0.2">
      <c r="F150" s="99" t="s">
        <v>240</v>
      </c>
      <c r="G150" s="99" t="s">
        <v>76</v>
      </c>
      <c r="H150" s="99" t="s">
        <v>361</v>
      </c>
      <c r="I150" s="100">
        <v>1382917</v>
      </c>
      <c r="J150" s="100" t="s">
        <v>77</v>
      </c>
      <c r="K150" s="101">
        <v>4</v>
      </c>
      <c r="L150" s="99" t="s">
        <v>78</v>
      </c>
      <c r="M150" s="99" t="s">
        <v>56</v>
      </c>
      <c r="N150" s="99" t="str">
        <f t="shared" si="21"/>
        <v>11.40m³/50m³-4H-4OP</v>
      </c>
      <c r="O150" s="302"/>
    </row>
    <row r="151" spans="6:15" s="99" customFormat="1" x14ac:dyDescent="0.2">
      <c r="F151" s="99" t="s">
        <v>241</v>
      </c>
      <c r="G151" s="99" t="s">
        <v>79</v>
      </c>
      <c r="H151" s="99" t="s">
        <v>362</v>
      </c>
      <c r="I151" s="100">
        <v>1230935</v>
      </c>
      <c r="J151" s="100" t="s">
        <v>77</v>
      </c>
      <c r="K151" s="101">
        <v>3</v>
      </c>
      <c r="L151" s="99" t="s">
        <v>80</v>
      </c>
      <c r="M151" s="99" t="s">
        <v>56</v>
      </c>
      <c r="N151" s="99" t="str">
        <f t="shared" si="21"/>
        <v>12.40m³/50m³-4H-3OP</v>
      </c>
      <c r="O151" s="302"/>
    </row>
    <row r="152" spans="6:15" s="99" customFormat="1" x14ac:dyDescent="0.2">
      <c r="F152" s="99" t="s">
        <v>242</v>
      </c>
      <c r="G152" s="99" t="s">
        <v>81</v>
      </c>
      <c r="H152" s="99" t="s">
        <v>363</v>
      </c>
      <c r="I152" s="100">
        <v>1081630</v>
      </c>
      <c r="J152" s="100" t="s">
        <v>77</v>
      </c>
      <c r="K152" s="101">
        <v>2</v>
      </c>
      <c r="L152" s="99" t="s">
        <v>82</v>
      </c>
      <c r="M152" s="99" t="s">
        <v>56</v>
      </c>
      <c r="N152" s="99" t="str">
        <f t="shared" si="21"/>
        <v>13.40m³/50m³-4H-2OP</v>
      </c>
      <c r="O152" s="302"/>
    </row>
    <row r="153" spans="6:15" s="99" customFormat="1" x14ac:dyDescent="0.2">
      <c r="F153" s="99" t="s">
        <v>243</v>
      </c>
      <c r="G153" s="99" t="s">
        <v>83</v>
      </c>
      <c r="H153" s="99" t="s">
        <v>364</v>
      </c>
      <c r="I153" s="100">
        <v>575460</v>
      </c>
      <c r="J153" s="100" t="s">
        <v>77</v>
      </c>
      <c r="K153" s="101">
        <v>1</v>
      </c>
      <c r="L153" s="99" t="s">
        <v>84</v>
      </c>
      <c r="M153" s="99" t="s">
        <v>56</v>
      </c>
      <c r="N153" s="99" t="str">
        <f t="shared" si="21"/>
        <v>14.40m³/50m³-4H-1OP</v>
      </c>
      <c r="O153" s="302"/>
    </row>
    <row r="154" spans="6:15" s="99" customFormat="1" x14ac:dyDescent="0.2">
      <c r="F154" s="99" t="s">
        <v>244</v>
      </c>
      <c r="G154" s="99" t="s">
        <v>85</v>
      </c>
      <c r="H154" s="99" t="s">
        <v>365</v>
      </c>
      <c r="I154" s="100">
        <v>477806</v>
      </c>
      <c r="J154" s="100" t="s">
        <v>77</v>
      </c>
      <c r="K154" s="101">
        <v>0</v>
      </c>
      <c r="L154" s="99" t="s">
        <v>86</v>
      </c>
      <c r="M154" s="99" t="s">
        <v>56</v>
      </c>
      <c r="N154" s="99" t="str">
        <f t="shared" si="21"/>
        <v>15.40m³50m³-4H-0OP</v>
      </c>
      <c r="O154" s="302"/>
    </row>
    <row r="155" spans="6:15" s="99" customFormat="1" x14ac:dyDescent="0.2">
      <c r="F155" s="99" t="s">
        <v>87</v>
      </c>
      <c r="G155" s="99" t="s">
        <v>88</v>
      </c>
      <c r="H155" s="99" t="s">
        <v>366</v>
      </c>
      <c r="I155" s="100">
        <v>1691890</v>
      </c>
      <c r="J155" s="100" t="s">
        <v>54</v>
      </c>
      <c r="K155" s="101">
        <v>4</v>
      </c>
      <c r="L155" s="99" t="s">
        <v>89</v>
      </c>
      <c r="M155" s="99" t="s">
        <v>56</v>
      </c>
      <c r="N155" s="99" t="str">
        <f t="shared" si="21"/>
        <v>16.25m³-15H-4OP</v>
      </c>
      <c r="O155" s="302"/>
    </row>
    <row r="156" spans="6:15" s="99" customFormat="1" x14ac:dyDescent="0.2">
      <c r="F156" s="99" t="s">
        <v>90</v>
      </c>
      <c r="G156" s="99" t="s">
        <v>91</v>
      </c>
      <c r="H156" s="99" t="s">
        <v>367</v>
      </c>
      <c r="I156" s="100">
        <v>1505234</v>
      </c>
      <c r="J156" s="100" t="s">
        <v>54</v>
      </c>
      <c r="K156" s="101">
        <v>3</v>
      </c>
      <c r="L156" s="99" t="s">
        <v>92</v>
      </c>
      <c r="M156" s="99" t="s">
        <v>56</v>
      </c>
      <c r="N156" s="99" t="str">
        <f t="shared" si="21"/>
        <v>17.25m³-15H-3OP</v>
      </c>
      <c r="O156" s="302"/>
    </row>
    <row r="157" spans="6:15" s="99" customFormat="1" x14ac:dyDescent="0.2">
      <c r="F157" s="99" t="s">
        <v>93</v>
      </c>
      <c r="G157" s="99" t="s">
        <v>94</v>
      </c>
      <c r="H157" s="99" t="s">
        <v>368</v>
      </c>
      <c r="I157" s="100">
        <v>1308251</v>
      </c>
      <c r="J157" s="100" t="s">
        <v>54</v>
      </c>
      <c r="K157" s="101">
        <v>2</v>
      </c>
      <c r="L157" s="99" t="s">
        <v>95</v>
      </c>
      <c r="M157" s="99" t="s">
        <v>56</v>
      </c>
      <c r="N157" s="99" t="str">
        <f t="shared" si="21"/>
        <v>18.25m³-15H-2OP</v>
      </c>
      <c r="O157" s="302"/>
    </row>
    <row r="158" spans="6:15" s="99" customFormat="1" x14ac:dyDescent="0.2">
      <c r="F158" s="99" t="s">
        <v>96</v>
      </c>
      <c r="G158" s="99" t="s">
        <v>97</v>
      </c>
      <c r="H158" s="99" t="s">
        <v>369</v>
      </c>
      <c r="I158" s="100">
        <v>1097977</v>
      </c>
      <c r="J158" s="100" t="s">
        <v>54</v>
      </c>
      <c r="K158" s="101">
        <v>1</v>
      </c>
      <c r="L158" s="99" t="s">
        <v>98</v>
      </c>
      <c r="M158" s="99" t="s">
        <v>56</v>
      </c>
      <c r="N158" s="99" t="str">
        <f t="shared" si="21"/>
        <v>19.25m³-15H-1OP</v>
      </c>
      <c r="O158" s="302"/>
    </row>
    <row r="159" spans="6:15" s="99" customFormat="1" x14ac:dyDescent="0.2">
      <c r="F159" s="99" t="s">
        <v>99</v>
      </c>
      <c r="G159" s="99" t="s">
        <v>100</v>
      </c>
      <c r="H159" s="99" t="s">
        <v>370</v>
      </c>
      <c r="I159" s="100">
        <v>861675</v>
      </c>
      <c r="J159" s="100" t="s">
        <v>54</v>
      </c>
      <c r="K159" s="101">
        <v>0</v>
      </c>
      <c r="L159" s="99" t="s">
        <v>101</v>
      </c>
      <c r="M159" s="99" t="s">
        <v>56</v>
      </c>
      <c r="N159" s="99" t="str">
        <f t="shared" si="21"/>
        <v>20.25m³-15H-0OP</v>
      </c>
      <c r="O159" s="302"/>
    </row>
    <row r="160" spans="6:15" s="99" customFormat="1" x14ac:dyDescent="0.2">
      <c r="F160" s="99" t="s">
        <v>102</v>
      </c>
      <c r="G160" s="99" t="s">
        <v>103</v>
      </c>
      <c r="H160" s="99" t="s">
        <v>371</v>
      </c>
      <c r="I160" s="100">
        <v>1457200</v>
      </c>
      <c r="J160" s="100" t="s">
        <v>66</v>
      </c>
      <c r="K160" s="101">
        <v>4</v>
      </c>
      <c r="L160" s="99" t="s">
        <v>104</v>
      </c>
      <c r="M160" s="99" t="s">
        <v>56</v>
      </c>
      <c r="N160" s="99" t="str">
        <f t="shared" si="21"/>
        <v>21.25m³-9H-4OP</v>
      </c>
      <c r="O160" s="302"/>
    </row>
    <row r="161" spans="6:15" s="99" customFormat="1" x14ac:dyDescent="0.2">
      <c r="F161" s="99" t="s">
        <v>105</v>
      </c>
      <c r="G161" s="99" t="s">
        <v>106</v>
      </c>
      <c r="H161" s="99" t="s">
        <v>372</v>
      </c>
      <c r="I161" s="100">
        <v>1312665</v>
      </c>
      <c r="J161" s="100" t="s">
        <v>66</v>
      </c>
      <c r="K161" s="101">
        <v>3</v>
      </c>
      <c r="L161" s="99" t="s">
        <v>107</v>
      </c>
      <c r="M161" s="99" t="s">
        <v>56</v>
      </c>
      <c r="N161" s="99" t="str">
        <f t="shared" si="21"/>
        <v>22.25m³-9H-3OP</v>
      </c>
      <c r="O161" s="302"/>
    </row>
    <row r="162" spans="6:15" s="99" customFormat="1" x14ac:dyDescent="0.2">
      <c r="F162" s="99" t="s">
        <v>108</v>
      </c>
      <c r="G162" s="99" t="s">
        <v>109</v>
      </c>
      <c r="H162" s="99" t="s">
        <v>373</v>
      </c>
      <c r="I162" s="100">
        <v>1175229</v>
      </c>
      <c r="J162" s="100" t="s">
        <v>66</v>
      </c>
      <c r="K162" s="101">
        <v>2</v>
      </c>
      <c r="L162" s="99" t="s">
        <v>110</v>
      </c>
      <c r="M162" s="99" t="s">
        <v>56</v>
      </c>
      <c r="N162" s="99" t="str">
        <f t="shared" si="21"/>
        <v>23.25m³-9H-2OP</v>
      </c>
      <c r="O162" s="302"/>
    </row>
    <row r="163" spans="6:15" s="99" customFormat="1" x14ac:dyDescent="0.2">
      <c r="F163" s="99" t="s">
        <v>111</v>
      </c>
      <c r="G163" s="99" t="s">
        <v>112</v>
      </c>
      <c r="H163" s="99" t="s">
        <v>374</v>
      </c>
      <c r="I163" s="100">
        <v>873501</v>
      </c>
      <c r="J163" s="100" t="s">
        <v>66</v>
      </c>
      <c r="K163" s="101">
        <v>1</v>
      </c>
      <c r="L163" s="99" t="s">
        <v>113</v>
      </c>
      <c r="M163" s="99" t="s">
        <v>56</v>
      </c>
      <c r="N163" s="99" t="str">
        <f t="shared" si="21"/>
        <v>24.25m³-9H-1OP</v>
      </c>
      <c r="O163" s="302"/>
    </row>
    <row r="164" spans="6:15" s="99" customFormat="1" x14ac:dyDescent="0.2">
      <c r="F164" s="99" t="s">
        <v>114</v>
      </c>
      <c r="G164" s="99" t="s">
        <v>115</v>
      </c>
      <c r="H164" s="99" t="s">
        <v>375</v>
      </c>
      <c r="I164" s="100">
        <v>530672</v>
      </c>
      <c r="J164" s="100" t="s">
        <v>66</v>
      </c>
      <c r="K164" s="101">
        <v>0</v>
      </c>
      <c r="L164" s="99" t="s">
        <v>116</v>
      </c>
      <c r="M164" s="99" t="s">
        <v>56</v>
      </c>
      <c r="N164" s="99" t="str">
        <f t="shared" si="21"/>
        <v>25.25m³-9H-0OP</v>
      </c>
      <c r="O164" s="302"/>
    </row>
    <row r="165" spans="6:15" s="99" customFormat="1" x14ac:dyDescent="0.2">
      <c r="F165" s="99" t="s">
        <v>117</v>
      </c>
      <c r="G165" s="99" t="s">
        <v>118</v>
      </c>
      <c r="H165" s="99" t="s">
        <v>376</v>
      </c>
      <c r="I165" s="100">
        <v>1031685</v>
      </c>
      <c r="J165" s="100" t="s">
        <v>77</v>
      </c>
      <c r="K165" s="101">
        <v>4</v>
      </c>
      <c r="L165" s="99" t="s">
        <v>119</v>
      </c>
      <c r="M165" s="99" t="s">
        <v>56</v>
      </c>
      <c r="N165" s="99" t="str">
        <f t="shared" si="21"/>
        <v>26.25m³-4H-4OP</v>
      </c>
      <c r="O165" s="302"/>
    </row>
    <row r="166" spans="6:15" s="99" customFormat="1" x14ac:dyDescent="0.2">
      <c r="F166" s="99" t="s">
        <v>120</v>
      </c>
      <c r="G166" s="99" t="s">
        <v>121</v>
      </c>
      <c r="H166" s="99" t="s">
        <v>377</v>
      </c>
      <c r="I166" s="100">
        <v>1092868</v>
      </c>
      <c r="J166" s="100" t="s">
        <v>77</v>
      </c>
      <c r="K166" s="101">
        <v>3</v>
      </c>
      <c r="L166" s="99" t="s">
        <v>122</v>
      </c>
      <c r="M166" s="99" t="s">
        <v>56</v>
      </c>
      <c r="N166" s="99" t="str">
        <f t="shared" si="21"/>
        <v>27.25m³-4H-3OP</v>
      </c>
      <c r="O166" s="302"/>
    </row>
    <row r="167" spans="6:15" s="99" customFormat="1" x14ac:dyDescent="0.2">
      <c r="F167" s="99" t="s">
        <v>123</v>
      </c>
      <c r="G167" s="99" t="s">
        <v>124</v>
      </c>
      <c r="H167" s="99" t="s">
        <v>378</v>
      </c>
      <c r="I167" s="100">
        <v>961567</v>
      </c>
      <c r="J167" s="100" t="s">
        <v>77</v>
      </c>
      <c r="K167" s="101">
        <v>2</v>
      </c>
      <c r="L167" s="99" t="s">
        <v>125</v>
      </c>
      <c r="M167" s="99" t="s">
        <v>56</v>
      </c>
      <c r="N167" s="99" t="str">
        <f t="shared" si="21"/>
        <v>28.25m³-4H-2OP</v>
      </c>
      <c r="O167" s="302"/>
    </row>
    <row r="168" spans="6:15" s="99" customFormat="1" x14ac:dyDescent="0.2">
      <c r="F168" s="99" t="s">
        <v>126</v>
      </c>
      <c r="G168" s="99" t="s">
        <v>127</v>
      </c>
      <c r="H168" s="99" t="s">
        <v>379</v>
      </c>
      <c r="I168" s="100">
        <v>463364</v>
      </c>
      <c r="J168" s="100" t="s">
        <v>77</v>
      </c>
      <c r="K168" s="101">
        <v>1</v>
      </c>
      <c r="L168" s="99" t="s">
        <v>128</v>
      </c>
      <c r="M168" s="99" t="s">
        <v>56</v>
      </c>
      <c r="N168" s="99" t="str">
        <f t="shared" si="21"/>
        <v>29.25m³-4H-1OP</v>
      </c>
      <c r="O168" s="302"/>
    </row>
    <row r="169" spans="6:15" s="99" customFormat="1" x14ac:dyDescent="0.2">
      <c r="F169" s="99" t="s">
        <v>129</v>
      </c>
      <c r="G169" s="99" t="s">
        <v>130</v>
      </c>
      <c r="H169" s="99" t="s">
        <v>380</v>
      </c>
      <c r="I169" s="100">
        <v>429635</v>
      </c>
      <c r="J169" s="100" t="s">
        <v>77</v>
      </c>
      <c r="K169" s="101">
        <v>0</v>
      </c>
      <c r="L169" s="99" t="s">
        <v>131</v>
      </c>
      <c r="M169" s="99" t="s">
        <v>56</v>
      </c>
      <c r="N169" s="99" t="str">
        <f t="shared" si="21"/>
        <v>30.25m³-4H-0OP</v>
      </c>
      <c r="O169" s="302"/>
    </row>
    <row r="170" spans="6:15" s="99" customFormat="1" x14ac:dyDescent="0.2">
      <c r="F170" s="99" t="s">
        <v>132</v>
      </c>
      <c r="G170" s="99" t="s">
        <v>133</v>
      </c>
      <c r="H170" s="99" t="s">
        <v>394</v>
      </c>
      <c r="I170" s="100">
        <v>1019917</v>
      </c>
      <c r="J170" s="100" t="s">
        <v>54</v>
      </c>
      <c r="K170" s="101">
        <v>0</v>
      </c>
      <c r="L170" s="99" t="s">
        <v>134</v>
      </c>
      <c r="M170" s="99" t="s">
        <v>56</v>
      </c>
      <c r="N170" s="99" t="str">
        <f t="shared" si="21"/>
        <v>31.FURGON-15H</v>
      </c>
      <c r="O170" s="302"/>
    </row>
    <row r="171" spans="6:15" s="99" customFormat="1" x14ac:dyDescent="0.2">
      <c r="F171" s="99" t="s">
        <v>132</v>
      </c>
      <c r="G171" s="99" t="s">
        <v>136</v>
      </c>
      <c r="H171" s="99" t="s">
        <v>395</v>
      </c>
      <c r="I171" s="100">
        <v>832623</v>
      </c>
      <c r="J171" s="100" t="s">
        <v>54</v>
      </c>
      <c r="K171" s="101">
        <v>0</v>
      </c>
      <c r="L171" s="99" t="s">
        <v>134</v>
      </c>
      <c r="M171" s="99" t="s">
        <v>56</v>
      </c>
      <c r="N171" s="99" t="str">
        <f t="shared" si="21"/>
        <v>32.FURGON-15H</v>
      </c>
      <c r="O171" s="302"/>
    </row>
    <row r="172" spans="6:15" s="99" customFormat="1" x14ac:dyDescent="0.2">
      <c r="F172" s="99" t="s">
        <v>132</v>
      </c>
      <c r="G172" s="99" t="s">
        <v>139</v>
      </c>
      <c r="H172" s="99" t="s">
        <v>396</v>
      </c>
      <c r="I172" s="100">
        <v>557356</v>
      </c>
      <c r="J172" s="100" t="s">
        <v>54</v>
      </c>
      <c r="K172" s="101">
        <v>0</v>
      </c>
      <c r="L172" s="99" t="s">
        <v>134</v>
      </c>
      <c r="M172" s="99" t="s">
        <v>56</v>
      </c>
      <c r="N172" s="99" t="str">
        <f t="shared" si="21"/>
        <v>33.FURGON-15H</v>
      </c>
      <c r="O172" s="302"/>
    </row>
    <row r="173" spans="6:15" s="99" customFormat="1" x14ac:dyDescent="0.2">
      <c r="F173" s="99" t="s">
        <v>135</v>
      </c>
      <c r="G173" s="99" t="s">
        <v>142</v>
      </c>
      <c r="H173" s="99" t="s">
        <v>397</v>
      </c>
      <c r="I173" s="100">
        <v>827118</v>
      </c>
      <c r="J173" s="100" t="s">
        <v>66</v>
      </c>
      <c r="K173" s="101">
        <v>0</v>
      </c>
      <c r="L173" s="99" t="s">
        <v>137</v>
      </c>
      <c r="M173" s="99" t="s">
        <v>56</v>
      </c>
      <c r="N173" s="99" t="str">
        <f t="shared" si="21"/>
        <v>34.FURGON-9H</v>
      </c>
      <c r="O173" s="302"/>
    </row>
    <row r="174" spans="6:15" s="99" customFormat="1" x14ac:dyDescent="0.2">
      <c r="F174" s="99" t="s">
        <v>135</v>
      </c>
      <c r="G174" s="99" t="s">
        <v>145</v>
      </c>
      <c r="H174" s="99" t="s">
        <v>398</v>
      </c>
      <c r="I174" s="100">
        <v>728949</v>
      </c>
      <c r="J174" s="100" t="s">
        <v>66</v>
      </c>
      <c r="K174" s="101">
        <v>0</v>
      </c>
      <c r="L174" s="99" t="s">
        <v>137</v>
      </c>
      <c r="M174" s="99" t="s">
        <v>56</v>
      </c>
      <c r="N174" s="99" t="str">
        <f t="shared" si="21"/>
        <v>35.FURGON-9H</v>
      </c>
      <c r="O174" s="302"/>
    </row>
    <row r="175" spans="6:15" s="99" customFormat="1" x14ac:dyDescent="0.2">
      <c r="F175" s="99" t="s">
        <v>135</v>
      </c>
      <c r="G175" s="99" t="s">
        <v>148</v>
      </c>
      <c r="H175" s="99" t="s">
        <v>399</v>
      </c>
      <c r="I175" s="100">
        <v>481858</v>
      </c>
      <c r="J175" s="100" t="s">
        <v>66</v>
      </c>
      <c r="K175" s="101">
        <v>0</v>
      </c>
      <c r="L175" s="99" t="s">
        <v>137</v>
      </c>
      <c r="M175" s="99" t="s">
        <v>56</v>
      </c>
      <c r="N175" s="99" t="str">
        <f t="shared" si="21"/>
        <v>36.FURGON-9H</v>
      </c>
      <c r="O175" s="302"/>
    </row>
    <row r="176" spans="6:15" s="99" customFormat="1" x14ac:dyDescent="0.2">
      <c r="F176" s="99" t="s">
        <v>138</v>
      </c>
      <c r="G176" s="99" t="s">
        <v>151</v>
      </c>
      <c r="H176" s="99" t="s">
        <v>400</v>
      </c>
      <c r="I176" s="100">
        <v>554324</v>
      </c>
      <c r="J176" s="100" t="s">
        <v>77</v>
      </c>
      <c r="K176" s="101">
        <v>0</v>
      </c>
      <c r="L176" s="99" t="s">
        <v>140</v>
      </c>
      <c r="M176" s="99" t="s">
        <v>56</v>
      </c>
      <c r="N176" s="99" t="str">
        <f t="shared" si="21"/>
        <v>37.FURGON-4H</v>
      </c>
      <c r="O176" s="302"/>
    </row>
    <row r="177" spans="6:15" s="99" customFormat="1" x14ac:dyDescent="0.2">
      <c r="F177" s="99" t="s">
        <v>138</v>
      </c>
      <c r="G177" s="99" t="s">
        <v>154</v>
      </c>
      <c r="H177" s="99" t="s">
        <v>401</v>
      </c>
      <c r="I177" s="100">
        <v>576161</v>
      </c>
      <c r="J177" s="100" t="s">
        <v>77</v>
      </c>
      <c r="K177" s="101">
        <v>0</v>
      </c>
      <c r="L177" s="99" t="s">
        <v>140</v>
      </c>
      <c r="M177" s="99" t="s">
        <v>56</v>
      </c>
      <c r="N177" s="99" t="str">
        <f t="shared" si="21"/>
        <v>38.FURGON-4H</v>
      </c>
      <c r="O177" s="302"/>
    </row>
    <row r="178" spans="6:15" s="99" customFormat="1" x14ac:dyDescent="0.2">
      <c r="F178" s="99" t="s">
        <v>138</v>
      </c>
      <c r="G178" s="99" t="s">
        <v>158</v>
      </c>
      <c r="H178" s="99" t="s">
        <v>402</v>
      </c>
      <c r="I178" s="100">
        <v>345698</v>
      </c>
      <c r="J178" s="100" t="s">
        <v>77</v>
      </c>
      <c r="K178" s="101">
        <v>0</v>
      </c>
      <c r="L178" s="99" t="s">
        <v>140</v>
      </c>
      <c r="M178" s="99" t="s">
        <v>56</v>
      </c>
      <c r="N178" s="99" t="str">
        <f t="shared" si="21"/>
        <v>39.FURGON-4H</v>
      </c>
      <c r="O178" s="302"/>
    </row>
    <row r="179" spans="6:15" s="99" customFormat="1" x14ac:dyDescent="0.2">
      <c r="F179" s="99" t="s">
        <v>141</v>
      </c>
      <c r="G179" s="99" t="s">
        <v>161</v>
      </c>
      <c r="H179" s="99" t="s">
        <v>403</v>
      </c>
      <c r="I179" s="100">
        <v>1128712</v>
      </c>
      <c r="J179" s="100" t="s">
        <v>54</v>
      </c>
      <c r="K179" s="101">
        <v>0</v>
      </c>
      <c r="L179" s="99" t="s">
        <v>143</v>
      </c>
      <c r="M179" s="99" t="s">
        <v>56</v>
      </c>
      <c r="N179" s="99" t="str">
        <f t="shared" si="21"/>
        <v>40.4X4-15H</v>
      </c>
      <c r="O179" s="302"/>
    </row>
    <row r="180" spans="6:15" s="99" customFormat="1" x14ac:dyDescent="0.2">
      <c r="F180" s="99" t="s">
        <v>144</v>
      </c>
      <c r="G180" s="99" t="s">
        <v>163</v>
      </c>
      <c r="H180" s="99" t="s">
        <v>404</v>
      </c>
      <c r="I180" s="100">
        <v>787237</v>
      </c>
      <c r="J180" s="100" t="s">
        <v>66</v>
      </c>
      <c r="K180" s="101">
        <v>0</v>
      </c>
      <c r="L180" s="99" t="s">
        <v>146</v>
      </c>
      <c r="M180" s="99" t="s">
        <v>56</v>
      </c>
      <c r="N180" s="99" t="str">
        <f t="shared" si="21"/>
        <v>41.4X4-9H</v>
      </c>
      <c r="O180" s="302"/>
    </row>
    <row r="181" spans="6:15" s="99" customFormat="1" x14ac:dyDescent="0.2">
      <c r="F181" s="99" t="s">
        <v>147</v>
      </c>
      <c r="G181" s="99" t="s">
        <v>164</v>
      </c>
      <c r="H181" s="99" t="s">
        <v>405</v>
      </c>
      <c r="I181" s="100">
        <v>529232</v>
      </c>
      <c r="J181" s="100" t="s">
        <v>77</v>
      </c>
      <c r="K181" s="101">
        <v>0</v>
      </c>
      <c r="L181" s="99" t="s">
        <v>149</v>
      </c>
      <c r="M181" s="99" t="s">
        <v>56</v>
      </c>
      <c r="N181" s="99" t="str">
        <f t="shared" si="21"/>
        <v>42.4X4-4H</v>
      </c>
      <c r="O181" s="302"/>
    </row>
    <row r="182" spans="6:15" s="99" customFormat="1" x14ac:dyDescent="0.2">
      <c r="F182" s="99" t="s">
        <v>150</v>
      </c>
      <c r="G182" s="99" t="s">
        <v>165</v>
      </c>
      <c r="H182" s="99" t="s">
        <v>406</v>
      </c>
      <c r="I182" s="100">
        <v>939250</v>
      </c>
      <c r="J182" s="100" t="s">
        <v>54</v>
      </c>
      <c r="K182" s="101">
        <v>0</v>
      </c>
      <c r="L182" s="99" t="s">
        <v>152</v>
      </c>
      <c r="M182" s="99" t="s">
        <v>56</v>
      </c>
      <c r="N182" s="99" t="str">
        <f t="shared" si="21"/>
        <v>43.MONTACARGA-15H</v>
      </c>
      <c r="O182" s="302"/>
    </row>
    <row r="183" spans="6:15" s="99" customFormat="1" x14ac:dyDescent="0.2">
      <c r="F183" s="99" t="s">
        <v>153</v>
      </c>
      <c r="G183" s="99" t="s">
        <v>166</v>
      </c>
      <c r="H183" s="99" t="s">
        <v>407</v>
      </c>
      <c r="I183" s="100">
        <v>254150</v>
      </c>
      <c r="J183" s="100" t="s">
        <v>155</v>
      </c>
      <c r="K183" s="101">
        <v>0</v>
      </c>
      <c r="L183" s="99" t="s">
        <v>156</v>
      </c>
      <c r="M183" s="99" t="s">
        <v>56</v>
      </c>
      <c r="N183" s="99" t="str">
        <f t="shared" si="21"/>
        <v>44.MONTACARGA-1H</v>
      </c>
      <c r="O183" s="302"/>
    </row>
    <row r="184" spans="6:15" s="99" customFormat="1" x14ac:dyDescent="0.2">
      <c r="F184" s="99" t="s">
        <v>157</v>
      </c>
      <c r="G184" s="99" t="s">
        <v>167</v>
      </c>
      <c r="H184" s="99" t="s">
        <v>408</v>
      </c>
      <c r="I184" s="100">
        <v>861900</v>
      </c>
      <c r="J184" s="100" t="s">
        <v>54</v>
      </c>
      <c r="K184" s="101">
        <v>0</v>
      </c>
      <c r="L184" s="99" t="s">
        <v>159</v>
      </c>
      <c r="M184" s="99" t="s">
        <v>56</v>
      </c>
      <c r="N184" s="99" t="str">
        <f t="shared" si="21"/>
        <v>45.GRUA-15H-</v>
      </c>
      <c r="O184" s="302"/>
    </row>
    <row r="185" spans="6:15" s="99" customFormat="1" x14ac:dyDescent="0.2">
      <c r="F185" s="99" t="s">
        <v>160</v>
      </c>
      <c r="G185" s="99" t="s">
        <v>168</v>
      </c>
      <c r="H185" s="99" t="s">
        <v>409</v>
      </c>
      <c r="I185" s="100">
        <v>243100</v>
      </c>
      <c r="J185" s="100" t="s">
        <v>155</v>
      </c>
      <c r="K185" s="101">
        <v>0</v>
      </c>
      <c r="L185" s="99" t="s">
        <v>162</v>
      </c>
      <c r="M185" s="99" t="s">
        <v>56</v>
      </c>
      <c r="N185" s="99" t="str">
        <f t="shared" si="21"/>
        <v>46.GRUA-1H</v>
      </c>
      <c r="O185" s="302"/>
    </row>
    <row r="186" spans="6:15" x14ac:dyDescent="0.2">
      <c r="F186" s="99" t="s">
        <v>245</v>
      </c>
      <c r="G186" s="99" t="s">
        <v>258</v>
      </c>
      <c r="H186" s="99" t="s">
        <v>410</v>
      </c>
      <c r="I186" s="100">
        <v>283331</v>
      </c>
      <c r="J186" s="100" t="s">
        <v>155</v>
      </c>
      <c r="K186" s="101">
        <v>0</v>
      </c>
      <c r="L186" s="99" t="s">
        <v>246</v>
      </c>
      <c r="M186" s="99" t="s">
        <v>56</v>
      </c>
      <c r="N186" s="99" t="str">
        <f t="shared" si="21"/>
        <v>47.OPERARIO-15-H</v>
      </c>
    </row>
    <row r="187" spans="6:15" x14ac:dyDescent="0.2">
      <c r="F187" s="99" t="s">
        <v>247</v>
      </c>
      <c r="G187" s="99" t="s">
        <v>259</v>
      </c>
      <c r="H187" s="99" t="s">
        <v>411</v>
      </c>
      <c r="I187" s="100">
        <v>221732</v>
      </c>
      <c r="J187" s="100" t="s">
        <v>66</v>
      </c>
      <c r="K187" s="101">
        <v>0</v>
      </c>
      <c r="L187" s="99" t="s">
        <v>248</v>
      </c>
      <c r="M187" s="99" t="s">
        <v>56</v>
      </c>
      <c r="N187" s="99" t="str">
        <f t="shared" si="21"/>
        <v>48.OPERARIO-9-H</v>
      </c>
    </row>
    <row r="188" spans="6:15" x14ac:dyDescent="0.2">
      <c r="F188" s="99" t="s">
        <v>249</v>
      </c>
      <c r="G188" s="99" t="s">
        <v>260</v>
      </c>
      <c r="H188" s="99" t="s">
        <v>412</v>
      </c>
      <c r="I188" s="100">
        <v>160134</v>
      </c>
      <c r="J188" s="99" t="s">
        <v>77</v>
      </c>
      <c r="K188" s="99"/>
      <c r="L188" s="99" t="s">
        <v>250</v>
      </c>
      <c r="M188" s="99" t="s">
        <v>56</v>
      </c>
      <c r="N188" s="99" t="str">
        <f t="shared" si="21"/>
        <v>49.OPERARIO-4-H</v>
      </c>
    </row>
    <row r="189" spans="6:15" x14ac:dyDescent="0.2">
      <c r="F189" s="99" t="s">
        <v>251</v>
      </c>
      <c r="G189" s="99" t="s">
        <v>261</v>
      </c>
      <c r="H189" s="99" t="s">
        <v>413</v>
      </c>
      <c r="I189" s="100">
        <v>477011</v>
      </c>
      <c r="J189" s="99" t="s">
        <v>54</v>
      </c>
      <c r="K189" s="99"/>
      <c r="L189" s="99" t="s">
        <v>253</v>
      </c>
      <c r="M189" s="99" t="s">
        <v>56</v>
      </c>
      <c r="N189" s="99" t="str">
        <f t="shared" si="21"/>
        <v>50.COORDINADOR X DIA</v>
      </c>
    </row>
    <row r="190" spans="6:15" x14ac:dyDescent="0.2">
      <c r="F190" s="99" t="s">
        <v>252</v>
      </c>
      <c r="G190" s="99" t="s">
        <v>270</v>
      </c>
      <c r="H190" s="99" t="s">
        <v>414</v>
      </c>
      <c r="I190" s="100">
        <v>1370200</v>
      </c>
      <c r="J190" s="99" t="s">
        <v>54</v>
      </c>
      <c r="K190" s="99">
        <v>4</v>
      </c>
      <c r="L190" s="99" t="s">
        <v>254</v>
      </c>
      <c r="M190" s="99" t="s">
        <v>56</v>
      </c>
      <c r="N190" s="99" t="str">
        <f t="shared" si="21"/>
        <v>51.BOGOTA SUMAPAZ 40/50m³ 15H-4OP</v>
      </c>
    </row>
    <row r="191" spans="6:15" x14ac:dyDescent="0.2">
      <c r="F191" s="99" t="s">
        <v>256</v>
      </c>
      <c r="G191" s="99" t="s">
        <v>273</v>
      </c>
      <c r="H191" s="99" t="s">
        <v>415</v>
      </c>
      <c r="I191" s="100">
        <v>1259700</v>
      </c>
      <c r="J191" s="99" t="s">
        <v>54</v>
      </c>
      <c r="K191" s="99">
        <v>4</v>
      </c>
      <c r="L191" s="99" t="s">
        <v>255</v>
      </c>
      <c r="M191" s="99" t="s">
        <v>56</v>
      </c>
      <c r="N191" s="99" t="str">
        <f>+CONCATENATE(G191,F191)</f>
        <v>52.BOGOTA FUNZA 40/50m³ 15H-4OP</v>
      </c>
    </row>
    <row r="192" spans="6:15" x14ac:dyDescent="0.2">
      <c r="F192" s="99" t="s">
        <v>257</v>
      </c>
      <c r="G192" s="99" t="s">
        <v>276</v>
      </c>
      <c r="H192" s="99" t="s">
        <v>416</v>
      </c>
      <c r="I192" s="100">
        <v>1266330</v>
      </c>
      <c r="J192" s="100" t="s">
        <v>54</v>
      </c>
      <c r="K192" s="99">
        <v>4</v>
      </c>
      <c r="L192" s="99" t="s">
        <v>262</v>
      </c>
      <c r="M192" s="99" t="s">
        <v>56</v>
      </c>
      <c r="N192" s="99" t="str">
        <f t="shared" si="21"/>
        <v>53.BOGOTA COTA 40/50m³ 15H-4OP</v>
      </c>
    </row>
    <row r="193" spans="6:14" x14ac:dyDescent="0.2">
      <c r="F193" s="99" t="s">
        <v>263</v>
      </c>
      <c r="G193" s="99" t="s">
        <v>279</v>
      </c>
      <c r="H193" s="99" t="s">
        <v>417</v>
      </c>
      <c r="I193" s="100">
        <v>1450865</v>
      </c>
      <c r="J193" s="100" t="s">
        <v>54</v>
      </c>
      <c r="K193" s="99">
        <v>4</v>
      </c>
      <c r="L193" s="99" t="s">
        <v>264</v>
      </c>
      <c r="M193" s="99" t="s">
        <v>56</v>
      </c>
      <c r="N193" s="99" t="str">
        <f t="shared" si="21"/>
        <v>54.BOGOTA FUSA 40/50m³ 15H-4OP</v>
      </c>
    </row>
    <row r="194" spans="6:14" x14ac:dyDescent="0.2">
      <c r="F194" s="99" t="s">
        <v>265</v>
      </c>
      <c r="G194" s="287" t="s">
        <v>281</v>
      </c>
      <c r="H194" s="99" t="s">
        <v>418</v>
      </c>
      <c r="I194" s="100">
        <v>1328210</v>
      </c>
      <c r="J194" s="100" t="s">
        <v>54</v>
      </c>
      <c r="K194" s="99">
        <v>4</v>
      </c>
      <c r="L194" s="99" t="s">
        <v>266</v>
      </c>
      <c r="M194" s="99" t="s">
        <v>56</v>
      </c>
      <c r="N194" s="99" t="str">
        <f t="shared" si="21"/>
        <v>55.BOGOTA SOACHA 40/50m³ 15H-4OP</v>
      </c>
    </row>
    <row r="195" spans="6:14" x14ac:dyDescent="0.2">
      <c r="F195" s="99" t="s">
        <v>267</v>
      </c>
      <c r="G195" s="99" t="s">
        <v>283</v>
      </c>
      <c r="H195" s="99" t="s">
        <v>419</v>
      </c>
      <c r="I195" s="100">
        <v>933725</v>
      </c>
      <c r="J195" s="100" t="s">
        <v>66</v>
      </c>
      <c r="K195" s="99">
        <v>3</v>
      </c>
      <c r="L195" s="99" t="s">
        <v>268</v>
      </c>
      <c r="M195" s="99" t="s">
        <v>56</v>
      </c>
      <c r="N195" s="99" t="str">
        <f t="shared" si="21"/>
        <v>56.BOGOTA SOACHA 40/50m³ 9H-4OP</v>
      </c>
    </row>
    <row r="196" spans="6:14" x14ac:dyDescent="0.2">
      <c r="F196" s="99" t="s">
        <v>269</v>
      </c>
      <c r="G196" s="99" t="s">
        <v>287</v>
      </c>
      <c r="H196" s="99" t="s">
        <v>420</v>
      </c>
      <c r="I196" s="100">
        <v>1102790</v>
      </c>
      <c r="J196" s="100" t="s">
        <v>54</v>
      </c>
      <c r="K196" s="99">
        <v>4</v>
      </c>
      <c r="L196" s="99" t="s">
        <v>271</v>
      </c>
      <c r="M196" s="99" t="s">
        <v>56</v>
      </c>
      <c r="N196" s="99" t="str">
        <f t="shared" si="21"/>
        <v>57.BOGOTA SUMAPAZ 25m³ 15H-4OP</v>
      </c>
    </row>
    <row r="197" spans="6:14" x14ac:dyDescent="0.2">
      <c r="F197" s="99" t="s">
        <v>272</v>
      </c>
      <c r="G197" s="99" t="s">
        <v>288</v>
      </c>
      <c r="H197" s="99" t="s">
        <v>421</v>
      </c>
      <c r="I197" s="100">
        <v>877370</v>
      </c>
      <c r="J197" s="100" t="s">
        <v>54</v>
      </c>
      <c r="K197" s="99">
        <v>4</v>
      </c>
      <c r="L197" s="99" t="s">
        <v>274</v>
      </c>
      <c r="M197" s="99" t="s">
        <v>56</v>
      </c>
      <c r="N197" s="99" t="str">
        <f t="shared" si="21"/>
        <v>58.BOGOTA FUNZA 25m³ 15H-4OP</v>
      </c>
    </row>
    <row r="198" spans="6:14" x14ac:dyDescent="0.2">
      <c r="F198" s="99" t="s">
        <v>275</v>
      </c>
      <c r="G198" s="99" t="s">
        <v>289</v>
      </c>
      <c r="H198" s="99" t="s">
        <v>422</v>
      </c>
      <c r="I198" s="100">
        <v>876265</v>
      </c>
      <c r="J198" s="100" t="s">
        <v>54</v>
      </c>
      <c r="K198" s="99">
        <v>4</v>
      </c>
      <c r="L198" s="99" t="s">
        <v>277</v>
      </c>
      <c r="M198" s="99" t="s">
        <v>56</v>
      </c>
      <c r="N198" s="99" t="str">
        <f t="shared" si="21"/>
        <v>59.BOGOTA COTA 25m³ 15H-4OP</v>
      </c>
    </row>
    <row r="199" spans="6:14" x14ac:dyDescent="0.2">
      <c r="F199" s="99" t="s">
        <v>278</v>
      </c>
      <c r="G199" s="99" t="s">
        <v>290</v>
      </c>
      <c r="H199" s="99" t="s">
        <v>423</v>
      </c>
      <c r="I199" s="100">
        <v>839800</v>
      </c>
      <c r="J199" s="100" t="s">
        <v>54</v>
      </c>
      <c r="K199" s="99">
        <v>4</v>
      </c>
      <c r="L199" s="99" t="s">
        <v>284</v>
      </c>
      <c r="M199" s="99" t="s">
        <v>56</v>
      </c>
      <c r="N199" s="99" t="str">
        <f t="shared" si="21"/>
        <v>60.BOGOTA FUSA 25m³ 15H-4OP</v>
      </c>
    </row>
    <row r="200" spans="6:14" x14ac:dyDescent="0.2">
      <c r="F200" s="99" t="s">
        <v>280</v>
      </c>
      <c r="G200" s="99" t="s">
        <v>291</v>
      </c>
      <c r="H200" s="99" t="s">
        <v>424</v>
      </c>
      <c r="I200" s="100">
        <v>1014390</v>
      </c>
      <c r="J200" s="100" t="s">
        <v>54</v>
      </c>
      <c r="K200" s="99">
        <v>4</v>
      </c>
      <c r="L200" s="99" t="s">
        <v>285</v>
      </c>
      <c r="M200" s="99" t="s">
        <v>56</v>
      </c>
      <c r="N200" s="99" t="str">
        <f t="shared" si="21"/>
        <v>61.BOGOTA SOACHA 25m³ 15H-4OP</v>
      </c>
    </row>
    <row r="201" spans="6:14" x14ac:dyDescent="0.2">
      <c r="F201" s="99" t="s">
        <v>282</v>
      </c>
      <c r="G201" s="99" t="s">
        <v>292</v>
      </c>
      <c r="H201" s="99" t="s">
        <v>425</v>
      </c>
      <c r="I201" s="100">
        <v>822120</v>
      </c>
      <c r="J201" s="100" t="s">
        <v>66</v>
      </c>
      <c r="K201" s="99">
        <v>4</v>
      </c>
      <c r="L201" s="99" t="s">
        <v>286</v>
      </c>
      <c r="M201" s="99" t="s">
        <v>56</v>
      </c>
      <c r="N201" s="99" t="str">
        <f t="shared" si="21"/>
        <v>62.BOGOTA SOACHA 25m³ 9H-4OP</v>
      </c>
    </row>
    <row r="202" spans="6:14" x14ac:dyDescent="0.2">
      <c r="F202" s="99" t="s">
        <v>293</v>
      </c>
      <c r="G202" s="99" t="s">
        <v>300</v>
      </c>
      <c r="H202" s="99" t="s">
        <v>426</v>
      </c>
      <c r="I202" s="100">
        <v>751400</v>
      </c>
      <c r="J202" s="100" t="s">
        <v>54</v>
      </c>
      <c r="L202" s="99" t="s">
        <v>329</v>
      </c>
      <c r="M202" s="99" t="s">
        <v>56</v>
      </c>
      <c r="N202" s="99" t="str">
        <f t="shared" si="21"/>
        <v>63.BOGOTA SUMAPAZ FURGONADA-15H</v>
      </c>
    </row>
    <row r="203" spans="6:14" x14ac:dyDescent="0.2">
      <c r="F203" s="99" t="s">
        <v>294</v>
      </c>
      <c r="G203" s="99" t="s">
        <v>302</v>
      </c>
      <c r="H203" s="99" t="s">
        <v>427</v>
      </c>
      <c r="I203" s="100">
        <v>552500</v>
      </c>
      <c r="J203" s="100" t="s">
        <v>54</v>
      </c>
      <c r="L203" s="99" t="s">
        <v>330</v>
      </c>
      <c r="M203" s="99" t="s">
        <v>56</v>
      </c>
      <c r="N203" s="99" t="str">
        <f t="shared" si="21"/>
        <v>64.BOGOTA FUNZA FURGONADA-15H</v>
      </c>
    </row>
    <row r="204" spans="6:14" x14ac:dyDescent="0.2">
      <c r="F204" s="99" t="s">
        <v>295</v>
      </c>
      <c r="G204" s="99" t="s">
        <v>304</v>
      </c>
      <c r="H204" s="99" t="s">
        <v>428</v>
      </c>
      <c r="I204" s="100">
        <v>524875</v>
      </c>
      <c r="J204" s="100" t="s">
        <v>54</v>
      </c>
      <c r="L204" s="99" t="s">
        <v>331</v>
      </c>
      <c r="M204" s="99" t="s">
        <v>56</v>
      </c>
      <c r="N204" s="99" t="str">
        <f t="shared" si="21"/>
        <v>65.BOGOTA COTA FURGONADA-15H</v>
      </c>
    </row>
    <row r="205" spans="6:14" x14ac:dyDescent="0.2">
      <c r="F205" s="99" t="s">
        <v>296</v>
      </c>
      <c r="G205" s="99" t="s">
        <v>306</v>
      </c>
      <c r="H205" s="99" t="s">
        <v>429</v>
      </c>
      <c r="I205" s="100">
        <v>524875</v>
      </c>
      <c r="J205" s="100" t="s">
        <v>54</v>
      </c>
      <c r="L205" s="99" t="s">
        <v>332</v>
      </c>
      <c r="M205" s="99" t="s">
        <v>56</v>
      </c>
      <c r="N205" s="99" t="str">
        <f t="shared" si="21"/>
        <v>66.BOGOTA FUSA FURGONADA-15H</v>
      </c>
    </row>
    <row r="206" spans="6:14" x14ac:dyDescent="0.2">
      <c r="F206" s="99" t="s">
        <v>297</v>
      </c>
      <c r="G206" s="99" t="s">
        <v>308</v>
      </c>
      <c r="H206" s="99" t="s">
        <v>430</v>
      </c>
      <c r="I206" s="100">
        <v>585650</v>
      </c>
      <c r="J206" s="100" t="s">
        <v>54</v>
      </c>
      <c r="L206" s="99" t="s">
        <v>333</v>
      </c>
      <c r="M206" s="3" t="s">
        <v>56</v>
      </c>
      <c r="N206" s="99" t="str">
        <f t="shared" si="21"/>
        <v>67.BOGOTA SOACHA FURGONADA-15H</v>
      </c>
    </row>
    <row r="207" spans="6:14" x14ac:dyDescent="0.2">
      <c r="F207" s="99" t="s">
        <v>298</v>
      </c>
      <c r="G207" s="99" t="s">
        <v>310</v>
      </c>
      <c r="H207" s="99" t="s">
        <v>431</v>
      </c>
      <c r="I207" s="100">
        <v>530400</v>
      </c>
      <c r="J207" s="100" t="s">
        <v>54</v>
      </c>
      <c r="L207" s="99" t="s">
        <v>334</v>
      </c>
      <c r="M207" s="99" t="s">
        <v>56</v>
      </c>
      <c r="N207" s="99" t="str">
        <f t="shared" si="21"/>
        <v>68.BOGOTA SOACHA FURGONADA-09H</v>
      </c>
    </row>
    <row r="208" spans="6:14" x14ac:dyDescent="0.2">
      <c r="F208" s="99" t="s">
        <v>299</v>
      </c>
      <c r="G208" s="99" t="s">
        <v>313</v>
      </c>
      <c r="H208" s="99" t="s">
        <v>432</v>
      </c>
      <c r="I208" s="100">
        <v>795600</v>
      </c>
      <c r="J208" s="100" t="s">
        <v>54</v>
      </c>
      <c r="L208" s="99" t="s">
        <v>335</v>
      </c>
      <c r="M208" s="99" t="s">
        <v>56</v>
      </c>
      <c r="N208" s="99" t="str">
        <f t="shared" si="21"/>
        <v>69.BOGOTA SUMAPAPAZ 4X4 15H</v>
      </c>
    </row>
    <row r="209" spans="6:14" x14ac:dyDescent="0.2">
      <c r="F209" s="99" t="s">
        <v>301</v>
      </c>
      <c r="G209" s="99" t="s">
        <v>321</v>
      </c>
      <c r="H209" s="99" t="s">
        <v>433</v>
      </c>
      <c r="I209" s="100">
        <v>591175</v>
      </c>
      <c r="J209" s="100" t="s">
        <v>54</v>
      </c>
      <c r="L209" s="99" t="s">
        <v>336</v>
      </c>
      <c r="M209" s="99" t="s">
        <v>56</v>
      </c>
      <c r="N209" s="99" t="str">
        <f t="shared" si="21"/>
        <v>70.BOGOTA FUNZA 4X4 15H</v>
      </c>
    </row>
    <row r="210" spans="6:14" x14ac:dyDescent="0.2">
      <c r="F210" s="99" t="s">
        <v>303</v>
      </c>
      <c r="G210" s="99" t="s">
        <v>322</v>
      </c>
      <c r="H210" s="99" t="s">
        <v>434</v>
      </c>
      <c r="I210" s="100">
        <v>585650</v>
      </c>
      <c r="J210" s="100" t="s">
        <v>54</v>
      </c>
      <c r="L210" s="99" t="s">
        <v>337</v>
      </c>
      <c r="M210" s="99" t="s">
        <v>56</v>
      </c>
      <c r="N210" s="99" t="str">
        <f t="shared" si="21"/>
        <v>71.BOGOTA COTA 4X4 15H</v>
      </c>
    </row>
    <row r="211" spans="6:14" x14ac:dyDescent="0.2">
      <c r="F211" s="99" t="s">
        <v>305</v>
      </c>
      <c r="G211" s="99" t="s">
        <v>323</v>
      </c>
      <c r="H211" s="99" t="s">
        <v>435</v>
      </c>
      <c r="I211" s="100">
        <v>585650</v>
      </c>
      <c r="J211" s="100" t="s">
        <v>54</v>
      </c>
      <c r="L211" s="99" t="s">
        <v>338</v>
      </c>
      <c r="M211" s="99" t="s">
        <v>56</v>
      </c>
      <c r="N211" s="99" t="str">
        <f t="shared" si="21"/>
        <v>72.BOGOTA FUSA 4X4 15H</v>
      </c>
    </row>
    <row r="212" spans="6:14" x14ac:dyDescent="0.2">
      <c r="F212" s="99" t="s">
        <v>307</v>
      </c>
      <c r="G212" s="99" t="s">
        <v>324</v>
      </c>
      <c r="H212" s="99" t="s">
        <v>436</v>
      </c>
      <c r="I212" s="100">
        <v>607750</v>
      </c>
      <c r="J212" s="100" t="s">
        <v>54</v>
      </c>
      <c r="L212" s="99" t="s">
        <v>339</v>
      </c>
      <c r="M212" s="99" t="s">
        <v>56</v>
      </c>
      <c r="N212" s="99" t="str">
        <f t="shared" si="21"/>
        <v>73.BOGOTA SOACHA 4X4 15H</v>
      </c>
    </row>
    <row r="213" spans="6:14" x14ac:dyDescent="0.2">
      <c r="F213" s="99" t="s">
        <v>309</v>
      </c>
      <c r="G213" s="99" t="s">
        <v>325</v>
      </c>
      <c r="H213" s="99" t="s">
        <v>437</v>
      </c>
      <c r="I213" s="100">
        <v>640900</v>
      </c>
      <c r="J213" s="100" t="s">
        <v>54</v>
      </c>
      <c r="L213" s="99" t="s">
        <v>340</v>
      </c>
      <c r="M213" s="99" t="s">
        <v>56</v>
      </c>
      <c r="N213" s="99" t="str">
        <f t="shared" si="21"/>
        <v>74.BOGOTA SOACHA 4X4 09H</v>
      </c>
    </row>
    <row r="214" spans="6:14" x14ac:dyDescent="0.2">
      <c r="F214" s="99" t="s">
        <v>312</v>
      </c>
      <c r="G214" s="99" t="s">
        <v>326</v>
      </c>
      <c r="H214" s="99" t="s">
        <v>438</v>
      </c>
      <c r="I214" s="100">
        <v>1536000</v>
      </c>
      <c r="J214" s="100" t="s">
        <v>54</v>
      </c>
      <c r="L214" s="99" t="s">
        <v>341</v>
      </c>
      <c r="M214" s="99" t="s">
        <v>56</v>
      </c>
      <c r="N214" s="99" t="str">
        <f t="shared" si="21"/>
        <v xml:space="preserve">75.6 OPERARIOS-15-H </v>
      </c>
    </row>
    <row r="215" spans="6:14" x14ac:dyDescent="0.2">
      <c r="F215" s="99" t="s">
        <v>314</v>
      </c>
      <c r="G215" s="99" t="s">
        <v>327</v>
      </c>
      <c r="H215" s="99" t="s">
        <v>439</v>
      </c>
      <c r="I215" s="100">
        <v>2051264</v>
      </c>
      <c r="J215" s="100" t="s">
        <v>54</v>
      </c>
      <c r="L215" s="99" t="s">
        <v>342</v>
      </c>
      <c r="M215" s="99" t="s">
        <v>56</v>
      </c>
      <c r="N215" s="99" t="str">
        <f t="shared" si="21"/>
        <v xml:space="preserve">76.8 OPERARIOS-15-H </v>
      </c>
    </row>
    <row r="216" spans="6:14" x14ac:dyDescent="0.2">
      <c r="F216" s="99" t="s">
        <v>315</v>
      </c>
      <c r="G216" s="99" t="s">
        <v>328</v>
      </c>
      <c r="H216" s="99" t="s">
        <v>440</v>
      </c>
      <c r="I216" s="100">
        <v>2564080</v>
      </c>
      <c r="J216" s="100" t="s">
        <v>54</v>
      </c>
      <c r="L216" s="99" t="s">
        <v>343</v>
      </c>
      <c r="M216" s="99" t="s">
        <v>56</v>
      </c>
      <c r="N216" s="99" t="str">
        <f t="shared" si="21"/>
        <v xml:space="preserve">77.10 OPERARIOS-15-H </v>
      </c>
    </row>
    <row r="217" spans="6:14" x14ac:dyDescent="0.2">
      <c r="F217" s="99" t="s">
        <v>316</v>
      </c>
      <c r="G217" s="99" t="s">
        <v>441</v>
      </c>
      <c r="H217" s="99" t="s">
        <v>442</v>
      </c>
      <c r="I217" s="100">
        <v>1203972</v>
      </c>
      <c r="J217" s="100" t="s">
        <v>66</v>
      </c>
      <c r="L217" s="99" t="s">
        <v>344</v>
      </c>
      <c r="M217" s="99" t="s">
        <v>56</v>
      </c>
      <c r="N217" s="99" t="str">
        <f t="shared" ref="N217:N221" si="22">+CONCATENATE(G217,F217)</f>
        <v xml:space="preserve">78.6 OPERARIOS-09-H </v>
      </c>
    </row>
    <row r="218" spans="6:14" x14ac:dyDescent="0.2">
      <c r="F218" s="99" t="s">
        <v>317</v>
      </c>
      <c r="G218" s="99" t="s">
        <v>443</v>
      </c>
      <c r="H218" s="99" t="s">
        <v>444</v>
      </c>
      <c r="I218" s="100">
        <v>1605296</v>
      </c>
      <c r="J218" s="100" t="s">
        <v>66</v>
      </c>
      <c r="L218" s="99" t="s">
        <v>345</v>
      </c>
      <c r="M218" s="99" t="s">
        <v>56</v>
      </c>
      <c r="N218" s="99" t="str">
        <f t="shared" si="22"/>
        <v xml:space="preserve">79.8 OPERARIOS-09-H </v>
      </c>
    </row>
    <row r="219" spans="6:14" x14ac:dyDescent="0.2">
      <c r="F219" s="99" t="s">
        <v>318</v>
      </c>
      <c r="G219" s="99" t="s">
        <v>445</v>
      </c>
      <c r="H219" s="99" t="s">
        <v>446</v>
      </c>
      <c r="I219" s="100">
        <v>2006620</v>
      </c>
      <c r="J219" s="294" t="s">
        <v>66</v>
      </c>
      <c r="L219" s="99" t="s">
        <v>346</v>
      </c>
      <c r="M219" s="99" t="s">
        <v>56</v>
      </c>
      <c r="N219" s="99" t="str">
        <f t="shared" si="22"/>
        <v xml:space="preserve">80.10 OPERARIOS-09-H </v>
      </c>
    </row>
    <row r="220" spans="6:14" x14ac:dyDescent="0.2">
      <c r="F220" s="99" t="s">
        <v>319</v>
      </c>
      <c r="G220" s="99" t="s">
        <v>447</v>
      </c>
      <c r="H220" s="99" t="s">
        <v>448</v>
      </c>
      <c r="I220" s="100">
        <v>869508</v>
      </c>
      <c r="J220" s="294" t="s">
        <v>77</v>
      </c>
      <c r="L220" s="99" t="s">
        <v>347</v>
      </c>
      <c r="M220" s="99" t="s">
        <v>56</v>
      </c>
      <c r="N220" s="99" t="str">
        <f t="shared" si="22"/>
        <v xml:space="preserve">81.6 OPERARIOS-04-H </v>
      </c>
    </row>
    <row r="221" spans="6:14" x14ac:dyDescent="0.2">
      <c r="F221" s="99" t="s">
        <v>320</v>
      </c>
      <c r="G221" s="99" t="s">
        <v>449</v>
      </c>
      <c r="H221" s="99" t="s">
        <v>450</v>
      </c>
      <c r="I221" s="100">
        <v>1159344</v>
      </c>
      <c r="J221" s="294" t="s">
        <v>77</v>
      </c>
      <c r="L221" s="99" t="s">
        <v>348</v>
      </c>
      <c r="M221" s="99" t="s">
        <v>56</v>
      </c>
      <c r="N221" s="99" t="str">
        <f t="shared" si="22"/>
        <v xml:space="preserve">82.8 OPERARIOS-04-H </v>
      </c>
    </row>
    <row r="222" spans="6:14" x14ac:dyDescent="0.2">
      <c r="F222" s="99" t="s">
        <v>349</v>
      </c>
      <c r="G222" s="99" t="s">
        <v>451</v>
      </c>
      <c r="H222" s="99" t="s">
        <v>452</v>
      </c>
      <c r="I222" s="100">
        <v>1449180</v>
      </c>
      <c r="J222" s="294" t="s">
        <v>77</v>
      </c>
      <c r="L222" s="99" t="s">
        <v>350</v>
      </c>
      <c r="M222" s="99" t="s">
        <v>56</v>
      </c>
      <c r="N222" s="99" t="str">
        <f>+CONCATENATE(G222,F222)</f>
        <v xml:space="preserve">83.10 OPERARIOS-04H-10OP </v>
      </c>
    </row>
  </sheetData>
  <sheetProtection selectLockedCells="1" selectUnlockedCells="1"/>
  <mergeCells count="20">
    <mergeCell ref="AA2:AE2"/>
    <mergeCell ref="R13:Y13"/>
    <mergeCell ref="A32:G32"/>
    <mergeCell ref="A1:G1"/>
    <mergeCell ref="A2:G2"/>
    <mergeCell ref="I2:P2"/>
    <mergeCell ref="R2:Y2"/>
    <mergeCell ref="A14:G14"/>
    <mergeCell ref="I16:P16"/>
    <mergeCell ref="R18:Y18"/>
    <mergeCell ref="A23:G23"/>
    <mergeCell ref="A24:G24"/>
    <mergeCell ref="A73:Y91"/>
    <mergeCell ref="A93:A95"/>
    <mergeCell ref="A41:G41"/>
    <mergeCell ref="A42:G42"/>
    <mergeCell ref="J46:P65"/>
    <mergeCell ref="A52:G52"/>
    <mergeCell ref="K70:L70"/>
    <mergeCell ref="A72:AE72"/>
  </mergeCells>
  <dataValidations count="3">
    <dataValidation type="list" allowBlank="1" showInputMessage="1" showErrorMessage="1" sqref="F12:F13" xr:uid="{211669D2-ECC8-7841-A8F0-F5B223D1E395}">
      <formula1>$H$140:$H$185</formula1>
    </dataValidation>
    <dataValidation type="list" allowBlank="1" showInputMessage="1" showErrorMessage="1" sqref="F31 F64 O23:O24 O10:O15" xr:uid="{D41D28AE-47FF-1148-BBA4-EAA511F98873}">
      <formula1>$H$139:$H$185</formula1>
    </dataValidation>
    <dataValidation type="list" allowBlank="1" showInputMessage="1" showErrorMessage="1" sqref="F4:F11 F16:F21 F26:F30 F34:F39 F46:F51 F54:F63 O4:O9 O18:O22 X4:X6 X15:X16 X20:X30" xr:uid="{CB39C5C3-B533-E848-8775-27F44C64D325}">
      <formula1>$H$139:$H$216</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2590DAA-53C4-F241-81CB-7E53624CA28B}">
  <sheetPr>
    <tabColor rgb="FF00B050"/>
  </sheetPr>
  <dimension ref="A1:AE225"/>
  <sheetViews>
    <sheetView view="pageBreakPreview" topLeftCell="J43" zoomScale="90" zoomScaleNormal="59" zoomScaleSheetLayoutView="90" workbookViewId="0">
      <selection activeCell="A17" sqref="A17:G17"/>
    </sheetView>
  </sheetViews>
  <sheetFormatPr baseColWidth="10" defaultColWidth="11.42578125" defaultRowHeight="12.75" x14ac:dyDescent="0.2"/>
  <cols>
    <col min="1" max="1" width="43.140625" style="3" customWidth="1"/>
    <col min="2" max="2" width="27.42578125" style="3" customWidth="1"/>
    <col min="3" max="3" width="20.85546875" style="3" customWidth="1"/>
    <col min="4" max="4" width="33.42578125" style="3" customWidth="1"/>
    <col min="5" max="5" width="28.710937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43.42578125" style="301" customWidth="1"/>
    <col min="16" max="16" width="29.28515625" style="3" customWidth="1"/>
    <col min="17" max="17" width="23.85546875" style="3" customWidth="1"/>
    <col min="18" max="18" width="18.140625" style="3" customWidth="1"/>
    <col min="19" max="19" width="35.42578125" style="3" customWidth="1"/>
    <col min="20" max="20" width="20.28515625" style="3" customWidth="1"/>
    <col min="21" max="21" width="19" style="3" customWidth="1"/>
    <col min="22" max="23" width="25.42578125" style="3" customWidth="1"/>
    <col min="24" max="24" width="42.710937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422" t="s">
        <v>0</v>
      </c>
      <c r="B1" s="422"/>
      <c r="C1" s="422"/>
      <c r="D1" s="422"/>
      <c r="E1" s="422"/>
      <c r="F1" s="422"/>
      <c r="G1" s="422"/>
      <c r="H1" s="2"/>
      <c r="I1" s="2"/>
      <c r="J1" s="2"/>
      <c r="K1" s="2"/>
      <c r="L1" s="2"/>
      <c r="M1" s="2"/>
      <c r="N1" s="2"/>
      <c r="O1" s="295"/>
      <c r="P1" s="2"/>
      <c r="Q1" s="2"/>
      <c r="R1" s="2"/>
      <c r="S1" s="2"/>
      <c r="T1" s="2"/>
      <c r="U1" s="2"/>
      <c r="V1" s="2"/>
      <c r="W1" s="2"/>
      <c r="X1" s="2"/>
      <c r="Y1" s="2"/>
    </row>
    <row r="2" spans="1:31" ht="15.75" x14ac:dyDescent="0.2">
      <c r="A2" s="422" t="s">
        <v>1</v>
      </c>
      <c r="B2" s="422"/>
      <c r="C2" s="422"/>
      <c r="D2" s="422"/>
      <c r="E2" s="422"/>
      <c r="F2" s="422"/>
      <c r="G2" s="422"/>
      <c r="H2" s="2"/>
      <c r="I2" s="423" t="s">
        <v>2</v>
      </c>
      <c r="J2" s="424"/>
      <c r="K2" s="424"/>
      <c r="L2" s="424"/>
      <c r="M2" s="424"/>
      <c r="N2" s="424"/>
      <c r="O2" s="424"/>
      <c r="P2" s="425"/>
      <c r="Q2" s="2"/>
      <c r="R2" s="418" t="s">
        <v>3</v>
      </c>
      <c r="S2" s="419"/>
      <c r="T2" s="419"/>
      <c r="U2" s="419"/>
      <c r="V2" s="419"/>
      <c r="W2" s="419"/>
      <c r="X2" s="419"/>
      <c r="Y2" s="420"/>
      <c r="AA2" s="417"/>
      <c r="AB2" s="417"/>
      <c r="AC2" s="417"/>
      <c r="AD2" s="417"/>
      <c r="AE2" s="417"/>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303" t="s">
        <v>11</v>
      </c>
      <c r="S3" s="304" t="s">
        <v>4</v>
      </c>
      <c r="T3" s="305" t="s">
        <v>5</v>
      </c>
      <c r="U3" s="305" t="s">
        <v>6</v>
      </c>
      <c r="V3" s="305" t="s">
        <v>7</v>
      </c>
      <c r="W3" s="305" t="s">
        <v>8</v>
      </c>
      <c r="X3" s="305" t="s">
        <v>9</v>
      </c>
      <c r="Y3" s="305" t="s">
        <v>10</v>
      </c>
      <c r="AA3" s="4"/>
      <c r="AB3" s="9"/>
      <c r="AC3" s="9"/>
      <c r="AD3" s="9"/>
      <c r="AE3" s="9"/>
    </row>
    <row r="4" spans="1:31" ht="31.5" x14ac:dyDescent="0.25">
      <c r="A4" s="10" t="s">
        <v>12</v>
      </c>
      <c r="B4" s="11" t="str">
        <f>+IF(F4=0,0,MID(F4,LEN(F4)-4,3))</f>
        <v xml:space="preserve">04 </v>
      </c>
      <c r="C4" s="12">
        <v>1</v>
      </c>
      <c r="D4" s="12" t="s">
        <v>229</v>
      </c>
      <c r="E4" s="13" t="str">
        <f>+IF(F4=0,0,CONCATENATE(MID(F4,FIND("-",F4,1)+1,4),"ORAS"))</f>
        <v>15 HORAS</v>
      </c>
      <c r="F4" s="14" t="s">
        <v>351</v>
      </c>
      <c r="G4" s="362">
        <f>+IF(F4="","",VLOOKUP(F4,$H$142:$I$220,2,FALSE))</f>
        <v>1955007</v>
      </c>
      <c r="H4" s="2"/>
      <c r="I4" s="15" t="s">
        <v>13</v>
      </c>
      <c r="J4" s="14" t="s">
        <v>16</v>
      </c>
      <c r="K4" s="11" t="str">
        <f>+IF(O4=0,0,MID(O4,LEN(O4)-4,3))</f>
        <v xml:space="preserve">03 </v>
      </c>
      <c r="L4" s="17">
        <v>1</v>
      </c>
      <c r="M4" s="12" t="s">
        <v>229</v>
      </c>
      <c r="N4" s="13" t="str">
        <f>+IF(O4=0,0,CONCATENATE(MID(O4,FIND("-",O4,1)+1,4),"ORAS"))</f>
        <v>15 HORAS</v>
      </c>
      <c r="O4" s="296" t="s">
        <v>394</v>
      </c>
      <c r="P4" s="362">
        <f>+IF(O4="","",VLOOKUP(O4,$H$142:$I$220,2,FALSE))</f>
        <v>1019917</v>
      </c>
      <c r="Q4" s="2"/>
      <c r="R4" s="306" t="s">
        <v>13</v>
      </c>
      <c r="S4" s="307" t="s">
        <v>14</v>
      </c>
      <c r="T4" s="308">
        <v>4</v>
      </c>
      <c r="U4" s="309">
        <v>1</v>
      </c>
      <c r="V4" s="310" t="s">
        <v>229</v>
      </c>
      <c r="W4" s="13" t="str">
        <f>+IF(X4=0,0,CONCATENATE(MID(X4,FIND("-",X4,1)+1,4),"ORAS"))</f>
        <v>15 HORAS</v>
      </c>
      <c r="X4" s="296" t="s">
        <v>367</v>
      </c>
      <c r="Y4" s="375">
        <f>+IF(X4="","",VLOOKUP(X4,$H$142:$I$220,2,FALSE))</f>
        <v>1505234</v>
      </c>
      <c r="AA4" s="20"/>
      <c r="AB4" s="21"/>
      <c r="AC4" s="21"/>
      <c r="AD4" s="22"/>
      <c r="AE4" s="23"/>
    </row>
    <row r="5" spans="1:31" ht="31.5" x14ac:dyDescent="0.25">
      <c r="A5" s="25" t="s">
        <v>382</v>
      </c>
      <c r="B5" s="11" t="str">
        <f t="shared" ref="B5:B10" si="0">+IF(F5=0,0,MID(F5,LEN(F5)-4,3))</f>
        <v xml:space="preserve">04 </v>
      </c>
      <c r="C5" s="18">
        <v>1</v>
      </c>
      <c r="D5" s="12" t="s">
        <v>229</v>
      </c>
      <c r="E5" s="13" t="str">
        <f t="shared" ref="E5:E10" si="1">+IF(F5=0,0,CONCATENATE(MID(F5,FIND("-",F5,1)+1,4),"ORAS"))</f>
        <v>15 HORAS</v>
      </c>
      <c r="F5" s="14" t="s">
        <v>351</v>
      </c>
      <c r="G5" s="362">
        <f t="shared" ref="G5:G12" si="2">+IF(F5="","",VLOOKUP(F5,$H$142:$I$220,2,FALSE))</f>
        <v>1955007</v>
      </c>
      <c r="H5" s="2"/>
      <c r="I5" s="15" t="s">
        <v>13</v>
      </c>
      <c r="J5" s="14" t="s">
        <v>494</v>
      </c>
      <c r="K5" s="11" t="str">
        <f t="shared" ref="K5:K8" si="3">+IF(O5=0,0,MID(O5,LEN(O5)-4,3))</f>
        <v xml:space="preserve">02 </v>
      </c>
      <c r="L5" s="17">
        <v>1</v>
      </c>
      <c r="M5" s="12" t="s">
        <v>229</v>
      </c>
      <c r="N5" s="13" t="str">
        <f t="shared" ref="N5:N8" si="4">+IF(O5=0,0,CONCATENATE(MID(O5,FIND("-",O5,1)+1,4),"ORAS"))</f>
        <v>09 HORAS</v>
      </c>
      <c r="O5" s="296" t="s">
        <v>398</v>
      </c>
      <c r="P5" s="362">
        <f t="shared" ref="P5:P8" si="5">+IF(O5="","",VLOOKUP(O5,$H$142:$I$220,2,FALSE))</f>
        <v>728949</v>
      </c>
      <c r="Q5" s="2"/>
      <c r="R5" s="313" t="s">
        <v>13</v>
      </c>
      <c r="S5" s="314" t="s">
        <v>17</v>
      </c>
      <c r="T5" s="308">
        <v>4</v>
      </c>
      <c r="U5" s="315">
        <v>1</v>
      </c>
      <c r="V5" s="310" t="s">
        <v>229</v>
      </c>
      <c r="W5" s="13" t="str">
        <f>+IF(X5=0,0,CONCATENATE(MID(X5,FIND("-",X5,1)+1,4),"ORAS"))</f>
        <v>15 HORAS</v>
      </c>
      <c r="X5" s="296" t="s">
        <v>366</v>
      </c>
      <c r="Y5" s="362">
        <f>+IF(X5="","",VLOOKUP(X5,$H$142:$I$220,2,FALSE))</f>
        <v>1691890</v>
      </c>
      <c r="AA5" s="20"/>
      <c r="AB5" s="21"/>
      <c r="AC5" s="21"/>
      <c r="AD5" s="22"/>
      <c r="AE5" s="23"/>
    </row>
    <row r="6" spans="1:31" ht="31.5" x14ac:dyDescent="0.25">
      <c r="A6" s="14" t="s">
        <v>15</v>
      </c>
      <c r="B6" s="11" t="str">
        <f t="shared" si="0"/>
        <v xml:space="preserve">03 </v>
      </c>
      <c r="C6" s="18">
        <v>1</v>
      </c>
      <c r="D6" s="12" t="s">
        <v>229</v>
      </c>
      <c r="E6" s="13" t="str">
        <f t="shared" si="1"/>
        <v>15 HORAS</v>
      </c>
      <c r="F6" s="14" t="s">
        <v>352</v>
      </c>
      <c r="G6" s="362">
        <f t="shared" si="2"/>
        <v>1795972</v>
      </c>
      <c r="H6" s="2"/>
      <c r="I6" s="15"/>
      <c r="J6" s="14"/>
      <c r="K6" s="11">
        <f t="shared" si="3"/>
        <v>0</v>
      </c>
      <c r="L6" s="17"/>
      <c r="M6" s="12"/>
      <c r="N6" s="13">
        <f t="shared" si="4"/>
        <v>0</v>
      </c>
      <c r="O6" s="296">
        <v>0</v>
      </c>
      <c r="P6" s="341">
        <f t="shared" si="5"/>
        <v>0</v>
      </c>
      <c r="Q6" s="2"/>
      <c r="R6" s="313" t="s">
        <v>13</v>
      </c>
      <c r="S6" s="314" t="s">
        <v>19</v>
      </c>
      <c r="T6" s="308">
        <v>4</v>
      </c>
      <c r="U6" s="315">
        <v>1</v>
      </c>
      <c r="V6" s="310" t="s">
        <v>229</v>
      </c>
      <c r="W6" s="13" t="str">
        <f>+IF(X6=0,0,CONCATENATE(MID(X6,FIND("-",X6,1)+1,4),"ORAS"))</f>
        <v>15 HORAS</v>
      </c>
      <c r="X6" s="296" t="s">
        <v>367</v>
      </c>
      <c r="Y6" s="375">
        <f>+IF(X6="","",VLOOKUP(X6,$H$142:$I$220,2,FALSE))</f>
        <v>1505234</v>
      </c>
      <c r="AA6" s="20"/>
      <c r="AB6" s="21"/>
      <c r="AC6" s="21"/>
      <c r="AD6" s="22"/>
      <c r="AE6" s="23"/>
    </row>
    <row r="7" spans="1:31" ht="15.75" x14ac:dyDescent="0.25">
      <c r="A7" s="14" t="s">
        <v>18</v>
      </c>
      <c r="B7" s="11" t="str">
        <f t="shared" si="0"/>
        <v xml:space="preserve">03 </v>
      </c>
      <c r="C7" s="18">
        <v>1</v>
      </c>
      <c r="D7" s="12" t="s">
        <v>229</v>
      </c>
      <c r="E7" s="13" t="str">
        <f t="shared" si="1"/>
        <v>15 HORAS</v>
      </c>
      <c r="F7" s="14" t="s">
        <v>352</v>
      </c>
      <c r="G7" s="362">
        <f t="shared" si="2"/>
        <v>1795972</v>
      </c>
      <c r="H7" s="2"/>
      <c r="I7" s="15"/>
      <c r="J7" s="14"/>
      <c r="K7" s="11">
        <f t="shared" si="3"/>
        <v>0</v>
      </c>
      <c r="L7" s="17"/>
      <c r="M7" s="12"/>
      <c r="N7" s="13">
        <f t="shared" si="4"/>
        <v>0</v>
      </c>
      <c r="O7" s="296">
        <v>0</v>
      </c>
      <c r="P7" s="341">
        <f t="shared" si="5"/>
        <v>0</v>
      </c>
      <c r="Q7" s="2"/>
      <c r="R7" s="317"/>
      <c r="S7" s="319"/>
      <c r="T7" s="320"/>
      <c r="U7" s="321"/>
      <c r="V7" s="310"/>
      <c r="W7" s="311"/>
      <c r="X7" s="316">
        <v>0</v>
      </c>
      <c r="Y7" s="342">
        <v>0</v>
      </c>
      <c r="AA7" s="20"/>
      <c r="AB7" s="20"/>
      <c r="AC7" s="20"/>
      <c r="AD7" s="20"/>
      <c r="AE7" s="20"/>
    </row>
    <row r="8" spans="1:31" ht="15.75" x14ac:dyDescent="0.25">
      <c r="A8" s="14" t="s">
        <v>20</v>
      </c>
      <c r="B8" s="11" t="str">
        <f t="shared" si="0"/>
        <v xml:space="preserve">03 </v>
      </c>
      <c r="C8" s="18">
        <v>1</v>
      </c>
      <c r="D8" s="12" t="s">
        <v>229</v>
      </c>
      <c r="E8" s="13" t="str">
        <f t="shared" si="1"/>
        <v>15 HORAS</v>
      </c>
      <c r="F8" s="14" t="s">
        <v>352</v>
      </c>
      <c r="G8" s="362">
        <f t="shared" si="2"/>
        <v>1795972</v>
      </c>
      <c r="H8" s="2"/>
      <c r="I8" s="15"/>
      <c r="J8" s="14"/>
      <c r="K8" s="11">
        <f t="shared" si="3"/>
        <v>0</v>
      </c>
      <c r="L8" s="17"/>
      <c r="M8" s="12"/>
      <c r="N8" s="13">
        <f t="shared" si="4"/>
        <v>0</v>
      </c>
      <c r="O8" s="296">
        <v>0</v>
      </c>
      <c r="P8" s="341">
        <f t="shared" si="5"/>
        <v>0</v>
      </c>
      <c r="Q8" s="2"/>
      <c r="R8" s="306"/>
      <c r="S8" s="322"/>
      <c r="T8" s="315"/>
      <c r="U8" s="309">
        <v>3</v>
      </c>
      <c r="V8" s="323"/>
      <c r="W8" s="312"/>
      <c r="X8" s="316"/>
      <c r="Y8" s="324"/>
      <c r="AA8" s="20"/>
      <c r="AB8" s="20"/>
      <c r="AC8" s="20"/>
      <c r="AD8" s="20"/>
      <c r="AE8" s="20"/>
    </row>
    <row r="9" spans="1:31" ht="15.75" x14ac:dyDescent="0.25">
      <c r="A9" s="14" t="s">
        <v>21</v>
      </c>
      <c r="B9" s="11" t="str">
        <f t="shared" si="0"/>
        <v xml:space="preserve">03 </v>
      </c>
      <c r="C9" s="18">
        <v>1</v>
      </c>
      <c r="D9" s="12" t="s">
        <v>229</v>
      </c>
      <c r="E9" s="13" t="str">
        <f t="shared" si="1"/>
        <v>15 HORAS</v>
      </c>
      <c r="F9" s="14" t="s">
        <v>352</v>
      </c>
      <c r="G9" s="362">
        <f t="shared" si="2"/>
        <v>1795972</v>
      </c>
      <c r="H9" s="2"/>
      <c r="I9" s="15"/>
      <c r="J9" s="14"/>
      <c r="K9" s="11">
        <f>+IF(O9=0,0,MID(O9,LEN(O9)-4,3))</f>
        <v>0</v>
      </c>
      <c r="L9" s="17"/>
      <c r="M9" s="12"/>
      <c r="N9" s="13">
        <f>+IF(O9=0,0,CONCATENATE(MID(O9,FIND("-",O9,1)+1,4),"ORAS"))</f>
        <v>0</v>
      </c>
      <c r="O9" s="296">
        <v>0</v>
      </c>
      <c r="P9" s="341">
        <f>+IF(O9="","",VLOOKUP(O9,$H$142:$I$220,2,FALSE))</f>
        <v>0</v>
      </c>
      <c r="Q9" s="2"/>
      <c r="R9" s="325"/>
      <c r="S9" s="318"/>
      <c r="T9" s="318"/>
      <c r="U9" s="318"/>
      <c r="V9" s="326"/>
      <c r="W9" s="326"/>
      <c r="X9" s="326"/>
      <c r="Y9" s="327"/>
      <c r="AA9" s="20"/>
      <c r="AB9" s="20"/>
      <c r="AC9" s="20"/>
      <c r="AD9" s="20"/>
      <c r="AE9" s="20"/>
    </row>
    <row r="10" spans="1:31" ht="15.75" x14ac:dyDescent="0.25">
      <c r="A10" s="25" t="s">
        <v>381</v>
      </c>
      <c r="B10" s="11" t="str">
        <f t="shared" si="0"/>
        <v xml:space="preserve">03 </v>
      </c>
      <c r="C10" s="18">
        <v>1</v>
      </c>
      <c r="D10" s="12" t="s">
        <v>229</v>
      </c>
      <c r="E10" s="13" t="str">
        <f t="shared" si="1"/>
        <v>15 HORAS</v>
      </c>
      <c r="F10" s="14" t="s">
        <v>352</v>
      </c>
      <c r="G10" s="362">
        <f t="shared" si="2"/>
        <v>1795972</v>
      </c>
      <c r="H10" s="2"/>
      <c r="I10" s="26"/>
      <c r="J10" s="14"/>
      <c r="K10" s="16"/>
      <c r="L10" s="27"/>
      <c r="M10" s="27"/>
      <c r="N10" s="14"/>
      <c r="O10" s="296"/>
      <c r="P10" s="28"/>
      <c r="Q10" s="2"/>
      <c r="R10" s="325"/>
      <c r="S10" s="318"/>
      <c r="T10" s="318"/>
      <c r="U10" s="318"/>
      <c r="V10" s="326"/>
      <c r="W10" s="326"/>
      <c r="X10" s="326"/>
      <c r="Y10" s="327"/>
      <c r="AA10" s="20"/>
      <c r="AB10" s="20"/>
      <c r="AC10" s="20"/>
      <c r="AD10" s="20"/>
      <c r="AE10" s="20"/>
    </row>
    <row r="11" spans="1:31" ht="15.75" x14ac:dyDescent="0.25">
      <c r="A11" s="25" t="s">
        <v>495</v>
      </c>
      <c r="B11" s="11" t="str">
        <f>+IF(F11=0,0,MID(F11,LEN(F11)-4,3))</f>
        <v xml:space="preserve">04 </v>
      </c>
      <c r="C11" s="18">
        <v>1</v>
      </c>
      <c r="D11" s="18" t="s">
        <v>229</v>
      </c>
      <c r="E11" s="13" t="str">
        <f>+IF(F11=0,0,CONCATENATE(MID(F11,FIND("-",F11,1)+1,4),"ORAS"))</f>
        <v>15 HORAS</v>
      </c>
      <c r="F11" s="14" t="s">
        <v>351</v>
      </c>
      <c r="G11" s="362">
        <f t="shared" si="2"/>
        <v>1955007</v>
      </c>
      <c r="H11" s="2"/>
      <c r="I11" s="26"/>
      <c r="J11" s="14"/>
      <c r="K11" s="16"/>
      <c r="L11" s="27"/>
      <c r="M11" s="27"/>
      <c r="N11" s="14"/>
      <c r="O11" s="296"/>
      <c r="P11" s="29"/>
      <c r="Q11" s="2"/>
      <c r="R11" s="325"/>
      <c r="S11" s="318"/>
      <c r="T11" s="318"/>
      <c r="U11" s="318"/>
      <c r="V11" s="326"/>
      <c r="W11" s="326"/>
      <c r="X11" s="326"/>
      <c r="Y11" s="327"/>
      <c r="AA11" s="20"/>
      <c r="AB11" s="20"/>
      <c r="AC11" s="20"/>
      <c r="AD11" s="20"/>
      <c r="AE11" s="20"/>
    </row>
    <row r="12" spans="1:31" ht="15.75" x14ac:dyDescent="0.25">
      <c r="A12" s="25" t="s">
        <v>496</v>
      </c>
      <c r="B12" s="11" t="str">
        <f>+IF(F12=0,0,MID(F12,LEN(F12)-4,3))</f>
        <v xml:space="preserve">03 </v>
      </c>
      <c r="C12" s="18">
        <v>1</v>
      </c>
      <c r="D12" s="18" t="s">
        <v>229</v>
      </c>
      <c r="E12" s="13" t="str">
        <f>+IF(F12=0,0,CONCATENATE(MID(F12,FIND("-",F12,1)+1,4),"ORAS"))</f>
        <v>15 HORAS</v>
      </c>
      <c r="F12" s="14" t="s">
        <v>352</v>
      </c>
      <c r="G12" s="374">
        <f t="shared" si="2"/>
        <v>1795972</v>
      </c>
      <c r="H12" s="2"/>
      <c r="I12" s="26"/>
      <c r="J12" s="14"/>
      <c r="K12" s="16"/>
      <c r="L12" s="27"/>
      <c r="M12" s="27"/>
      <c r="N12" s="14"/>
      <c r="O12" s="296"/>
      <c r="P12" s="29"/>
      <c r="Q12" s="2"/>
      <c r="R12" s="325"/>
      <c r="S12" s="318"/>
      <c r="T12" s="318"/>
      <c r="U12" s="318"/>
      <c r="V12" s="326"/>
      <c r="W12" s="326"/>
      <c r="X12" s="326"/>
      <c r="Y12" s="327"/>
      <c r="AA12" s="20"/>
      <c r="AB12" s="20"/>
      <c r="AC12" s="20"/>
      <c r="AD12" s="20"/>
      <c r="AE12" s="20"/>
    </row>
    <row r="13" spans="1:31" ht="15.75" x14ac:dyDescent="0.25">
      <c r="A13" s="25"/>
      <c r="B13" s="11">
        <f>+IF(F13=0,0,MID(F13,LEN(F13)-4,3))</f>
        <v>0</v>
      </c>
      <c r="C13" s="367"/>
      <c r="D13" s="18"/>
      <c r="E13" s="13">
        <f>+IF(F13=0,0,CONCATENATE(MID(F13,FIND("-",F13,1)+1,4),"ORAS"))</f>
        <v>0</v>
      </c>
      <c r="F13" s="14">
        <v>0</v>
      </c>
      <c r="G13" s="341">
        <f>+IF(F13="","",VLOOKUP(F13,$H$142:$I$220,2,FALSE))</f>
        <v>0</v>
      </c>
      <c r="H13" s="2"/>
      <c r="I13" s="26"/>
      <c r="J13" s="14"/>
      <c r="K13" s="16"/>
      <c r="L13" s="27"/>
      <c r="M13" s="27"/>
      <c r="N13" s="14"/>
      <c r="O13" s="296"/>
      <c r="P13" s="29"/>
      <c r="Q13" s="2"/>
      <c r="R13" s="325"/>
      <c r="S13" s="318"/>
      <c r="T13" s="318"/>
      <c r="U13" s="318"/>
      <c r="V13" s="326"/>
      <c r="W13" s="326"/>
      <c r="X13" s="326"/>
      <c r="Y13" s="327"/>
      <c r="AA13" s="20"/>
      <c r="AB13" s="20"/>
      <c r="AC13" s="20"/>
      <c r="AD13" s="20"/>
      <c r="AE13" s="20"/>
    </row>
    <row r="14" spans="1:31" ht="15.75" x14ac:dyDescent="0.25">
      <c r="A14" s="25"/>
      <c r="B14" s="368">
        <f>+IF(F14=0,0,MID(F14,LEN(F14)-4,3))</f>
        <v>0</v>
      </c>
      <c r="C14" s="18"/>
      <c r="D14" s="18"/>
      <c r="E14" s="13">
        <f>+IF(F14=0,0,CONCATENATE(MID(F14,FIND("-",F14,1)+1,4),"ORAS"))</f>
        <v>0</v>
      </c>
      <c r="F14" s="14">
        <v>0</v>
      </c>
      <c r="G14" s="341">
        <f>+IF(F14="","",VLOOKUP(F14,$H$142:$I$220,2,FALSE))</f>
        <v>0</v>
      </c>
      <c r="H14" s="2"/>
      <c r="I14" s="26"/>
      <c r="J14" s="14"/>
      <c r="K14" s="16"/>
      <c r="L14" s="27"/>
      <c r="M14" s="27"/>
      <c r="N14" s="14"/>
      <c r="O14" s="296"/>
      <c r="P14" s="29"/>
      <c r="Q14" s="2"/>
      <c r="R14" s="325"/>
      <c r="S14" s="318"/>
      <c r="T14" s="318"/>
      <c r="U14" s="318"/>
      <c r="V14" s="326"/>
      <c r="W14" s="326"/>
      <c r="X14" s="326"/>
      <c r="Y14" s="327"/>
      <c r="AA14" s="20"/>
      <c r="AB14" s="20"/>
      <c r="AC14" s="20"/>
      <c r="AD14" s="20"/>
      <c r="AE14" s="20"/>
    </row>
    <row r="15" spans="1:31" ht="15.75" x14ac:dyDescent="0.25">
      <c r="A15" s="25"/>
      <c r="B15" s="368"/>
      <c r="C15" s="18"/>
      <c r="D15" s="18"/>
      <c r="E15" s="13"/>
      <c r="F15" s="14"/>
      <c r="G15" s="35"/>
      <c r="H15" s="2"/>
      <c r="I15" s="26"/>
      <c r="J15" s="14"/>
      <c r="K15" s="16"/>
      <c r="L15" s="27"/>
      <c r="M15" s="27"/>
      <c r="N15" s="14"/>
      <c r="O15" s="296"/>
      <c r="P15" s="29"/>
      <c r="Q15" s="2"/>
      <c r="R15" s="325"/>
      <c r="S15" s="318"/>
      <c r="T15" s="318"/>
      <c r="U15" s="318"/>
      <c r="V15" s="326"/>
      <c r="W15" s="326"/>
      <c r="X15" s="326"/>
      <c r="Y15" s="327"/>
      <c r="AA15" s="20"/>
      <c r="AB15" s="20"/>
      <c r="AC15" s="20"/>
      <c r="AD15" s="20"/>
      <c r="AE15" s="20"/>
    </row>
    <row r="16" spans="1:31" ht="15.75" x14ac:dyDescent="0.25">
      <c r="A16" s="25"/>
      <c r="B16" s="369">
        <f>+B10+B9+B8+B7+B6+B5+B4+B11+B12</f>
        <v>30</v>
      </c>
      <c r="C16" s="369">
        <f>+C10+C9+C8+C7+C6+C5+C4+C11+C12</f>
        <v>9</v>
      </c>
      <c r="D16" s="32"/>
      <c r="E16" s="32"/>
      <c r="F16" s="14"/>
      <c r="G16" s="33">
        <f>SUM(G4:G15)</f>
        <v>16640853</v>
      </c>
      <c r="H16" s="2"/>
      <c r="I16" s="26"/>
      <c r="J16" s="14"/>
      <c r="K16" s="16"/>
      <c r="L16" s="17"/>
      <c r="M16" s="27"/>
      <c r="N16" s="14"/>
      <c r="O16" s="296"/>
      <c r="P16" s="34"/>
      <c r="Q16" s="2"/>
      <c r="R16" s="418" t="s">
        <v>22</v>
      </c>
      <c r="S16" s="419"/>
      <c r="T16" s="419"/>
      <c r="U16" s="419"/>
      <c r="V16" s="419"/>
      <c r="W16" s="419"/>
      <c r="X16" s="419"/>
      <c r="Y16" s="420"/>
      <c r="AA16" s="20"/>
      <c r="AB16" s="20"/>
      <c r="AC16" s="20"/>
      <c r="AD16" s="20"/>
      <c r="AE16" s="20"/>
    </row>
    <row r="17" spans="1:31" ht="16.5" customHeight="1" x14ac:dyDescent="0.25">
      <c r="A17" s="426" t="s">
        <v>23</v>
      </c>
      <c r="B17" s="426"/>
      <c r="C17" s="426"/>
      <c r="D17" s="426"/>
      <c r="E17" s="426"/>
      <c r="F17" s="426"/>
      <c r="G17" s="426"/>
      <c r="H17" s="2"/>
      <c r="I17" s="26"/>
      <c r="J17" s="14"/>
      <c r="K17" s="16"/>
      <c r="L17" s="17"/>
      <c r="M17" s="27"/>
      <c r="N17" s="14"/>
      <c r="O17" s="296"/>
      <c r="P17" s="35"/>
      <c r="Q17" s="2"/>
      <c r="R17" s="303" t="s">
        <v>11</v>
      </c>
      <c r="S17" s="304" t="s">
        <v>4</v>
      </c>
      <c r="T17" s="305" t="s">
        <v>5</v>
      </c>
      <c r="U17" s="305" t="s">
        <v>6</v>
      </c>
      <c r="V17" s="305" t="s">
        <v>7</v>
      </c>
      <c r="W17" s="305" t="s">
        <v>8</v>
      </c>
      <c r="X17" s="305" t="s">
        <v>9</v>
      </c>
      <c r="Y17" s="305" t="s">
        <v>10</v>
      </c>
      <c r="Z17" s="36"/>
    </row>
    <row r="18" spans="1:31" ht="15.75" x14ac:dyDescent="0.2">
      <c r="A18" s="1" t="s">
        <v>4</v>
      </c>
      <c r="B18" s="5" t="s">
        <v>5</v>
      </c>
      <c r="C18" s="5" t="s">
        <v>6</v>
      </c>
      <c r="D18" s="5" t="s">
        <v>7</v>
      </c>
      <c r="E18" s="5" t="s">
        <v>8</v>
      </c>
      <c r="F18" s="37" t="s">
        <v>9</v>
      </c>
      <c r="G18" s="5" t="s">
        <v>10</v>
      </c>
      <c r="H18" s="2"/>
      <c r="I18" s="31"/>
      <c r="J18" s="31"/>
      <c r="K18" s="31"/>
      <c r="L18" s="31"/>
      <c r="M18" s="31"/>
      <c r="N18" s="14"/>
      <c r="O18" s="296"/>
      <c r="P18" s="38"/>
      <c r="Q18" s="2"/>
      <c r="R18" s="328" t="s">
        <v>13</v>
      </c>
      <c r="S18" s="307" t="s">
        <v>24</v>
      </c>
      <c r="T18" s="308">
        <v>0</v>
      </c>
      <c r="U18" s="307">
        <v>0</v>
      </c>
      <c r="V18" s="310" t="s">
        <v>229</v>
      </c>
      <c r="W18" s="13">
        <f>+IF(X18=0,0,CONCATENATE(MID(X18,FIND("-",X18,1)+1,4),"ORAS"))</f>
        <v>0</v>
      </c>
      <c r="X18" s="296">
        <v>0</v>
      </c>
      <c r="Y18" s="341">
        <f>+IF(X18="","",VLOOKUP(X18,$H$142:$I$220,2,FALSE))*T18</f>
        <v>0</v>
      </c>
    </row>
    <row r="19" spans="1:31" ht="18.75" customHeight="1" x14ac:dyDescent="0.2">
      <c r="A19" s="25"/>
      <c r="B19" s="11">
        <f>+IF(F19=0,0,MID(F19,LEN(F19)-4,3))</f>
        <v>0</v>
      </c>
      <c r="C19" s="370"/>
      <c r="D19" s="12"/>
      <c r="E19" s="13">
        <f>+IF(F19=0,0,CONCATENATE(MID(F19,FIND("-",F19,1)+1,4),"ORAS"))</f>
        <v>0</v>
      </c>
      <c r="F19" s="14">
        <v>0</v>
      </c>
      <c r="G19" s="341">
        <f t="shared" ref="G19:G24" si="6">+IF(F19="","",VLOOKUP(F19,$H$142:$I$220,2,FALSE))</f>
        <v>0</v>
      </c>
      <c r="H19" s="2"/>
      <c r="I19" s="427" t="s">
        <v>26</v>
      </c>
      <c r="J19" s="428"/>
      <c r="K19" s="428"/>
      <c r="L19" s="428"/>
      <c r="M19" s="428"/>
      <c r="N19" s="428"/>
      <c r="O19" s="428"/>
      <c r="P19" s="429"/>
      <c r="Q19" s="2"/>
      <c r="R19" s="329"/>
      <c r="S19" s="314"/>
      <c r="T19" s="330"/>
      <c r="U19" s="314"/>
      <c r="V19" s="323"/>
      <c r="W19" s="14">
        <f>+IF(X19=0,0,CONCATENATE(MID(X19,FIND("-",X19,1)+1,4),"ORAS"))</f>
        <v>0</v>
      </c>
      <c r="X19" s="296">
        <v>0</v>
      </c>
      <c r="Y19" s="35">
        <f>+IF(X19="","",VLOOKUP(X19,$H$142:$I$220,2,FALSE))*T19</f>
        <v>0</v>
      </c>
    </row>
    <row r="20" spans="1:31" ht="23.25" customHeight="1" x14ac:dyDescent="0.2">
      <c r="A20" s="40"/>
      <c r="B20" s="16"/>
      <c r="C20" s="371"/>
      <c r="D20" s="18"/>
      <c r="E20" s="14"/>
      <c r="F20" s="14">
        <v>0</v>
      </c>
      <c r="G20" s="341">
        <f t="shared" si="6"/>
        <v>0</v>
      </c>
      <c r="H20" s="2"/>
      <c r="I20" s="7" t="s">
        <v>11</v>
      </c>
      <c r="J20" s="7" t="s">
        <v>4</v>
      </c>
      <c r="K20" s="8" t="s">
        <v>5</v>
      </c>
      <c r="L20" s="8" t="s">
        <v>6</v>
      </c>
      <c r="M20" s="8" t="s">
        <v>7</v>
      </c>
      <c r="N20" s="8" t="s">
        <v>8</v>
      </c>
      <c r="O20" s="8" t="s">
        <v>9</v>
      </c>
      <c r="P20" s="8" t="s">
        <v>10</v>
      </c>
      <c r="Q20" s="2"/>
      <c r="R20" s="327"/>
      <c r="S20" s="327"/>
      <c r="T20" s="327"/>
      <c r="U20" s="327"/>
      <c r="V20" s="327"/>
      <c r="W20" s="327"/>
      <c r="X20" s="327"/>
      <c r="Y20" s="327"/>
    </row>
    <row r="21" spans="1:31" ht="31.5" x14ac:dyDescent="0.25">
      <c r="A21" s="40"/>
      <c r="B21" s="16"/>
      <c r="C21" s="371"/>
      <c r="D21" s="18"/>
      <c r="E21" s="14"/>
      <c r="F21" s="14">
        <v>0</v>
      </c>
      <c r="G21" s="341">
        <f t="shared" si="6"/>
        <v>0</v>
      </c>
      <c r="H21" s="2"/>
      <c r="I21" s="15" t="s">
        <v>227</v>
      </c>
      <c r="J21" s="14" t="s">
        <v>483</v>
      </c>
      <c r="K21" s="11" t="str">
        <f t="shared" ref="K21:K23" si="7">+IF(O21=0,0,MID(O21,LEN(O21)-4,3))</f>
        <v xml:space="preserve">04 </v>
      </c>
      <c r="L21" s="17">
        <v>1</v>
      </c>
      <c r="M21" s="12" t="s">
        <v>229</v>
      </c>
      <c r="N21" s="13" t="str">
        <f>+IF(O21=0,0,CONCATENATE(MID(O21,FIND("-",O21,1)+1,4),"ORAS"))</f>
        <v>15 HORAS</v>
      </c>
      <c r="O21" s="296" t="s">
        <v>351</v>
      </c>
      <c r="P21" s="362">
        <f t="shared" ref="P21:P25" si="8">+IF(O21="","",VLOOKUP(O21,$H$142:$I$220,2,FALSE))</f>
        <v>1955007</v>
      </c>
      <c r="Q21" s="2"/>
      <c r="R21" s="418" t="s">
        <v>27</v>
      </c>
      <c r="S21" s="419"/>
      <c r="T21" s="419"/>
      <c r="U21" s="419"/>
      <c r="V21" s="419"/>
      <c r="W21" s="419"/>
      <c r="X21" s="419"/>
      <c r="Y21" s="420"/>
    </row>
    <row r="22" spans="1:31" ht="31.5" x14ac:dyDescent="0.25">
      <c r="A22" s="41"/>
      <c r="B22" s="16"/>
      <c r="C22" s="18"/>
      <c r="D22" s="18"/>
      <c r="E22" s="14"/>
      <c r="F22" s="14">
        <v>0</v>
      </c>
      <c r="G22" s="341">
        <f t="shared" si="6"/>
        <v>0</v>
      </c>
      <c r="H22" s="2"/>
      <c r="I22" s="15" t="s">
        <v>13</v>
      </c>
      <c r="J22" s="14" t="s">
        <v>385</v>
      </c>
      <c r="K22" s="11" t="str">
        <f t="shared" si="7"/>
        <v xml:space="preserve">03 </v>
      </c>
      <c r="L22" s="42">
        <v>1</v>
      </c>
      <c r="M22" s="12" t="s">
        <v>229</v>
      </c>
      <c r="N22" s="13" t="str">
        <f>+IF(O22=0,0,CONCATENATE(MID(O22,FIND("-",O22,1)+1,4),"ORAS"))</f>
        <v>15 HORAS</v>
      </c>
      <c r="O22" s="296" t="s">
        <v>352</v>
      </c>
      <c r="P22" s="362">
        <f t="shared" si="8"/>
        <v>1795972</v>
      </c>
      <c r="Q22" s="2"/>
      <c r="R22" s="303" t="s">
        <v>11</v>
      </c>
      <c r="S22" s="304" t="s">
        <v>4</v>
      </c>
      <c r="T22" s="305" t="s">
        <v>5</v>
      </c>
      <c r="U22" s="305" t="s">
        <v>6</v>
      </c>
      <c r="V22" s="305" t="s">
        <v>7</v>
      </c>
      <c r="W22" s="305" t="s">
        <v>8</v>
      </c>
      <c r="X22" s="305" t="s">
        <v>9</v>
      </c>
      <c r="Y22" s="305" t="s">
        <v>10</v>
      </c>
      <c r="AA22" s="20"/>
      <c r="AB22" s="20"/>
      <c r="AC22" s="20"/>
      <c r="AD22" s="20"/>
      <c r="AE22" s="20"/>
    </row>
    <row r="23" spans="1:31" ht="31.5" x14ac:dyDescent="0.25">
      <c r="A23" s="43"/>
      <c r="B23" s="16"/>
      <c r="C23" s="44"/>
      <c r="D23" s="44"/>
      <c r="E23" s="14"/>
      <c r="F23" s="14">
        <v>0</v>
      </c>
      <c r="G23" s="341">
        <f t="shared" si="6"/>
        <v>0</v>
      </c>
      <c r="H23" s="2"/>
      <c r="I23" s="15" t="s">
        <v>13</v>
      </c>
      <c r="J23" s="13" t="s">
        <v>497</v>
      </c>
      <c r="K23" s="11" t="str">
        <f t="shared" si="7"/>
        <v xml:space="preserve">03 </v>
      </c>
      <c r="L23" s="45">
        <v>1</v>
      </c>
      <c r="M23" s="12" t="s">
        <v>229</v>
      </c>
      <c r="N23" s="13" t="str">
        <f>+IF(O23=0,0,CONCATENATE(MID(O23,FIND("-",O23,1)+1,4),"ORAS"))</f>
        <v>15 HORAS</v>
      </c>
      <c r="O23" s="296" t="s">
        <v>352</v>
      </c>
      <c r="P23" s="375">
        <f t="shared" si="8"/>
        <v>1795972</v>
      </c>
      <c r="Q23" s="2"/>
      <c r="R23" s="331" t="s">
        <v>28</v>
      </c>
      <c r="S23" s="307" t="s">
        <v>390</v>
      </c>
      <c r="T23" s="320" t="s">
        <v>25</v>
      </c>
      <c r="U23" s="307" t="s">
        <v>25</v>
      </c>
      <c r="V23" s="332" t="s">
        <v>229</v>
      </c>
      <c r="W23" s="14" t="e">
        <f t="shared" ref="W23:W32" si="9">+IF(X23=0,0,CONCATENATE(MID(X23,FIND("-",X23,1)+1,4),"ORAS"))</f>
        <v>#VALUE!</v>
      </c>
      <c r="X23" s="296" t="s">
        <v>413</v>
      </c>
      <c r="Y23" s="362">
        <f t="shared" ref="Y23:Y32" si="10">+IF(X23="","",VLOOKUP(X23,$H$142:$I$220,2,FALSE))</f>
        <v>477011</v>
      </c>
      <c r="AA23" s="20"/>
      <c r="AB23" s="20"/>
      <c r="AC23" s="20"/>
      <c r="AD23" s="20"/>
      <c r="AE23" s="20"/>
    </row>
    <row r="24" spans="1:31" ht="31.5" x14ac:dyDescent="0.25">
      <c r="A24" s="43"/>
      <c r="B24" s="16"/>
      <c r="C24" s="44"/>
      <c r="D24" s="44"/>
      <c r="E24" s="14"/>
      <c r="F24" s="14">
        <v>0</v>
      </c>
      <c r="G24" s="341">
        <f t="shared" si="6"/>
        <v>0</v>
      </c>
      <c r="H24" s="2"/>
      <c r="I24" s="15" t="s">
        <v>13</v>
      </c>
      <c r="J24" s="13" t="s">
        <v>488</v>
      </c>
      <c r="K24" s="11" t="str">
        <f>+IF(O24=0,0,MID(O24,LEN(O24)-4,3))</f>
        <v xml:space="preserve">04 </v>
      </c>
      <c r="L24" s="45">
        <v>1</v>
      </c>
      <c r="M24" s="12" t="s">
        <v>229</v>
      </c>
      <c r="N24" s="13" t="str">
        <f>+IF(O24=0,0,CONCATENATE(MID(O24,FIND("-",O24,1)+1,4),"ORAS"))</f>
        <v>09 HORAS</v>
      </c>
      <c r="O24" s="296" t="s">
        <v>356</v>
      </c>
      <c r="P24" s="362">
        <f t="shared" si="8"/>
        <v>1665773</v>
      </c>
      <c r="Q24" s="2"/>
      <c r="R24" s="333" t="s">
        <v>28</v>
      </c>
      <c r="S24" s="314" t="s">
        <v>24</v>
      </c>
      <c r="T24" s="334" t="s">
        <v>25</v>
      </c>
      <c r="U24" s="314" t="s">
        <v>25</v>
      </c>
      <c r="V24" s="332" t="s">
        <v>229</v>
      </c>
      <c r="W24" s="14" t="str">
        <f t="shared" si="9"/>
        <v>15 HORAS</v>
      </c>
      <c r="X24" s="296" t="s">
        <v>403</v>
      </c>
      <c r="Y24" s="362">
        <f t="shared" si="10"/>
        <v>1128712</v>
      </c>
      <c r="AA24" s="20"/>
      <c r="AB24" s="20"/>
      <c r="AC24" s="20"/>
      <c r="AD24" s="20"/>
      <c r="AE24" s="20"/>
    </row>
    <row r="25" spans="1:31" ht="15.75" x14ac:dyDescent="0.25">
      <c r="A25" s="46" t="s">
        <v>29</v>
      </c>
      <c r="B25" s="47">
        <f>SUM(B4:B16)+B19+B20+B21+B22+B23+B24</f>
        <v>30</v>
      </c>
      <c r="C25" s="47">
        <f>+C4+C5+C6+C7+C8+C9+C10+C19</f>
        <v>7</v>
      </c>
      <c r="D25" s="48"/>
      <c r="E25" s="49"/>
      <c r="F25" s="48"/>
      <c r="G25" s="33">
        <f>SUM(G16,G19:G24)</f>
        <v>16640853</v>
      </c>
      <c r="H25" s="2"/>
      <c r="I25" s="26"/>
      <c r="J25" s="14"/>
      <c r="K25" s="16"/>
      <c r="L25" s="42"/>
      <c r="M25" s="42"/>
      <c r="N25" s="13"/>
      <c r="O25" s="296">
        <v>0</v>
      </c>
      <c r="P25" s="341">
        <f t="shared" si="8"/>
        <v>0</v>
      </c>
      <c r="Q25" s="2"/>
      <c r="R25" s="333" t="s">
        <v>28</v>
      </c>
      <c r="S25" s="314" t="s">
        <v>24</v>
      </c>
      <c r="T25" s="334" t="s">
        <v>25</v>
      </c>
      <c r="U25" s="314" t="s">
        <v>25</v>
      </c>
      <c r="V25" s="332" t="s">
        <v>229</v>
      </c>
      <c r="W25" s="14" t="str">
        <f t="shared" si="9"/>
        <v>15 HORAS</v>
      </c>
      <c r="X25" s="296" t="s">
        <v>403</v>
      </c>
      <c r="Y25" s="362">
        <f t="shared" si="10"/>
        <v>1128712</v>
      </c>
      <c r="AA25" s="20"/>
      <c r="AB25" s="20"/>
      <c r="AC25" s="20"/>
      <c r="AD25" s="20"/>
      <c r="AE25" s="20"/>
    </row>
    <row r="26" spans="1:31" ht="15.75" x14ac:dyDescent="0.25">
      <c r="A26" s="430" t="s">
        <v>30</v>
      </c>
      <c r="B26" s="430"/>
      <c r="C26" s="430"/>
      <c r="D26" s="430"/>
      <c r="E26" s="430"/>
      <c r="F26" s="430"/>
      <c r="G26" s="430"/>
      <c r="H26" s="2"/>
      <c r="I26" s="51"/>
      <c r="J26" s="14"/>
      <c r="K26" s="16"/>
      <c r="L26" s="42"/>
      <c r="M26" s="19"/>
      <c r="N26" s="13"/>
      <c r="O26" s="296"/>
      <c r="P26" s="52"/>
      <c r="Q26" s="2"/>
      <c r="R26" s="329" t="s">
        <v>227</v>
      </c>
      <c r="S26" s="314" t="s">
        <v>391</v>
      </c>
      <c r="T26" s="334" t="s">
        <v>25</v>
      </c>
      <c r="U26" s="314" t="s">
        <v>25</v>
      </c>
      <c r="V26" s="335" t="s">
        <v>229</v>
      </c>
      <c r="W26" s="14" t="e">
        <f t="shared" si="9"/>
        <v>#VALUE!</v>
      </c>
      <c r="X26" s="296" t="s">
        <v>413</v>
      </c>
      <c r="Y26" s="362">
        <f t="shared" si="10"/>
        <v>477011</v>
      </c>
      <c r="AA26" s="20"/>
      <c r="AB26" s="20"/>
      <c r="AC26" s="20"/>
      <c r="AD26" s="20"/>
      <c r="AE26" s="20"/>
    </row>
    <row r="27" spans="1:31" ht="21.95" customHeight="1" x14ac:dyDescent="0.25">
      <c r="A27" s="430" t="s">
        <v>1</v>
      </c>
      <c r="B27" s="430"/>
      <c r="C27" s="430"/>
      <c r="D27" s="430"/>
      <c r="E27" s="430"/>
      <c r="F27" s="430"/>
      <c r="G27" s="430"/>
      <c r="H27" s="2"/>
      <c r="I27" s="26"/>
      <c r="J27" s="53"/>
      <c r="K27" s="16"/>
      <c r="L27" s="27"/>
      <c r="M27" s="27"/>
      <c r="N27" s="14"/>
      <c r="O27" s="296"/>
      <c r="P27" s="54"/>
      <c r="Q27" s="2"/>
      <c r="R27" s="329" t="s">
        <v>227</v>
      </c>
      <c r="S27" s="339" t="s">
        <v>386</v>
      </c>
      <c r="T27" s="336" t="s">
        <v>25</v>
      </c>
      <c r="U27" s="314">
        <v>1</v>
      </c>
      <c r="V27" s="337" t="s">
        <v>387</v>
      </c>
      <c r="W27" s="14" t="str">
        <f t="shared" si="9"/>
        <v>15 HORAS</v>
      </c>
      <c r="X27" s="296" t="s">
        <v>395</v>
      </c>
      <c r="Y27" s="362">
        <f t="shared" si="10"/>
        <v>832623</v>
      </c>
      <c r="AA27" s="20"/>
      <c r="AB27" s="20"/>
      <c r="AC27" s="20"/>
      <c r="AD27" s="20"/>
      <c r="AE27" s="20"/>
    </row>
    <row r="28" spans="1:31" ht="15.75" x14ac:dyDescent="0.25">
      <c r="A28" s="50" t="s">
        <v>4</v>
      </c>
      <c r="B28" s="55" t="s">
        <v>5</v>
      </c>
      <c r="C28" s="55" t="s">
        <v>6</v>
      </c>
      <c r="D28" s="55" t="s">
        <v>7</v>
      </c>
      <c r="E28" s="55" t="s">
        <v>8</v>
      </c>
      <c r="F28" s="55" t="s">
        <v>9</v>
      </c>
      <c r="G28" s="55" t="s">
        <v>10</v>
      </c>
      <c r="H28" s="2"/>
      <c r="I28" s="2"/>
      <c r="J28" s="56" t="s">
        <v>32</v>
      </c>
      <c r="K28" s="340">
        <f>K4+K5+K6+K7+K8+K9+K21+K22+K23</f>
        <v>15</v>
      </c>
      <c r="L28" s="57">
        <f>SUM(L4:L27)</f>
        <v>6</v>
      </c>
      <c r="M28" s="56"/>
      <c r="N28" s="56"/>
      <c r="O28" s="297"/>
      <c r="P28" s="58">
        <f>SUM(P4:P27)</f>
        <v>8961590</v>
      </c>
      <c r="Q28" s="2"/>
      <c r="R28" s="338" t="s">
        <v>31</v>
      </c>
      <c r="S28" s="339" t="s">
        <v>24</v>
      </c>
      <c r="T28" s="336" t="s">
        <v>25</v>
      </c>
      <c r="U28" s="314" t="s">
        <v>25</v>
      </c>
      <c r="V28" s="337" t="s">
        <v>387</v>
      </c>
      <c r="W28" s="14" t="str">
        <f t="shared" si="9"/>
        <v>15 HORAS</v>
      </c>
      <c r="X28" s="296" t="s">
        <v>403</v>
      </c>
      <c r="Y28" s="362">
        <f t="shared" si="10"/>
        <v>1128712</v>
      </c>
      <c r="AA28" s="62"/>
      <c r="AB28" s="62"/>
      <c r="AC28" s="62"/>
      <c r="AD28" s="62"/>
      <c r="AE28" s="63"/>
    </row>
    <row r="29" spans="1:31" ht="15.75" x14ac:dyDescent="0.25">
      <c r="A29" s="64" t="s">
        <v>33</v>
      </c>
      <c r="B29" s="11" t="str">
        <f t="shared" ref="B29:B31" si="11">+IF(F29=0,0,MID(F29,LEN(F29)-4,3))</f>
        <v xml:space="preserve">04 </v>
      </c>
      <c r="C29" s="12">
        <v>1</v>
      </c>
      <c r="D29" s="12" t="s">
        <v>229</v>
      </c>
      <c r="E29" s="13" t="str">
        <f>+IF(F29=0,0,CONCATENATE(MID(F29,FIND("-",F29,1)+1,4),"ORAS"))</f>
        <v>15 HORAS</v>
      </c>
      <c r="F29" s="14" t="s">
        <v>351</v>
      </c>
      <c r="G29" s="362">
        <f t="shared" ref="G29:G34" si="12">+IF(F29="","",VLOOKUP(F29,$H$142:$I$220,2,FALSE))</f>
        <v>1955007</v>
      </c>
      <c r="H29" s="2"/>
      <c r="I29" s="2"/>
      <c r="J29" s="2"/>
      <c r="K29" s="2"/>
      <c r="L29" s="2"/>
      <c r="M29" s="2"/>
      <c r="N29" s="2"/>
      <c r="O29" s="295"/>
      <c r="P29" s="2"/>
      <c r="Q29" s="2"/>
      <c r="R29" s="338" t="s">
        <v>31</v>
      </c>
      <c r="S29" s="307" t="s">
        <v>392</v>
      </c>
      <c r="T29" s="334" t="s">
        <v>25</v>
      </c>
      <c r="U29" s="314" t="s">
        <v>25</v>
      </c>
      <c r="V29" s="337" t="s">
        <v>388</v>
      </c>
      <c r="W29" s="14" t="e">
        <f t="shared" si="9"/>
        <v>#VALUE!</v>
      </c>
      <c r="X29" s="296" t="s">
        <v>413</v>
      </c>
      <c r="Y29" s="362">
        <f t="shared" si="10"/>
        <v>477011</v>
      </c>
      <c r="AA29" s="20"/>
      <c r="AB29" s="20"/>
      <c r="AC29" s="20"/>
      <c r="AD29" s="20"/>
      <c r="AE29" s="20"/>
    </row>
    <row r="30" spans="1:31" ht="20.100000000000001" customHeight="1" x14ac:dyDescent="0.25">
      <c r="A30" s="64" t="s">
        <v>34</v>
      </c>
      <c r="B30" s="11" t="str">
        <f t="shared" si="11"/>
        <v xml:space="preserve">04 </v>
      </c>
      <c r="C30" s="65">
        <v>1</v>
      </c>
      <c r="D30" s="12" t="s">
        <v>229</v>
      </c>
      <c r="E30" s="13" t="str">
        <f>+IF(F30=0,0,CONCATENATE(MID(F30,FIND("-",F30,1)+1,4),"ORAS"))</f>
        <v>15 HORAS</v>
      </c>
      <c r="F30" s="14" t="s">
        <v>351</v>
      </c>
      <c r="G30" s="362">
        <f t="shared" si="12"/>
        <v>1955007</v>
      </c>
      <c r="H30" s="2"/>
      <c r="I30" s="2"/>
      <c r="J30" s="2"/>
      <c r="K30" s="2"/>
      <c r="L30" s="2"/>
      <c r="M30" s="2"/>
      <c r="N30" s="2"/>
      <c r="O30" s="295"/>
      <c r="P30" s="2"/>
      <c r="Q30" s="2"/>
      <c r="R30" s="338"/>
      <c r="S30" s="307"/>
      <c r="T30" s="334"/>
      <c r="U30" s="314"/>
      <c r="V30" s="337"/>
      <c r="W30" s="14">
        <f t="shared" si="9"/>
        <v>0</v>
      </c>
      <c r="X30" s="296">
        <v>0</v>
      </c>
      <c r="Y30" s="341">
        <f t="shared" si="10"/>
        <v>0</v>
      </c>
    </row>
    <row r="31" spans="1:31" ht="15.75" customHeight="1" x14ac:dyDescent="0.25">
      <c r="A31" s="64" t="s">
        <v>35</v>
      </c>
      <c r="B31" s="11" t="str">
        <f t="shared" si="11"/>
        <v xml:space="preserve">03 </v>
      </c>
      <c r="C31" s="65">
        <v>1</v>
      </c>
      <c r="D31" s="12" t="s">
        <v>229</v>
      </c>
      <c r="E31" s="13" t="str">
        <f>+IF(F31=0,0,CONCATENATE(MID(F31,FIND("-",F31,1)+1,4),"ORAS"))</f>
        <v>15 HORAS</v>
      </c>
      <c r="F31" s="14" t="s">
        <v>352</v>
      </c>
      <c r="G31" s="375">
        <f t="shared" si="12"/>
        <v>1795972</v>
      </c>
      <c r="H31" s="2"/>
      <c r="I31" s="2"/>
      <c r="J31" s="2"/>
      <c r="K31" s="2"/>
      <c r="L31" s="2"/>
      <c r="M31" s="2"/>
      <c r="N31" s="2"/>
      <c r="O31" s="295"/>
      <c r="P31" s="2"/>
      <c r="Q31" s="2"/>
      <c r="R31" s="338"/>
      <c r="S31" s="314"/>
      <c r="T31" s="334"/>
      <c r="U31" s="314"/>
      <c r="V31" s="337"/>
      <c r="W31" s="14">
        <f t="shared" si="9"/>
        <v>0</v>
      </c>
      <c r="X31" s="296">
        <v>0</v>
      </c>
      <c r="Y31" s="341">
        <f t="shared" si="10"/>
        <v>0</v>
      </c>
    </row>
    <row r="32" spans="1:31" ht="15.75" x14ac:dyDescent="0.25">
      <c r="A32" s="66" t="s">
        <v>36</v>
      </c>
      <c r="B32" s="11" t="str">
        <f>+IF(F32=0,0,MID(F32,LEN(F32)-4,3))</f>
        <v xml:space="preserve">03 </v>
      </c>
      <c r="C32" s="12">
        <v>1</v>
      </c>
      <c r="D32" s="12" t="s">
        <v>229</v>
      </c>
      <c r="E32" s="13" t="str">
        <f>+IF(F32=0,0,CONCATENATE(MID(F32,FIND("-",F32,1)+1,4),"ORAS"))</f>
        <v>15 HORAS</v>
      </c>
      <c r="F32" s="14" t="s">
        <v>352</v>
      </c>
      <c r="G32" s="362">
        <f t="shared" si="12"/>
        <v>1795972</v>
      </c>
      <c r="H32" s="2"/>
      <c r="I32" s="2"/>
      <c r="J32" s="2"/>
      <c r="K32" s="2"/>
      <c r="L32" s="2"/>
      <c r="M32" s="2"/>
      <c r="N32" s="2"/>
      <c r="O32" s="295"/>
      <c r="P32" s="2"/>
      <c r="Q32" s="2"/>
      <c r="R32" s="338"/>
      <c r="S32" s="314"/>
      <c r="T32" s="334"/>
      <c r="U32" s="314"/>
      <c r="V32" s="337"/>
      <c r="W32" s="13">
        <f t="shared" si="9"/>
        <v>0</v>
      </c>
      <c r="X32" s="345">
        <v>0</v>
      </c>
      <c r="Y32" s="341">
        <f t="shared" si="10"/>
        <v>0</v>
      </c>
    </row>
    <row r="33" spans="1:25" ht="15.75" x14ac:dyDescent="0.25">
      <c r="A33" s="66"/>
      <c r="B33" s="39"/>
      <c r="C33" s="65"/>
      <c r="D33" s="19"/>
      <c r="E33" s="13"/>
      <c r="F33" s="14">
        <v>0</v>
      </c>
      <c r="G33" s="341">
        <f t="shared" si="12"/>
        <v>0</v>
      </c>
      <c r="H33" s="2"/>
      <c r="I33" s="2"/>
      <c r="J33" s="2"/>
      <c r="K33" s="2"/>
      <c r="L33" s="2"/>
      <c r="M33" s="2"/>
      <c r="N33" s="2"/>
      <c r="O33" s="295"/>
      <c r="P33" s="2"/>
      <c r="Q33" s="2"/>
      <c r="R33" s="338"/>
      <c r="S33" s="314"/>
      <c r="T33" s="334"/>
      <c r="U33" s="314"/>
      <c r="V33" s="337"/>
      <c r="W33" s="14">
        <f>+IF(X33=0,0,CONCATENATE(MID(X33,FIND("-",X33,1)+1,4),"ORAS"))</f>
        <v>0</v>
      </c>
      <c r="X33" s="296">
        <v>0</v>
      </c>
      <c r="Y33" s="35">
        <f>+IF(X33="","",VLOOKUP(X33,$H$142:$I$220,2,FALSE))</f>
        <v>0</v>
      </c>
    </row>
    <row r="34" spans="1:25" ht="15.75" x14ac:dyDescent="0.2">
      <c r="A34" s="66"/>
      <c r="B34" s="65"/>
      <c r="C34" s="65"/>
      <c r="D34" s="19"/>
      <c r="E34" s="13"/>
      <c r="F34" s="44"/>
      <c r="G34" s="341" t="str">
        <f t="shared" si="12"/>
        <v/>
      </c>
      <c r="H34" s="2"/>
      <c r="I34" s="2"/>
      <c r="J34" s="2"/>
      <c r="K34" s="2"/>
      <c r="L34" s="2"/>
      <c r="M34" s="2"/>
      <c r="N34" s="2"/>
      <c r="O34" s="295"/>
      <c r="P34" s="2"/>
      <c r="Q34" s="2"/>
      <c r="R34" s="2"/>
      <c r="S34" s="2"/>
      <c r="T34" s="2"/>
      <c r="U34" s="2"/>
      <c r="V34" s="2"/>
      <c r="W34" s="2"/>
      <c r="X34" s="2"/>
      <c r="Y34" s="2"/>
    </row>
    <row r="35" spans="1:25" ht="15.75" x14ac:dyDescent="0.2">
      <c r="A35" s="421" t="s">
        <v>23</v>
      </c>
      <c r="B35" s="421"/>
      <c r="C35" s="421"/>
      <c r="D35" s="421"/>
      <c r="E35" s="421"/>
      <c r="F35" s="421"/>
      <c r="G35" s="421"/>
      <c r="H35" s="2"/>
      <c r="I35" s="2"/>
      <c r="J35" s="2"/>
      <c r="K35" s="2"/>
      <c r="L35" s="2"/>
      <c r="M35" s="2"/>
      <c r="N35" s="2"/>
      <c r="O35" s="295"/>
      <c r="P35" s="2"/>
      <c r="Q35" s="2"/>
      <c r="R35" s="2"/>
      <c r="S35" s="2"/>
      <c r="T35" s="2"/>
      <c r="U35" s="2"/>
      <c r="V35" s="2"/>
      <c r="W35" s="2"/>
      <c r="X35" s="2"/>
      <c r="Y35" s="2"/>
    </row>
    <row r="36" spans="1:25" ht="15.75" x14ac:dyDescent="0.2">
      <c r="A36" s="50"/>
      <c r="B36" s="55" t="s">
        <v>5</v>
      </c>
      <c r="C36" s="55" t="s">
        <v>6</v>
      </c>
      <c r="D36" s="55" t="s">
        <v>7</v>
      </c>
      <c r="E36" s="55"/>
      <c r="F36" s="55" t="s">
        <v>9</v>
      </c>
      <c r="G36" s="55" t="s">
        <v>10</v>
      </c>
      <c r="H36" s="2"/>
      <c r="I36" s="2"/>
      <c r="J36" s="2"/>
      <c r="K36" s="2"/>
      <c r="L36" s="2"/>
      <c r="M36" s="2"/>
      <c r="N36" s="2"/>
      <c r="O36" s="295"/>
      <c r="P36" s="2"/>
      <c r="Q36" s="2"/>
      <c r="R36" s="2"/>
      <c r="S36" s="59" t="s">
        <v>32</v>
      </c>
      <c r="T36" s="60">
        <f>+T18+T19+T4+T5+T6+T7</f>
        <v>12</v>
      </c>
      <c r="U36" s="60">
        <f>SUM(U4:U7,U27)</f>
        <v>4</v>
      </c>
      <c r="V36" s="59"/>
      <c r="W36" s="59"/>
      <c r="X36" s="59"/>
      <c r="Y36" s="61">
        <f>SUM(Y4:Y33)</f>
        <v>10352150</v>
      </c>
    </row>
    <row r="37" spans="1:25" ht="15.75" x14ac:dyDescent="0.25">
      <c r="A37" s="10" t="s">
        <v>37</v>
      </c>
      <c r="B37" s="11" t="str">
        <f t="shared" ref="B37:B40" si="13">+IF(F37=0,0,MID(F37,LEN(F37)-4,3))</f>
        <v xml:space="preserve">03 </v>
      </c>
      <c r="C37" s="372">
        <v>1</v>
      </c>
      <c r="D37" s="12" t="s">
        <v>229</v>
      </c>
      <c r="E37" s="13" t="str">
        <f>+IF(F37=0,0,CONCATENATE(MID(F37,FIND("-",F37,1)+1,4),"ORAS"))</f>
        <v>15 HORAS</v>
      </c>
      <c r="F37" s="14" t="s">
        <v>367</v>
      </c>
      <c r="G37" s="362">
        <f t="shared" ref="G37:G42" si="14">+IF(F37="","",VLOOKUP(F37,$H$142:$I$220,2,FALSE))</f>
        <v>1505234</v>
      </c>
      <c r="H37" s="2"/>
      <c r="I37" s="2"/>
      <c r="J37" s="2"/>
      <c r="K37" s="2"/>
      <c r="L37" s="2"/>
      <c r="M37" s="2"/>
      <c r="N37" s="2"/>
      <c r="O37" s="295"/>
      <c r="P37" s="2"/>
      <c r="Q37" s="2"/>
      <c r="R37" s="2"/>
      <c r="S37" s="2"/>
      <c r="T37" s="2"/>
      <c r="U37" s="2"/>
      <c r="V37" s="2"/>
      <c r="W37" s="2"/>
      <c r="X37" s="2"/>
      <c r="Y37" s="67"/>
    </row>
    <row r="38" spans="1:25" ht="15.75" x14ac:dyDescent="0.25">
      <c r="A38" s="64" t="s">
        <v>38</v>
      </c>
      <c r="B38" s="11" t="str">
        <f t="shared" si="13"/>
        <v xml:space="preserve">03 </v>
      </c>
      <c r="C38" s="372">
        <v>1</v>
      </c>
      <c r="D38" s="12" t="s">
        <v>229</v>
      </c>
      <c r="E38" s="13" t="str">
        <f>+IF(F38=0,0,CONCATENATE(MID(F38,FIND("-",F38,1)+1,4),"ORAS"))</f>
        <v>15 HORAS</v>
      </c>
      <c r="F38" s="14" t="s">
        <v>367</v>
      </c>
      <c r="G38" s="362">
        <f t="shared" si="14"/>
        <v>1505234</v>
      </c>
      <c r="H38" s="2"/>
      <c r="I38" s="2"/>
      <c r="J38" s="2"/>
      <c r="K38" s="2"/>
      <c r="L38" s="2"/>
      <c r="M38" s="2"/>
      <c r="N38" s="2"/>
      <c r="O38" s="295"/>
      <c r="P38" s="2"/>
      <c r="Q38" s="2"/>
      <c r="R38" s="2"/>
      <c r="S38" s="2"/>
      <c r="T38" s="2"/>
      <c r="U38" s="2"/>
      <c r="V38" s="2"/>
      <c r="W38" s="2"/>
      <c r="X38" s="2"/>
      <c r="Y38" s="2"/>
    </row>
    <row r="39" spans="1:25" ht="15.75" x14ac:dyDescent="0.25">
      <c r="A39" s="64" t="s">
        <v>39</v>
      </c>
      <c r="B39" s="11" t="str">
        <f t="shared" si="13"/>
        <v xml:space="preserve">03 </v>
      </c>
      <c r="C39" s="372">
        <v>1</v>
      </c>
      <c r="D39" s="12" t="s">
        <v>229</v>
      </c>
      <c r="E39" s="13" t="str">
        <f>+IF(F39=0,0,CONCATENATE(MID(F39,FIND("-",F39,1)+1,4),"ORAS"))</f>
        <v>15 HORAS</v>
      </c>
      <c r="F39" s="14" t="s">
        <v>367</v>
      </c>
      <c r="G39" s="362">
        <f t="shared" si="14"/>
        <v>1505234</v>
      </c>
      <c r="H39" s="2"/>
      <c r="I39" s="2"/>
      <c r="J39" s="2"/>
      <c r="K39" s="2"/>
      <c r="L39" s="2"/>
      <c r="M39" s="2"/>
      <c r="N39" s="2"/>
      <c r="O39" s="295"/>
      <c r="P39" s="2"/>
      <c r="Q39" s="2"/>
      <c r="R39" s="2"/>
      <c r="S39" s="2"/>
      <c r="T39" s="2"/>
      <c r="U39" s="2"/>
      <c r="V39" s="2"/>
      <c r="W39" s="2"/>
      <c r="X39" s="2"/>
      <c r="Y39" s="2"/>
    </row>
    <row r="40" spans="1:25" ht="15.75" x14ac:dyDescent="0.25">
      <c r="A40" s="26" t="s">
        <v>383</v>
      </c>
      <c r="B40" s="11" t="str">
        <f t="shared" si="13"/>
        <v xml:space="preserve">03 </v>
      </c>
      <c r="C40" s="372">
        <v>1</v>
      </c>
      <c r="D40" s="12" t="s">
        <v>229</v>
      </c>
      <c r="E40" s="13" t="str">
        <f>+IF(F40=0,0,CONCATENATE(MID(F40,FIND("-",F40,1)+1,4),"ORAS"))</f>
        <v>15 HORAS</v>
      </c>
      <c r="F40" s="14" t="s">
        <v>367</v>
      </c>
      <c r="G40" s="362">
        <f t="shared" si="14"/>
        <v>1505234</v>
      </c>
      <c r="H40" s="2"/>
      <c r="I40" s="2"/>
      <c r="J40" s="2"/>
      <c r="K40" s="2"/>
      <c r="L40" s="2"/>
      <c r="M40" s="2"/>
      <c r="N40" s="2"/>
      <c r="O40" s="295"/>
      <c r="P40" s="2"/>
      <c r="Q40" s="2"/>
      <c r="R40" s="2"/>
      <c r="S40" s="2"/>
      <c r="T40" s="2"/>
      <c r="U40" s="2"/>
      <c r="V40" s="2"/>
      <c r="W40" s="2"/>
      <c r="X40" s="2"/>
      <c r="Y40" s="2"/>
    </row>
    <row r="41" spans="1:25" ht="15.75" x14ac:dyDescent="0.25">
      <c r="A41" s="68"/>
      <c r="B41" s="11">
        <f>+IF(F41=0,0,MID(F41,LEN(F41)-4,3))</f>
        <v>0</v>
      </c>
      <c r="C41" s="372"/>
      <c r="D41" s="12" t="s">
        <v>229</v>
      </c>
      <c r="E41" s="13">
        <f>+IF(F41=0,0,CONCATENATE(MID(F41,FIND("-",F41,1)+1,4),"ORAS"))</f>
        <v>0</v>
      </c>
      <c r="F41" s="14">
        <v>0</v>
      </c>
      <c r="G41" s="341">
        <f t="shared" si="14"/>
        <v>0</v>
      </c>
      <c r="H41" s="2"/>
      <c r="I41" s="2"/>
      <c r="J41" s="2"/>
      <c r="K41" s="2"/>
      <c r="L41" s="2"/>
      <c r="M41" s="2"/>
      <c r="N41" s="2"/>
      <c r="O41" s="295"/>
      <c r="P41" s="2"/>
      <c r="Q41" s="2"/>
      <c r="R41" s="2"/>
      <c r="S41" s="2"/>
      <c r="T41" s="2"/>
      <c r="U41" s="2"/>
      <c r="V41" s="2"/>
      <c r="W41" s="2"/>
      <c r="X41" s="2"/>
      <c r="Y41" s="2"/>
    </row>
    <row r="42" spans="1:25" ht="15.75" x14ac:dyDescent="0.2">
      <c r="A42" s="69"/>
      <c r="B42" s="16"/>
      <c r="C42" s="70"/>
      <c r="D42" s="32"/>
      <c r="E42" s="13"/>
      <c r="F42" s="14">
        <v>0</v>
      </c>
      <c r="G42" s="341">
        <f t="shared" si="14"/>
        <v>0</v>
      </c>
      <c r="H42" s="2"/>
      <c r="I42" s="2"/>
      <c r="J42" s="2"/>
      <c r="K42" s="2"/>
      <c r="L42" s="2"/>
      <c r="M42" s="2"/>
      <c r="N42" s="2"/>
      <c r="O42" s="295"/>
      <c r="P42" s="2"/>
      <c r="Q42" s="2"/>
      <c r="R42" s="2"/>
      <c r="S42" s="2"/>
      <c r="T42" s="2"/>
      <c r="U42" s="2"/>
      <c r="V42" s="2"/>
      <c r="W42" s="2"/>
      <c r="X42" s="2"/>
      <c r="Y42" s="2"/>
    </row>
    <row r="43" spans="1:25" ht="15.75" x14ac:dyDescent="0.2">
      <c r="A43" s="46" t="s">
        <v>29</v>
      </c>
      <c r="B43" s="47">
        <f>+B29+B30+B31+B37+B38+B39+B40+B41+B32</f>
        <v>26</v>
      </c>
      <c r="C43" s="48">
        <f>SUM(C29:C35)+C37+C38+C39+C40+C41+C42</f>
        <v>8</v>
      </c>
      <c r="D43" s="48"/>
      <c r="E43" s="13">
        <f>+IF(F43=0,0,CONCATENATE(MID(F43,FIND("-",F43,1)+1,3),"ORAS"))</f>
        <v>0</v>
      </c>
      <c r="F43" s="48"/>
      <c r="G43" s="33">
        <f>SUM(G29:G34,G37:G42)</f>
        <v>13522894</v>
      </c>
      <c r="H43" s="2"/>
      <c r="I43" s="2"/>
      <c r="J43" s="2"/>
      <c r="K43" s="2"/>
      <c r="L43" s="2"/>
      <c r="M43" s="2"/>
      <c r="N43" s="2"/>
      <c r="O43" s="295"/>
      <c r="P43" s="2"/>
      <c r="Q43" s="2"/>
      <c r="R43" s="2"/>
      <c r="S43" s="2"/>
      <c r="T43" s="2"/>
      <c r="U43" s="2"/>
      <c r="V43" s="2"/>
      <c r="W43" s="2"/>
      <c r="X43" s="2"/>
      <c r="Y43" s="2"/>
    </row>
    <row r="44" spans="1:25" ht="15.75" x14ac:dyDescent="0.2">
      <c r="A44" s="436" t="s">
        <v>40</v>
      </c>
      <c r="B44" s="436"/>
      <c r="C44" s="436"/>
      <c r="D44" s="436"/>
      <c r="E44" s="436"/>
      <c r="F44" s="436"/>
      <c r="G44" s="436"/>
      <c r="H44" s="2"/>
      <c r="I44" s="2"/>
      <c r="J44" s="2"/>
      <c r="K44" s="2"/>
      <c r="L44" s="2"/>
      <c r="M44" s="2"/>
      <c r="N44" s="2"/>
      <c r="O44" s="295"/>
      <c r="P44" s="2"/>
      <c r="Q44" s="2"/>
      <c r="R44" s="2"/>
      <c r="S44" s="2"/>
      <c r="T44" s="2"/>
      <c r="U44" s="2"/>
      <c r="V44" s="2"/>
      <c r="W44" s="2"/>
      <c r="X44" s="2"/>
      <c r="Y44" s="2"/>
    </row>
    <row r="45" spans="1:25" ht="15.75" x14ac:dyDescent="0.2">
      <c r="A45" s="436" t="s">
        <v>1</v>
      </c>
      <c r="B45" s="436"/>
      <c r="C45" s="436"/>
      <c r="D45" s="436"/>
      <c r="E45" s="436"/>
      <c r="F45" s="436"/>
      <c r="G45" s="436"/>
      <c r="H45" s="2"/>
      <c r="I45" s="2"/>
      <c r="J45" s="2"/>
      <c r="K45" s="2"/>
      <c r="L45" s="2"/>
      <c r="M45" s="2"/>
      <c r="N45" s="2"/>
      <c r="O45" s="295"/>
      <c r="P45" s="2"/>
      <c r="Q45" s="2"/>
      <c r="R45" s="2"/>
      <c r="S45" s="2"/>
      <c r="T45" s="2"/>
      <c r="U45" s="2"/>
      <c r="V45" s="2"/>
      <c r="W45" s="2"/>
      <c r="X45" s="2"/>
      <c r="Y45" s="2"/>
    </row>
    <row r="46" spans="1:25" ht="15.75" x14ac:dyDescent="0.2">
      <c r="A46" s="71" t="s">
        <v>4</v>
      </c>
      <c r="B46" s="72" t="s">
        <v>5</v>
      </c>
      <c r="C46" s="72" t="s">
        <v>6</v>
      </c>
      <c r="D46" s="72" t="s">
        <v>7</v>
      </c>
      <c r="E46" s="72" t="s">
        <v>8</v>
      </c>
      <c r="F46" s="72" t="s">
        <v>9</v>
      </c>
      <c r="G46" s="72" t="s">
        <v>10</v>
      </c>
      <c r="H46" s="2"/>
      <c r="I46" s="2"/>
      <c r="J46" s="2"/>
      <c r="K46" s="2"/>
      <c r="L46" s="2"/>
      <c r="M46" s="2"/>
      <c r="N46" s="2"/>
      <c r="O46" s="295"/>
      <c r="P46" s="2"/>
      <c r="Q46" s="2"/>
      <c r="R46" s="2"/>
      <c r="S46" s="2"/>
      <c r="T46" s="2"/>
      <c r="U46" s="2"/>
      <c r="V46" s="2"/>
      <c r="W46" s="2"/>
      <c r="X46" s="2"/>
      <c r="Y46" s="2"/>
    </row>
    <row r="47" spans="1:25" ht="15.75" x14ac:dyDescent="0.2">
      <c r="A47" s="73"/>
      <c r="B47" s="74"/>
      <c r="C47" s="74"/>
      <c r="D47" s="75"/>
      <c r="E47" s="75"/>
      <c r="F47" s="75"/>
      <c r="G47" s="76"/>
      <c r="H47" s="2"/>
      <c r="I47" s="2"/>
      <c r="J47" s="2"/>
      <c r="K47" s="2"/>
      <c r="L47" s="2"/>
      <c r="M47" s="2"/>
      <c r="N47" s="2"/>
      <c r="O47" s="295"/>
      <c r="P47" s="2"/>
      <c r="Q47" s="2"/>
      <c r="R47" s="2"/>
      <c r="S47" s="2"/>
      <c r="T47" s="2"/>
      <c r="U47" s="2"/>
      <c r="V47" s="2"/>
      <c r="W47" s="2"/>
      <c r="X47" s="2"/>
      <c r="Y47" s="2"/>
    </row>
    <row r="48" spans="1:25" ht="1.5" customHeight="1" x14ac:dyDescent="0.2">
      <c r="A48" s="73"/>
      <c r="B48" s="74"/>
      <c r="C48" s="74"/>
      <c r="D48" s="74"/>
      <c r="E48" s="74"/>
      <c r="F48" s="74"/>
      <c r="G48" s="74"/>
      <c r="H48" s="2"/>
      <c r="I48" s="2"/>
      <c r="J48" s="2"/>
      <c r="K48" s="2"/>
      <c r="L48" s="2"/>
      <c r="M48" s="2"/>
      <c r="N48" s="2"/>
      <c r="O48" s="295"/>
      <c r="P48" s="2"/>
      <c r="Q48" s="2"/>
      <c r="R48" s="2"/>
      <c r="S48" s="2"/>
      <c r="T48" s="2"/>
      <c r="U48" s="2"/>
      <c r="V48" s="2"/>
      <c r="W48" s="2"/>
      <c r="X48" s="2"/>
      <c r="Y48" s="2"/>
    </row>
    <row r="49" spans="1:25" ht="15.75" x14ac:dyDescent="0.25">
      <c r="A49" s="79" t="s">
        <v>498</v>
      </c>
      <c r="B49" s="11" t="str">
        <f t="shared" ref="B49:B54" si="15">+IF(F49=0,0,MID(F49,LEN(F49)-4,3))</f>
        <v xml:space="preserve">04 </v>
      </c>
      <c r="C49" s="372">
        <v>1</v>
      </c>
      <c r="D49" s="12" t="s">
        <v>229</v>
      </c>
      <c r="E49" s="13" t="str">
        <f>+IF(F49=0,0,CONCATENATE(MID(F49,FIND("-",F49,1)+1,4),"ORAS"))</f>
        <v>15 HORAS</v>
      </c>
      <c r="F49" s="14" t="s">
        <v>351</v>
      </c>
      <c r="G49" s="362">
        <f t="shared" ref="G49:G54" si="16">+IF(F49="","",VLOOKUP(F49,$H$142:$I$220,2,FALSE))</f>
        <v>1955007</v>
      </c>
      <c r="H49" s="2"/>
      <c r="I49" s="2"/>
      <c r="J49" s="437"/>
      <c r="K49" s="437"/>
      <c r="L49" s="437"/>
      <c r="M49" s="437"/>
      <c r="N49" s="437"/>
      <c r="O49" s="437"/>
      <c r="P49" s="437"/>
      <c r="Q49" s="2"/>
      <c r="R49" s="2"/>
      <c r="S49" s="2"/>
      <c r="T49" s="2"/>
      <c r="U49" s="2"/>
      <c r="V49" s="2"/>
      <c r="W49" s="2"/>
      <c r="X49" s="2"/>
      <c r="Y49" s="2"/>
    </row>
    <row r="50" spans="1:25" ht="15.75" x14ac:dyDescent="0.2">
      <c r="A50" s="41" t="s">
        <v>476</v>
      </c>
      <c r="B50" s="11" t="str">
        <f t="shared" si="15"/>
        <v xml:space="preserve">04 </v>
      </c>
      <c r="C50" s="44">
        <v>1</v>
      </c>
      <c r="D50" s="12" t="s">
        <v>229</v>
      </c>
      <c r="E50" s="13" t="str">
        <f>+IF(F50=0,0,CONCATENATE(MID(F50,FIND("-",F50,1)+1,4),"ORAS"))</f>
        <v>15 HORAS</v>
      </c>
      <c r="F50" s="14" t="s">
        <v>351</v>
      </c>
      <c r="G50" s="362">
        <f t="shared" si="16"/>
        <v>1955007</v>
      </c>
      <c r="H50" s="2"/>
      <c r="I50" s="2"/>
      <c r="J50" s="437"/>
      <c r="K50" s="437"/>
      <c r="L50" s="437"/>
      <c r="M50" s="437"/>
      <c r="N50" s="437"/>
      <c r="O50" s="437"/>
      <c r="P50" s="437"/>
      <c r="Q50" s="2"/>
      <c r="R50" s="2"/>
      <c r="S50" s="2"/>
      <c r="T50" s="2"/>
      <c r="U50" s="2"/>
      <c r="V50" s="2"/>
      <c r="W50" s="2"/>
      <c r="X50" s="2"/>
      <c r="Y50" s="2"/>
    </row>
    <row r="51" spans="1:25" ht="15.75" x14ac:dyDescent="0.2">
      <c r="A51" s="77" t="s">
        <v>477</v>
      </c>
      <c r="B51" s="11" t="str">
        <f t="shared" si="15"/>
        <v xml:space="preserve">04 </v>
      </c>
      <c r="C51" s="44">
        <v>1</v>
      </c>
      <c r="D51" s="12" t="s">
        <v>229</v>
      </c>
      <c r="E51" s="13" t="str">
        <f>+IF(F51=0,0,CONCATENATE(MID(F51,FIND("-",F51,1)+1,4),"ORAS"))</f>
        <v>15 HORAS</v>
      </c>
      <c r="F51" s="14" t="s">
        <v>351</v>
      </c>
      <c r="G51" s="362">
        <f t="shared" si="16"/>
        <v>1955007</v>
      </c>
      <c r="H51" s="2"/>
      <c r="I51" s="2"/>
      <c r="J51" s="437"/>
      <c r="K51" s="437"/>
      <c r="L51" s="437"/>
      <c r="M51" s="437"/>
      <c r="N51" s="437"/>
      <c r="O51" s="437"/>
      <c r="P51" s="437"/>
      <c r="Q51" s="2"/>
      <c r="R51" s="2"/>
      <c r="S51" s="2"/>
      <c r="T51" s="2"/>
      <c r="U51" s="2"/>
      <c r="V51" s="2"/>
      <c r="W51" s="2"/>
      <c r="X51" s="2"/>
      <c r="Y51" s="2"/>
    </row>
    <row r="52" spans="1:25" ht="15.75" x14ac:dyDescent="0.2">
      <c r="A52" s="77"/>
      <c r="B52" s="11">
        <f t="shared" si="15"/>
        <v>0</v>
      </c>
      <c r="C52" s="44"/>
      <c r="D52" s="44"/>
      <c r="E52" s="13"/>
      <c r="F52" s="14">
        <v>0</v>
      </c>
      <c r="G52" s="341">
        <f t="shared" si="16"/>
        <v>0</v>
      </c>
      <c r="H52" s="2"/>
      <c r="I52" s="2"/>
      <c r="J52" s="437"/>
      <c r="K52" s="437"/>
      <c r="L52" s="437"/>
      <c r="M52" s="437"/>
      <c r="N52" s="437"/>
      <c r="O52" s="437"/>
      <c r="P52" s="437"/>
      <c r="Q52" s="2"/>
      <c r="R52" s="2"/>
      <c r="S52" s="2"/>
      <c r="T52" s="2"/>
      <c r="U52" s="2"/>
      <c r="V52" s="2"/>
      <c r="W52" s="2"/>
      <c r="X52" s="2"/>
      <c r="Y52" s="2"/>
    </row>
    <row r="53" spans="1:25" ht="15.75" x14ac:dyDescent="0.2">
      <c r="A53" s="77"/>
      <c r="B53" s="11">
        <f t="shared" si="15"/>
        <v>0</v>
      </c>
      <c r="C53" s="44"/>
      <c r="D53" s="44"/>
      <c r="E53" s="13"/>
      <c r="F53" s="14">
        <v>0</v>
      </c>
      <c r="G53" s="341">
        <f t="shared" si="16"/>
        <v>0</v>
      </c>
      <c r="H53" s="2"/>
      <c r="I53" s="2"/>
      <c r="J53" s="437"/>
      <c r="K53" s="437"/>
      <c r="L53" s="437"/>
      <c r="M53" s="437"/>
      <c r="N53" s="437"/>
      <c r="O53" s="437"/>
      <c r="P53" s="437"/>
      <c r="Q53" s="2"/>
      <c r="R53" s="2"/>
      <c r="S53" s="2"/>
      <c r="T53" s="2"/>
      <c r="U53" s="2"/>
      <c r="V53" s="2"/>
      <c r="W53" s="2"/>
      <c r="X53" s="2"/>
      <c r="Y53" s="2"/>
    </row>
    <row r="54" spans="1:25" ht="15.75" x14ac:dyDescent="0.2">
      <c r="A54" s="77"/>
      <c r="B54" s="11">
        <f t="shared" si="15"/>
        <v>0</v>
      </c>
      <c r="C54" s="44"/>
      <c r="D54" s="44"/>
      <c r="E54" s="13"/>
      <c r="F54" s="14">
        <v>0</v>
      </c>
      <c r="G54" s="341">
        <f t="shared" si="16"/>
        <v>0</v>
      </c>
      <c r="H54" s="2"/>
      <c r="I54" s="2"/>
      <c r="J54" s="437"/>
      <c r="K54" s="437"/>
      <c r="L54" s="437"/>
      <c r="M54" s="437"/>
      <c r="N54" s="437"/>
      <c r="O54" s="437"/>
      <c r="P54" s="437"/>
      <c r="Q54" s="2"/>
      <c r="R54" s="2"/>
      <c r="S54" s="2"/>
      <c r="T54" s="2"/>
      <c r="U54" s="2"/>
      <c r="V54" s="2"/>
      <c r="W54" s="2"/>
      <c r="X54" s="2"/>
      <c r="Y54" s="2"/>
    </row>
    <row r="55" spans="1:25" ht="15.75" x14ac:dyDescent="0.2">
      <c r="A55" s="438" t="s">
        <v>23</v>
      </c>
      <c r="B55" s="438"/>
      <c r="C55" s="438"/>
      <c r="D55" s="438"/>
      <c r="E55" s="438"/>
      <c r="F55" s="438"/>
      <c r="G55" s="438"/>
      <c r="H55" s="2"/>
      <c r="I55" s="2"/>
      <c r="J55" s="437"/>
      <c r="K55" s="437"/>
      <c r="L55" s="437"/>
      <c r="M55" s="437"/>
      <c r="N55" s="437"/>
      <c r="O55" s="437"/>
      <c r="P55" s="437"/>
      <c r="Q55" s="2"/>
      <c r="R55" s="2"/>
      <c r="S55" s="2"/>
      <c r="T55" s="2"/>
      <c r="U55" s="2"/>
      <c r="V55" s="2"/>
      <c r="W55" s="2"/>
      <c r="X55" s="2"/>
      <c r="Y55" s="2"/>
    </row>
    <row r="56" spans="1:25" ht="15.75" x14ac:dyDescent="0.2">
      <c r="A56" s="373" t="s">
        <v>4</v>
      </c>
      <c r="B56" s="72" t="s">
        <v>5</v>
      </c>
      <c r="C56" s="72" t="s">
        <v>6</v>
      </c>
      <c r="D56" s="72" t="s">
        <v>7</v>
      </c>
      <c r="E56" s="72" t="s">
        <v>8</v>
      </c>
      <c r="F56" s="72" t="s">
        <v>9</v>
      </c>
      <c r="G56" s="72" t="s">
        <v>10</v>
      </c>
      <c r="H56" s="2"/>
      <c r="I56" s="2"/>
      <c r="J56" s="437"/>
      <c r="K56" s="437"/>
      <c r="L56" s="437"/>
      <c r="M56" s="437"/>
      <c r="N56" s="437"/>
      <c r="O56" s="437"/>
      <c r="P56" s="437"/>
      <c r="Q56" s="2"/>
      <c r="R56" s="2"/>
      <c r="S56" s="2"/>
      <c r="T56" s="2"/>
      <c r="U56" s="2"/>
      <c r="V56" s="2"/>
      <c r="W56" s="2"/>
      <c r="X56" s="2"/>
      <c r="Y56" s="2"/>
    </row>
    <row r="57" spans="1:25" ht="15.75" x14ac:dyDescent="0.25">
      <c r="A57" s="78" t="s">
        <v>41</v>
      </c>
      <c r="B57" s="11" t="str">
        <f t="shared" ref="B57:B66" si="17">+IF(F57=0,0,MID(F57,LEN(F57)-4,3))</f>
        <v xml:space="preserve">03 </v>
      </c>
      <c r="C57" s="372">
        <v>1</v>
      </c>
      <c r="D57" s="12" t="s">
        <v>229</v>
      </c>
      <c r="E57" s="13" t="str">
        <f t="shared" ref="E57:E66" si="18">+IF(F57=0,0,CONCATENATE(MID(F57,FIND("-",F57,1)+1,4),"ORAS"))</f>
        <v>15 HORAS</v>
      </c>
      <c r="F57" s="14" t="s">
        <v>367</v>
      </c>
      <c r="G57" s="362">
        <f t="shared" ref="G57:G67" si="19">+IF(F57="","",VLOOKUP(F57,$H$142:$I$220,2,FALSE))</f>
        <v>1505234</v>
      </c>
      <c r="H57" s="2"/>
      <c r="I57" s="2"/>
      <c r="J57" s="437"/>
      <c r="K57" s="437"/>
      <c r="L57" s="437"/>
      <c r="M57" s="437"/>
      <c r="N57" s="437"/>
      <c r="O57" s="437"/>
      <c r="P57" s="437"/>
      <c r="Q57" s="2"/>
      <c r="R57" s="2"/>
      <c r="S57" s="2"/>
      <c r="T57" s="2"/>
      <c r="U57" s="2"/>
      <c r="V57" s="2"/>
      <c r="W57" s="2"/>
      <c r="X57" s="2"/>
      <c r="Y57" s="2"/>
    </row>
    <row r="58" spans="1:25" ht="15.75" x14ac:dyDescent="0.25">
      <c r="A58" s="78" t="s">
        <v>42</v>
      </c>
      <c r="B58" s="11" t="str">
        <f t="shared" si="17"/>
        <v xml:space="preserve">03 </v>
      </c>
      <c r="C58" s="372">
        <v>1</v>
      </c>
      <c r="D58" s="12" t="s">
        <v>229</v>
      </c>
      <c r="E58" s="13" t="str">
        <f t="shared" si="18"/>
        <v>15 HORAS</v>
      </c>
      <c r="F58" s="14" t="s">
        <v>367</v>
      </c>
      <c r="G58" s="362">
        <f t="shared" si="19"/>
        <v>1505234</v>
      </c>
      <c r="H58" s="2"/>
      <c r="I58" s="2"/>
      <c r="J58" s="437"/>
      <c r="K58" s="437"/>
      <c r="L58" s="437"/>
      <c r="M58" s="437"/>
      <c r="N58" s="437"/>
      <c r="O58" s="437"/>
      <c r="P58" s="437"/>
      <c r="Q58" s="2"/>
      <c r="R58" s="2"/>
      <c r="S58" s="2"/>
      <c r="T58" s="2"/>
      <c r="U58" s="2"/>
      <c r="V58" s="2"/>
      <c r="W58" s="2"/>
      <c r="X58" s="2"/>
      <c r="Y58" s="2"/>
    </row>
    <row r="59" spans="1:25" ht="15.75" x14ac:dyDescent="0.25">
      <c r="A59" s="78" t="s">
        <v>43</v>
      </c>
      <c r="B59" s="11" t="str">
        <f t="shared" si="17"/>
        <v xml:space="preserve">03 </v>
      </c>
      <c r="C59" s="372">
        <v>1</v>
      </c>
      <c r="D59" s="12" t="s">
        <v>229</v>
      </c>
      <c r="E59" s="13" t="str">
        <f t="shared" si="18"/>
        <v>15 HORAS</v>
      </c>
      <c r="F59" s="14" t="s">
        <v>367</v>
      </c>
      <c r="G59" s="362">
        <f t="shared" si="19"/>
        <v>1505234</v>
      </c>
      <c r="H59" s="2"/>
      <c r="I59" s="2"/>
      <c r="J59" s="437"/>
      <c r="K59" s="437"/>
      <c r="L59" s="437"/>
      <c r="M59" s="437"/>
      <c r="N59" s="437"/>
      <c r="O59" s="437"/>
      <c r="P59" s="437"/>
      <c r="Q59" s="2"/>
      <c r="R59" s="2"/>
      <c r="S59" s="2"/>
      <c r="T59" s="2"/>
      <c r="U59" s="2"/>
      <c r="V59" s="2"/>
      <c r="W59" s="2"/>
      <c r="X59" s="2"/>
      <c r="Y59" s="2"/>
    </row>
    <row r="60" spans="1:25" ht="15.75" x14ac:dyDescent="0.25">
      <c r="A60" s="78" t="s">
        <v>171</v>
      </c>
      <c r="B60" s="11" t="str">
        <f t="shared" si="17"/>
        <v xml:space="preserve">03 </v>
      </c>
      <c r="C60" s="372">
        <v>1</v>
      </c>
      <c r="D60" s="12" t="s">
        <v>229</v>
      </c>
      <c r="E60" s="13" t="str">
        <f t="shared" si="18"/>
        <v>15 HORAS</v>
      </c>
      <c r="F60" s="14" t="s">
        <v>367</v>
      </c>
      <c r="G60" s="362">
        <f t="shared" si="19"/>
        <v>1505234</v>
      </c>
      <c r="H60" s="2"/>
      <c r="I60" s="2"/>
      <c r="J60" s="437"/>
      <c r="K60" s="437"/>
      <c r="L60" s="437"/>
      <c r="M60" s="437"/>
      <c r="N60" s="437"/>
      <c r="O60" s="437"/>
      <c r="P60" s="437"/>
      <c r="Q60" s="2"/>
      <c r="R60" s="2"/>
      <c r="S60" s="2"/>
      <c r="T60" s="2"/>
      <c r="U60" s="2"/>
      <c r="V60" s="2"/>
      <c r="W60" s="2"/>
      <c r="X60" s="2"/>
      <c r="Y60" s="2"/>
    </row>
    <row r="61" spans="1:25" ht="15.75" x14ac:dyDescent="0.25">
      <c r="A61" s="78" t="s">
        <v>172</v>
      </c>
      <c r="B61" s="11" t="str">
        <f t="shared" si="17"/>
        <v xml:space="preserve">03 </v>
      </c>
      <c r="C61" s="372">
        <v>1</v>
      </c>
      <c r="D61" s="12" t="s">
        <v>229</v>
      </c>
      <c r="E61" s="13" t="str">
        <f t="shared" si="18"/>
        <v>15 HORAS</v>
      </c>
      <c r="F61" s="14" t="s">
        <v>367</v>
      </c>
      <c r="G61" s="362">
        <f t="shared" si="19"/>
        <v>1505234</v>
      </c>
      <c r="H61" s="2"/>
      <c r="I61" s="2"/>
      <c r="J61" s="437"/>
      <c r="K61" s="437"/>
      <c r="L61" s="437"/>
      <c r="M61" s="437"/>
      <c r="N61" s="437"/>
      <c r="O61" s="437"/>
      <c r="P61" s="437"/>
      <c r="Q61" s="2"/>
      <c r="R61" s="2"/>
      <c r="S61" s="2"/>
      <c r="T61" s="2"/>
      <c r="U61" s="2"/>
      <c r="V61" s="2"/>
      <c r="W61" s="2"/>
      <c r="X61" s="2"/>
      <c r="Y61" s="2"/>
    </row>
    <row r="62" spans="1:25" ht="15.75" x14ac:dyDescent="0.25">
      <c r="A62" s="78" t="s">
        <v>173</v>
      </c>
      <c r="B62" s="11" t="str">
        <f t="shared" si="17"/>
        <v xml:space="preserve">03 </v>
      </c>
      <c r="C62" s="372">
        <v>1</v>
      </c>
      <c r="D62" s="12" t="s">
        <v>229</v>
      </c>
      <c r="E62" s="13" t="str">
        <f t="shared" si="18"/>
        <v>15 HORAS</v>
      </c>
      <c r="F62" s="14" t="s">
        <v>367</v>
      </c>
      <c r="G62" s="362">
        <f t="shared" si="19"/>
        <v>1505234</v>
      </c>
      <c r="H62" s="2"/>
      <c r="I62" s="2"/>
      <c r="J62" s="437"/>
      <c r="K62" s="437"/>
      <c r="L62" s="437"/>
      <c r="M62" s="437"/>
      <c r="N62" s="437"/>
      <c r="O62" s="437"/>
      <c r="P62" s="437"/>
      <c r="Q62" s="2"/>
      <c r="R62" s="2"/>
      <c r="S62" s="2"/>
      <c r="T62" s="2"/>
      <c r="U62" s="2"/>
      <c r="V62" s="2"/>
      <c r="W62" s="2"/>
      <c r="X62" s="2"/>
      <c r="Y62" s="2"/>
    </row>
    <row r="63" spans="1:25" ht="15.75" x14ac:dyDescent="0.25">
      <c r="A63" s="78" t="s">
        <v>44</v>
      </c>
      <c r="B63" s="11" t="str">
        <f t="shared" si="17"/>
        <v xml:space="preserve">03 </v>
      </c>
      <c r="C63" s="372">
        <v>1</v>
      </c>
      <c r="D63" s="12" t="s">
        <v>229</v>
      </c>
      <c r="E63" s="13" t="str">
        <f t="shared" si="18"/>
        <v>15 HORAS</v>
      </c>
      <c r="F63" s="14" t="s">
        <v>367</v>
      </c>
      <c r="G63" s="362">
        <f t="shared" si="19"/>
        <v>1505234</v>
      </c>
      <c r="H63" s="2"/>
      <c r="I63" s="2"/>
      <c r="J63" s="437"/>
      <c r="K63" s="437"/>
      <c r="L63" s="437"/>
      <c r="M63" s="437"/>
      <c r="N63" s="437"/>
      <c r="O63" s="437"/>
      <c r="P63" s="437"/>
      <c r="Q63" s="2"/>
      <c r="R63" s="2"/>
      <c r="S63" s="2"/>
      <c r="T63" s="2"/>
      <c r="U63" s="2"/>
      <c r="V63" s="2"/>
      <c r="W63" s="2"/>
      <c r="X63" s="2"/>
      <c r="Y63" s="2"/>
    </row>
    <row r="64" spans="1:25" ht="15.75" x14ac:dyDescent="0.25">
      <c r="A64" s="78" t="s">
        <v>45</v>
      </c>
      <c r="B64" s="11" t="str">
        <f t="shared" si="17"/>
        <v xml:space="preserve">02 </v>
      </c>
      <c r="C64" s="372">
        <v>1</v>
      </c>
      <c r="D64" s="12" t="s">
        <v>229</v>
      </c>
      <c r="E64" s="13" t="str">
        <f t="shared" si="18"/>
        <v>15 HORAS</v>
      </c>
      <c r="F64" s="14" t="s">
        <v>368</v>
      </c>
      <c r="G64" s="375">
        <f t="shared" si="19"/>
        <v>1308251</v>
      </c>
      <c r="H64" s="2"/>
      <c r="I64" s="2"/>
      <c r="J64" s="437"/>
      <c r="K64" s="437"/>
      <c r="L64" s="437"/>
      <c r="M64" s="437"/>
      <c r="N64" s="437"/>
      <c r="O64" s="437"/>
      <c r="P64" s="437"/>
      <c r="Q64" s="2"/>
      <c r="R64" s="2"/>
      <c r="S64" s="2"/>
      <c r="T64" s="2"/>
      <c r="U64" s="2"/>
      <c r="V64" s="2"/>
      <c r="W64" s="2"/>
      <c r="X64" s="2"/>
      <c r="Y64" s="2"/>
    </row>
    <row r="65" spans="1:31" ht="15.75" x14ac:dyDescent="0.25">
      <c r="A65" s="78"/>
      <c r="B65" s="11">
        <f t="shared" si="17"/>
        <v>0</v>
      </c>
      <c r="C65" s="372"/>
      <c r="D65" s="12"/>
      <c r="E65" s="13">
        <f t="shared" si="18"/>
        <v>0</v>
      </c>
      <c r="F65" s="14">
        <v>0</v>
      </c>
      <c r="G65" s="341">
        <f t="shared" si="19"/>
        <v>0</v>
      </c>
      <c r="H65" s="2"/>
      <c r="I65" s="2"/>
      <c r="J65" s="437"/>
      <c r="K65" s="437"/>
      <c r="L65" s="437"/>
      <c r="M65" s="437"/>
      <c r="N65" s="437"/>
      <c r="O65" s="437"/>
      <c r="P65" s="437"/>
      <c r="Q65" s="2"/>
      <c r="R65" s="2"/>
      <c r="S65" s="2"/>
      <c r="T65" s="2"/>
      <c r="U65" s="2"/>
      <c r="V65" s="2"/>
      <c r="W65" s="2"/>
      <c r="X65" s="2"/>
      <c r="Y65" s="2"/>
    </row>
    <row r="66" spans="1:31" ht="15.75" x14ac:dyDescent="0.25">
      <c r="A66" s="78"/>
      <c r="B66" s="11">
        <f t="shared" si="17"/>
        <v>0</v>
      </c>
      <c r="C66" s="372"/>
      <c r="D66" s="12"/>
      <c r="E66" s="13">
        <f t="shared" si="18"/>
        <v>0</v>
      </c>
      <c r="F66" s="14">
        <v>0</v>
      </c>
      <c r="G66" s="341">
        <f t="shared" si="19"/>
        <v>0</v>
      </c>
      <c r="H66" s="2"/>
      <c r="I66" s="2"/>
      <c r="J66" s="437"/>
      <c r="K66" s="437"/>
      <c r="L66" s="437"/>
      <c r="M66" s="437"/>
      <c r="N66" s="437"/>
      <c r="O66" s="437"/>
      <c r="P66" s="437"/>
      <c r="Q66" s="2"/>
      <c r="R66" s="2"/>
      <c r="S66" s="2"/>
      <c r="T66" s="2"/>
      <c r="U66" s="2"/>
      <c r="V66" s="2"/>
      <c r="W66" s="2"/>
      <c r="X66" s="2"/>
      <c r="Y66" s="2"/>
    </row>
    <row r="67" spans="1:31" ht="15.75" x14ac:dyDescent="0.25">
      <c r="A67" s="77"/>
      <c r="B67" s="16"/>
      <c r="C67" s="372"/>
      <c r="D67" s="80"/>
      <c r="E67" s="14"/>
      <c r="F67" s="14"/>
      <c r="G67" s="341" t="str">
        <f t="shared" si="19"/>
        <v/>
      </c>
      <c r="H67" s="2"/>
      <c r="I67" s="2"/>
      <c r="J67" s="437"/>
      <c r="K67" s="437"/>
      <c r="L67" s="437"/>
      <c r="M67" s="437"/>
      <c r="N67" s="437"/>
      <c r="O67" s="437"/>
      <c r="P67" s="437"/>
      <c r="Q67" s="2"/>
      <c r="R67" s="2"/>
      <c r="S67" s="2"/>
      <c r="T67" s="2"/>
      <c r="U67" s="2"/>
      <c r="V67" s="2"/>
      <c r="W67" s="2"/>
      <c r="X67" s="2"/>
      <c r="Y67" s="2"/>
    </row>
    <row r="68" spans="1:31" ht="15.75" x14ac:dyDescent="0.2">
      <c r="A68" s="77" t="s">
        <v>29</v>
      </c>
      <c r="B68" s="47">
        <f>+B57+B58+B59+B60+B61+B67+B62+B63+B64+B65+B66+B49+B50+B51+B52+B53+B54</f>
        <v>35</v>
      </c>
      <c r="C68" s="48">
        <f>C62+C63+C64+C65+C66+C49+C50+C51+C52+C53+C57+C58+C59+C60+C61+C67</f>
        <v>11</v>
      </c>
      <c r="D68" s="48"/>
      <c r="E68" s="81"/>
      <c r="F68" s="48"/>
      <c r="G68" s="33">
        <f>SUM(G49:G54,G57:G67)</f>
        <v>17709910</v>
      </c>
      <c r="H68" s="2"/>
      <c r="I68" s="2"/>
      <c r="J68" s="437"/>
      <c r="K68" s="437"/>
      <c r="L68" s="437"/>
      <c r="M68" s="437"/>
      <c r="N68" s="437"/>
      <c r="O68" s="437"/>
      <c r="P68" s="437"/>
      <c r="Q68" s="2"/>
      <c r="R68" s="2"/>
      <c r="S68" s="2"/>
      <c r="T68" s="2"/>
      <c r="U68" s="2"/>
      <c r="V68" s="2"/>
      <c r="W68" s="2"/>
      <c r="X68" s="2"/>
      <c r="Y68" s="2"/>
    </row>
    <row r="69" spans="1:31" ht="15" x14ac:dyDescent="0.2">
      <c r="A69" s="2"/>
      <c r="B69" s="2"/>
      <c r="C69" s="2"/>
      <c r="D69" s="2"/>
      <c r="E69" s="2"/>
      <c r="F69" s="2"/>
      <c r="G69" s="2"/>
      <c r="H69" s="2"/>
      <c r="I69" s="2"/>
      <c r="J69" s="2"/>
      <c r="K69" s="2"/>
      <c r="L69" s="2"/>
      <c r="M69" s="2"/>
      <c r="N69" s="2"/>
      <c r="O69" s="295"/>
      <c r="P69" s="2"/>
      <c r="Q69" s="2"/>
      <c r="R69" s="2"/>
      <c r="S69" s="2"/>
      <c r="T69" s="2"/>
      <c r="U69" s="2"/>
      <c r="V69" s="2"/>
      <c r="W69" s="2"/>
      <c r="X69" s="2"/>
      <c r="Y69" s="2"/>
    </row>
    <row r="70" spans="1:31" ht="15" x14ac:dyDescent="0.2">
      <c r="A70" s="59" t="s">
        <v>32</v>
      </c>
      <c r="B70" s="278">
        <f>B68+B43+B25</f>
        <v>91</v>
      </c>
      <c r="C70" s="278">
        <f>C68+C43+C25</f>
        <v>26</v>
      </c>
      <c r="D70" s="59">
        <f>D68+D43+D25</f>
        <v>0</v>
      </c>
      <c r="E70" s="2"/>
      <c r="F70" s="2"/>
      <c r="G70" s="33">
        <f>SUM(G25,G43,G68)</f>
        <v>47873657</v>
      </c>
      <c r="H70" s="2"/>
      <c r="I70" s="2"/>
      <c r="J70" s="2"/>
      <c r="K70" s="2"/>
      <c r="L70" s="2"/>
      <c r="M70" s="2"/>
      <c r="N70" s="2"/>
      <c r="O70" s="295"/>
      <c r="P70" s="2"/>
      <c r="Q70" s="2"/>
      <c r="R70" s="2"/>
      <c r="S70" s="2"/>
      <c r="T70" s="2"/>
      <c r="U70" s="2"/>
      <c r="V70" s="2"/>
      <c r="W70" s="2"/>
      <c r="X70" s="2"/>
      <c r="Y70" s="2"/>
    </row>
    <row r="71" spans="1:31" ht="15.75" x14ac:dyDescent="0.25">
      <c r="A71" s="2"/>
      <c r="B71" s="2"/>
      <c r="C71" s="2"/>
      <c r="D71" s="2"/>
      <c r="E71" s="2"/>
      <c r="F71" s="2"/>
      <c r="G71" s="2"/>
      <c r="H71" s="2"/>
      <c r="I71" s="2"/>
      <c r="J71" s="82" t="s">
        <v>46</v>
      </c>
      <c r="K71" s="83">
        <f>K28+B70+T36+AB28</f>
        <v>118</v>
      </c>
      <c r="L71" s="84"/>
      <c r="M71" s="85"/>
      <c r="N71" s="85"/>
      <c r="O71" s="298"/>
      <c r="P71" s="85"/>
      <c r="Q71" s="2"/>
      <c r="R71" s="2"/>
      <c r="S71" s="2"/>
      <c r="T71" s="2"/>
      <c r="U71" s="2"/>
      <c r="V71" s="2"/>
      <c r="W71" s="2"/>
      <c r="X71" s="2"/>
      <c r="Y71" s="2"/>
    </row>
    <row r="72" spans="1:31" ht="16.5" thickBot="1" x14ac:dyDescent="0.3">
      <c r="A72" s="2"/>
      <c r="B72" s="2"/>
      <c r="C72" s="2"/>
      <c r="D72" s="2"/>
      <c r="E72" s="2"/>
      <c r="F72" s="2"/>
      <c r="G72" s="2"/>
      <c r="H72" s="2"/>
      <c r="I72" s="2"/>
      <c r="J72" s="82" t="s">
        <v>47</v>
      </c>
      <c r="K72" s="86">
        <f>L28+C70+U36+AC28</f>
        <v>36</v>
      </c>
      <c r="L72" s="2"/>
      <c r="M72" s="87" t="s">
        <v>0</v>
      </c>
      <c r="N72" s="87" t="s">
        <v>30</v>
      </c>
      <c r="O72" s="299" t="s">
        <v>40</v>
      </c>
      <c r="P72" s="88"/>
      <c r="R72" s="89"/>
      <c r="T72" s="2"/>
      <c r="U72" s="2"/>
      <c r="V72" s="2"/>
      <c r="W72" s="2"/>
      <c r="X72" s="2"/>
      <c r="Y72" s="2"/>
    </row>
    <row r="73" spans="1:31" ht="27" customHeight="1" thickBot="1" x14ac:dyDescent="0.3">
      <c r="A73" s="2"/>
      <c r="B73" s="2"/>
      <c r="C73" s="2"/>
      <c r="D73" s="2"/>
      <c r="E73" s="2"/>
      <c r="F73" s="2"/>
      <c r="G73" s="2"/>
      <c r="H73" s="2"/>
      <c r="I73" s="2"/>
      <c r="J73" s="90" t="s">
        <v>48</v>
      </c>
      <c r="K73" s="439">
        <f>SUM(G70,P28,Y36)</f>
        <v>67187397</v>
      </c>
      <c r="L73" s="440"/>
      <c r="M73" s="91">
        <f>SUM(G25,Y23:Y25)</f>
        <v>19375288</v>
      </c>
      <c r="N73" s="92">
        <f>SUM(G43,P4:P18,P21:P27,Y4:Y8,Y18:Y19,Y26:Y27)</f>
        <v>28496476</v>
      </c>
      <c r="O73" s="300">
        <f>SUM(G49:G54,G57:G66,Y28:Y33)</f>
        <v>19315633</v>
      </c>
      <c r="P73" s="93">
        <f>SUM(M73:O73)</f>
        <v>67187397</v>
      </c>
      <c r="R73" s="94"/>
      <c r="S73" s="95"/>
      <c r="T73" s="2"/>
      <c r="U73" s="2"/>
      <c r="V73" s="2"/>
      <c r="W73" s="2"/>
      <c r="X73" s="2"/>
      <c r="Y73" s="2"/>
    </row>
    <row r="74" spans="1:31" ht="13.5" thickBot="1" x14ac:dyDescent="0.25"/>
    <row r="75" spans="1:31" ht="36" customHeight="1" thickBot="1" x14ac:dyDescent="0.25">
      <c r="A75" s="441" t="s">
        <v>49</v>
      </c>
      <c r="B75" s="442"/>
      <c r="C75" s="442"/>
      <c r="D75" s="442"/>
      <c r="E75" s="442"/>
      <c r="F75" s="442"/>
      <c r="G75" s="442"/>
      <c r="H75" s="442"/>
      <c r="I75" s="442"/>
      <c r="J75" s="442"/>
      <c r="K75" s="442"/>
      <c r="L75" s="442"/>
      <c r="M75" s="442"/>
      <c r="N75" s="442"/>
      <c r="O75" s="442"/>
      <c r="P75" s="442"/>
      <c r="Q75" s="442"/>
      <c r="R75" s="442"/>
      <c r="S75" s="442"/>
      <c r="T75" s="442"/>
      <c r="U75" s="442"/>
      <c r="V75" s="442"/>
      <c r="W75" s="442"/>
      <c r="X75" s="442"/>
      <c r="Y75" s="442"/>
      <c r="Z75" s="442"/>
      <c r="AA75" s="442"/>
      <c r="AB75" s="442"/>
      <c r="AC75" s="442"/>
      <c r="AD75" s="442"/>
      <c r="AE75" s="443"/>
    </row>
    <row r="76" spans="1:31" ht="286.5" customHeight="1" x14ac:dyDescent="0.2">
      <c r="A76" s="431" t="s">
        <v>478</v>
      </c>
      <c r="B76" s="432"/>
      <c r="C76" s="432"/>
      <c r="D76" s="432"/>
      <c r="E76" s="432"/>
      <c r="F76" s="432"/>
      <c r="G76" s="432"/>
      <c r="H76" s="432"/>
      <c r="I76" s="432"/>
      <c r="J76" s="432"/>
      <c r="K76" s="432"/>
      <c r="L76" s="432"/>
      <c r="M76" s="432"/>
      <c r="N76" s="432"/>
      <c r="O76" s="432"/>
      <c r="P76" s="432"/>
      <c r="Q76" s="432"/>
      <c r="R76" s="432"/>
      <c r="S76" s="432"/>
      <c r="T76" s="432"/>
      <c r="U76" s="432"/>
      <c r="V76" s="432"/>
      <c r="W76" s="432"/>
      <c r="X76" s="432"/>
      <c r="Y76" s="432"/>
      <c r="Z76" s="344"/>
      <c r="AA76" s="344"/>
      <c r="AB76" s="344"/>
      <c r="AC76" s="344"/>
      <c r="AD76" s="344"/>
      <c r="AE76" s="344"/>
    </row>
    <row r="77" spans="1:31" ht="222.75" customHeight="1" x14ac:dyDescent="0.2">
      <c r="A77" s="433"/>
      <c r="B77" s="433"/>
      <c r="C77" s="433"/>
      <c r="D77" s="433"/>
      <c r="E77" s="433"/>
      <c r="F77" s="433"/>
      <c r="G77" s="433"/>
      <c r="H77" s="433"/>
      <c r="I77" s="433"/>
      <c r="J77" s="433"/>
      <c r="K77" s="433"/>
      <c r="L77" s="433"/>
      <c r="M77" s="433"/>
      <c r="N77" s="433"/>
      <c r="O77" s="433"/>
      <c r="P77" s="433"/>
      <c r="Q77" s="433"/>
      <c r="R77" s="433"/>
      <c r="S77" s="433"/>
      <c r="T77" s="433"/>
      <c r="U77" s="433"/>
      <c r="V77" s="433"/>
      <c r="W77" s="433"/>
      <c r="X77" s="433"/>
      <c r="Y77" s="433"/>
      <c r="Z77" s="343"/>
      <c r="AA77" s="343"/>
      <c r="AB77" s="343"/>
      <c r="AC77" s="343"/>
      <c r="AD77" s="343"/>
      <c r="AE77" s="343"/>
    </row>
    <row r="78" spans="1:31" ht="109.5" customHeight="1" x14ac:dyDescent="0.2">
      <c r="A78" s="433"/>
      <c r="B78" s="433"/>
      <c r="C78" s="433"/>
      <c r="D78" s="433"/>
      <c r="E78" s="433"/>
      <c r="F78" s="433"/>
      <c r="G78" s="433"/>
      <c r="H78" s="433"/>
      <c r="I78" s="433"/>
      <c r="J78" s="433"/>
      <c r="K78" s="433"/>
      <c r="L78" s="433"/>
      <c r="M78" s="433"/>
      <c r="N78" s="433"/>
      <c r="O78" s="433"/>
      <c r="P78" s="433"/>
      <c r="Q78" s="433"/>
      <c r="R78" s="433"/>
      <c r="S78" s="433"/>
      <c r="T78" s="433"/>
      <c r="U78" s="433"/>
      <c r="V78" s="433"/>
      <c r="W78" s="433"/>
      <c r="X78" s="433"/>
      <c r="Y78" s="433"/>
      <c r="Z78" s="343"/>
      <c r="AA78" s="343"/>
      <c r="AB78" s="343"/>
      <c r="AC78" s="343"/>
      <c r="AD78" s="343"/>
      <c r="AE78" s="343"/>
    </row>
    <row r="79" spans="1:31" ht="148.5" customHeight="1" x14ac:dyDescent="0.2">
      <c r="A79" s="433"/>
      <c r="B79" s="433"/>
      <c r="C79" s="433"/>
      <c r="D79" s="433"/>
      <c r="E79" s="433"/>
      <c r="F79" s="433"/>
      <c r="G79" s="433"/>
      <c r="H79" s="433"/>
      <c r="I79" s="433"/>
      <c r="J79" s="433"/>
      <c r="K79" s="433"/>
      <c r="L79" s="433"/>
      <c r="M79" s="433"/>
      <c r="N79" s="433"/>
      <c r="O79" s="433"/>
      <c r="P79" s="433"/>
      <c r="Q79" s="433"/>
      <c r="R79" s="433"/>
      <c r="S79" s="433"/>
      <c r="T79" s="433"/>
      <c r="U79" s="433"/>
      <c r="V79" s="433"/>
      <c r="W79" s="433"/>
      <c r="X79" s="433"/>
      <c r="Y79" s="433"/>
      <c r="Z79" s="343"/>
      <c r="AA79" s="343"/>
      <c r="AB79" s="343"/>
      <c r="AC79" s="343"/>
      <c r="AD79" s="343"/>
      <c r="AE79" s="343"/>
    </row>
    <row r="80" spans="1:31" ht="90" customHeight="1" x14ac:dyDescent="0.2">
      <c r="A80" s="433"/>
      <c r="B80" s="433"/>
      <c r="C80" s="433"/>
      <c r="D80" s="433"/>
      <c r="E80" s="433"/>
      <c r="F80" s="433"/>
      <c r="G80" s="433"/>
      <c r="H80" s="433"/>
      <c r="I80" s="433"/>
      <c r="J80" s="433"/>
      <c r="K80" s="433"/>
      <c r="L80" s="433"/>
      <c r="M80" s="433"/>
      <c r="N80" s="433"/>
      <c r="O80" s="433"/>
      <c r="P80" s="433"/>
      <c r="Q80" s="433"/>
      <c r="R80" s="433"/>
      <c r="S80" s="433"/>
      <c r="T80" s="433"/>
      <c r="U80" s="433"/>
      <c r="V80" s="433"/>
      <c r="W80" s="433"/>
      <c r="X80" s="433"/>
      <c r="Y80" s="433"/>
      <c r="Z80" s="343"/>
      <c r="AA80" s="343"/>
      <c r="AB80" s="343"/>
      <c r="AC80" s="343"/>
      <c r="AD80" s="343"/>
      <c r="AE80" s="343"/>
    </row>
    <row r="81" spans="1:31" ht="156" customHeight="1" x14ac:dyDescent="0.2">
      <c r="A81" s="433"/>
      <c r="B81" s="433"/>
      <c r="C81" s="433"/>
      <c r="D81" s="433"/>
      <c r="E81" s="433"/>
      <c r="F81" s="433"/>
      <c r="G81" s="433"/>
      <c r="H81" s="433"/>
      <c r="I81" s="433"/>
      <c r="J81" s="433"/>
      <c r="K81" s="433"/>
      <c r="L81" s="433"/>
      <c r="M81" s="433"/>
      <c r="N81" s="433"/>
      <c r="O81" s="433"/>
      <c r="P81" s="433"/>
      <c r="Q81" s="433"/>
      <c r="R81" s="433"/>
      <c r="S81" s="433"/>
      <c r="T81" s="433"/>
      <c r="U81" s="433"/>
      <c r="V81" s="433"/>
      <c r="W81" s="433"/>
      <c r="X81" s="433"/>
      <c r="Y81" s="433"/>
      <c r="Z81" s="343"/>
      <c r="AA81" s="343"/>
      <c r="AB81" s="343"/>
      <c r="AC81" s="343"/>
      <c r="AD81" s="343"/>
      <c r="AE81" s="343"/>
    </row>
    <row r="82" spans="1:31" ht="258" customHeight="1" x14ac:dyDescent="0.2">
      <c r="A82" s="433"/>
      <c r="B82" s="433"/>
      <c r="C82" s="433"/>
      <c r="D82" s="433"/>
      <c r="E82" s="433"/>
      <c r="F82" s="433"/>
      <c r="G82" s="433"/>
      <c r="H82" s="433"/>
      <c r="I82" s="433"/>
      <c r="J82" s="433"/>
      <c r="K82" s="433"/>
      <c r="L82" s="433"/>
      <c r="M82" s="433"/>
      <c r="N82" s="433"/>
      <c r="O82" s="433"/>
      <c r="P82" s="433"/>
      <c r="Q82" s="433"/>
      <c r="R82" s="433"/>
      <c r="S82" s="433"/>
      <c r="T82" s="433"/>
      <c r="U82" s="433"/>
      <c r="V82" s="433"/>
      <c r="W82" s="433"/>
      <c r="X82" s="433"/>
      <c r="Y82" s="433"/>
      <c r="Z82" s="343"/>
      <c r="AA82" s="343"/>
      <c r="AB82" s="343"/>
      <c r="AC82" s="343"/>
      <c r="AD82" s="343"/>
      <c r="AE82" s="343"/>
    </row>
    <row r="83" spans="1:31" ht="18.95" customHeight="1" x14ac:dyDescent="0.2">
      <c r="A83" s="433"/>
      <c r="B83" s="433"/>
      <c r="C83" s="433"/>
      <c r="D83" s="433"/>
      <c r="E83" s="433"/>
      <c r="F83" s="433"/>
      <c r="G83" s="433"/>
      <c r="H83" s="433"/>
      <c r="I83" s="433"/>
      <c r="J83" s="433"/>
      <c r="K83" s="433"/>
      <c r="L83" s="433"/>
      <c r="M83" s="433"/>
      <c r="N83" s="433"/>
      <c r="O83" s="433"/>
      <c r="P83" s="433"/>
      <c r="Q83" s="433"/>
      <c r="R83" s="433"/>
      <c r="S83" s="433"/>
      <c r="T83" s="433"/>
      <c r="U83" s="433"/>
      <c r="V83" s="433"/>
      <c r="W83" s="433"/>
      <c r="X83" s="433"/>
      <c r="Y83" s="433"/>
      <c r="Z83" s="343"/>
      <c r="AA83" s="343"/>
      <c r="AB83" s="343"/>
      <c r="AC83" s="343"/>
      <c r="AD83" s="343"/>
      <c r="AE83" s="343"/>
    </row>
    <row r="84" spans="1:31" ht="18.95" customHeight="1" x14ac:dyDescent="0.2">
      <c r="A84" s="433"/>
      <c r="B84" s="433"/>
      <c r="C84" s="433"/>
      <c r="D84" s="433"/>
      <c r="E84" s="433"/>
      <c r="F84" s="433"/>
      <c r="G84" s="433"/>
      <c r="H84" s="433"/>
      <c r="I84" s="433"/>
      <c r="J84" s="433"/>
      <c r="K84" s="433"/>
      <c r="L84" s="433"/>
      <c r="M84" s="433"/>
      <c r="N84" s="433"/>
      <c r="O84" s="433"/>
      <c r="P84" s="433"/>
      <c r="Q84" s="433"/>
      <c r="R84" s="433"/>
      <c r="S84" s="433"/>
      <c r="T84" s="433"/>
      <c r="U84" s="433"/>
      <c r="V84" s="433"/>
      <c r="W84" s="433"/>
      <c r="X84" s="433"/>
      <c r="Y84" s="433"/>
      <c r="Z84" s="343"/>
      <c r="AA84" s="343"/>
      <c r="AB84" s="343"/>
      <c r="AC84" s="343"/>
      <c r="AD84" s="343"/>
      <c r="AE84" s="343"/>
    </row>
    <row r="85" spans="1:31" ht="18.95" customHeight="1" x14ac:dyDescent="0.2">
      <c r="A85" s="433"/>
      <c r="B85" s="433"/>
      <c r="C85" s="433"/>
      <c r="D85" s="433"/>
      <c r="E85" s="433"/>
      <c r="F85" s="433"/>
      <c r="G85" s="433"/>
      <c r="H85" s="433"/>
      <c r="I85" s="433"/>
      <c r="J85" s="433"/>
      <c r="K85" s="433"/>
      <c r="L85" s="433"/>
      <c r="M85" s="433"/>
      <c r="N85" s="433"/>
      <c r="O85" s="433"/>
      <c r="P85" s="433"/>
      <c r="Q85" s="433"/>
      <c r="R85" s="433"/>
      <c r="S85" s="433"/>
      <c r="T85" s="433"/>
      <c r="U85" s="433"/>
      <c r="V85" s="433"/>
      <c r="W85" s="433"/>
      <c r="X85" s="433"/>
      <c r="Y85" s="433"/>
      <c r="Z85" s="343"/>
      <c r="AA85" s="343"/>
      <c r="AB85" s="343"/>
      <c r="AC85" s="343"/>
      <c r="AD85" s="343"/>
      <c r="AE85" s="343"/>
    </row>
    <row r="86" spans="1:31" ht="18.95" customHeight="1" x14ac:dyDescent="0.2">
      <c r="A86" s="433"/>
      <c r="B86" s="433"/>
      <c r="C86" s="433"/>
      <c r="D86" s="433"/>
      <c r="E86" s="433"/>
      <c r="F86" s="433"/>
      <c r="G86" s="433"/>
      <c r="H86" s="433"/>
      <c r="I86" s="433"/>
      <c r="J86" s="433"/>
      <c r="K86" s="433"/>
      <c r="L86" s="433"/>
      <c r="M86" s="433"/>
      <c r="N86" s="433"/>
      <c r="O86" s="433"/>
      <c r="P86" s="433"/>
      <c r="Q86" s="433"/>
      <c r="R86" s="433"/>
      <c r="S86" s="433"/>
      <c r="T86" s="433"/>
      <c r="U86" s="433"/>
      <c r="V86" s="433"/>
      <c r="W86" s="433"/>
      <c r="X86" s="433"/>
      <c r="Y86" s="433"/>
      <c r="Z86" s="343"/>
      <c r="AA86" s="343"/>
      <c r="AB86" s="343"/>
      <c r="AC86" s="343"/>
      <c r="AD86" s="343"/>
      <c r="AE86" s="343"/>
    </row>
    <row r="87" spans="1:31" ht="18.95" customHeight="1" x14ac:dyDescent="0.2">
      <c r="A87" s="433"/>
      <c r="B87" s="433"/>
      <c r="C87" s="433"/>
      <c r="D87" s="433"/>
      <c r="E87" s="433"/>
      <c r="F87" s="433"/>
      <c r="G87" s="433"/>
      <c r="H87" s="433"/>
      <c r="I87" s="433"/>
      <c r="J87" s="433"/>
      <c r="K87" s="433"/>
      <c r="L87" s="433"/>
      <c r="M87" s="433"/>
      <c r="N87" s="433"/>
      <c r="O87" s="433"/>
      <c r="P87" s="433"/>
      <c r="Q87" s="433"/>
      <c r="R87" s="433"/>
      <c r="S87" s="433"/>
      <c r="T87" s="433"/>
      <c r="U87" s="433"/>
      <c r="V87" s="433"/>
      <c r="W87" s="433"/>
      <c r="X87" s="433"/>
      <c r="Y87" s="433"/>
      <c r="Z87" s="343"/>
      <c r="AA87" s="343"/>
      <c r="AB87" s="343"/>
      <c r="AC87" s="343"/>
      <c r="AD87" s="343"/>
      <c r="AE87" s="343"/>
    </row>
    <row r="88" spans="1:31" ht="18.95" customHeight="1" x14ac:dyDescent="0.2">
      <c r="A88" s="433"/>
      <c r="B88" s="433"/>
      <c r="C88" s="433"/>
      <c r="D88" s="433"/>
      <c r="E88" s="433"/>
      <c r="F88" s="433"/>
      <c r="G88" s="433"/>
      <c r="H88" s="433"/>
      <c r="I88" s="433"/>
      <c r="J88" s="433"/>
      <c r="K88" s="433"/>
      <c r="L88" s="433"/>
      <c r="M88" s="433"/>
      <c r="N88" s="433"/>
      <c r="O88" s="433"/>
      <c r="P88" s="433"/>
      <c r="Q88" s="433"/>
      <c r="R88" s="433"/>
      <c r="S88" s="433"/>
      <c r="T88" s="433"/>
      <c r="U88" s="433"/>
      <c r="V88" s="433"/>
      <c r="W88" s="433"/>
      <c r="X88" s="433"/>
      <c r="Y88" s="433"/>
      <c r="Z88" s="343"/>
      <c r="AA88" s="343"/>
      <c r="AB88" s="343"/>
      <c r="AC88" s="343"/>
      <c r="AD88" s="343"/>
      <c r="AE88" s="343"/>
    </row>
    <row r="89" spans="1:31" ht="18.95" customHeight="1" x14ac:dyDescent="0.2">
      <c r="A89" s="433"/>
      <c r="B89" s="433"/>
      <c r="C89" s="433"/>
      <c r="D89" s="433"/>
      <c r="E89" s="433"/>
      <c r="F89" s="433"/>
      <c r="G89" s="433"/>
      <c r="H89" s="433"/>
      <c r="I89" s="433"/>
      <c r="J89" s="433"/>
      <c r="K89" s="433"/>
      <c r="L89" s="433"/>
      <c r="M89" s="433"/>
      <c r="N89" s="433"/>
      <c r="O89" s="433"/>
      <c r="P89" s="433"/>
      <c r="Q89" s="433"/>
      <c r="R89" s="433"/>
      <c r="S89" s="433"/>
      <c r="T89" s="433"/>
      <c r="U89" s="433"/>
      <c r="V89" s="433"/>
      <c r="W89" s="433"/>
      <c r="X89" s="433"/>
      <c r="Y89" s="433"/>
      <c r="Z89" s="343"/>
      <c r="AA89" s="343"/>
      <c r="AB89" s="343"/>
      <c r="AC89" s="343"/>
      <c r="AD89" s="343"/>
      <c r="AE89" s="343"/>
    </row>
    <row r="90" spans="1:31" ht="18.95" customHeight="1" x14ac:dyDescent="0.2">
      <c r="A90" s="433"/>
      <c r="B90" s="433"/>
      <c r="C90" s="433"/>
      <c r="D90" s="433"/>
      <c r="E90" s="433"/>
      <c r="F90" s="433"/>
      <c r="G90" s="433"/>
      <c r="H90" s="433"/>
      <c r="I90" s="433"/>
      <c r="J90" s="433"/>
      <c r="K90" s="433"/>
      <c r="L90" s="433"/>
      <c r="M90" s="433"/>
      <c r="N90" s="433"/>
      <c r="O90" s="433"/>
      <c r="P90" s="433"/>
      <c r="Q90" s="433"/>
      <c r="R90" s="433"/>
      <c r="S90" s="433"/>
      <c r="T90" s="433"/>
      <c r="U90" s="433"/>
      <c r="V90" s="433"/>
      <c r="W90" s="433"/>
      <c r="X90" s="433"/>
      <c r="Y90" s="433"/>
      <c r="Z90" s="343"/>
      <c r="AA90" s="343"/>
      <c r="AB90" s="343"/>
      <c r="AC90" s="343"/>
      <c r="AD90" s="343"/>
      <c r="AE90" s="343"/>
    </row>
    <row r="91" spans="1:31" ht="18.95" customHeight="1" x14ac:dyDescent="0.2">
      <c r="A91" s="433"/>
      <c r="B91" s="433"/>
      <c r="C91" s="433"/>
      <c r="D91" s="433"/>
      <c r="E91" s="433"/>
      <c r="F91" s="433"/>
      <c r="G91" s="433"/>
      <c r="H91" s="433"/>
      <c r="I91" s="433"/>
      <c r="J91" s="433"/>
      <c r="K91" s="433"/>
      <c r="L91" s="433"/>
      <c r="M91" s="433"/>
      <c r="N91" s="433"/>
      <c r="O91" s="433"/>
      <c r="P91" s="433"/>
      <c r="Q91" s="433"/>
      <c r="R91" s="433"/>
      <c r="S91" s="433"/>
      <c r="T91" s="433"/>
      <c r="U91" s="433"/>
      <c r="V91" s="433"/>
      <c r="W91" s="433"/>
      <c r="X91" s="433"/>
      <c r="Y91" s="433"/>
    </row>
    <row r="92" spans="1:31" ht="18.95" customHeight="1" x14ac:dyDescent="0.2">
      <c r="A92" s="433"/>
      <c r="B92" s="433"/>
      <c r="C92" s="433"/>
      <c r="D92" s="433"/>
      <c r="E92" s="433"/>
      <c r="F92" s="433"/>
      <c r="G92" s="433"/>
      <c r="H92" s="433"/>
      <c r="I92" s="433"/>
      <c r="J92" s="433"/>
      <c r="K92" s="433"/>
      <c r="L92" s="433"/>
      <c r="M92" s="433"/>
      <c r="N92" s="433"/>
      <c r="O92" s="433"/>
      <c r="P92" s="433"/>
      <c r="Q92" s="433"/>
      <c r="R92" s="433"/>
      <c r="S92" s="433"/>
      <c r="T92" s="433"/>
      <c r="U92" s="433"/>
      <c r="V92" s="433"/>
      <c r="W92" s="433"/>
      <c r="X92" s="433"/>
      <c r="Y92" s="433"/>
    </row>
    <row r="93" spans="1:31" ht="18.95" customHeight="1" x14ac:dyDescent="0.2">
      <c r="A93" s="433"/>
      <c r="B93" s="433"/>
      <c r="C93" s="433"/>
      <c r="D93" s="433"/>
      <c r="E93" s="433"/>
      <c r="F93" s="433"/>
      <c r="G93" s="433"/>
      <c r="H93" s="433"/>
      <c r="I93" s="433"/>
      <c r="J93" s="433"/>
      <c r="K93" s="433"/>
      <c r="L93" s="433"/>
      <c r="M93" s="433"/>
      <c r="N93" s="433"/>
      <c r="O93" s="433"/>
      <c r="P93" s="433"/>
      <c r="Q93" s="433"/>
      <c r="R93" s="433"/>
      <c r="S93" s="433"/>
      <c r="T93" s="433"/>
      <c r="U93" s="433"/>
      <c r="V93" s="433"/>
      <c r="W93" s="433"/>
      <c r="X93" s="433"/>
      <c r="Y93" s="433"/>
    </row>
    <row r="94" spans="1:31" ht="18.95" customHeight="1" x14ac:dyDescent="0.2">
      <c r="A94" s="433"/>
      <c r="B94" s="433"/>
      <c r="C94" s="433"/>
      <c r="D94" s="433"/>
      <c r="E94" s="433"/>
      <c r="F94" s="433"/>
      <c r="G94" s="433"/>
      <c r="H94" s="433"/>
      <c r="I94" s="433"/>
      <c r="J94" s="433"/>
      <c r="K94" s="433"/>
      <c r="L94" s="433"/>
      <c r="M94" s="433"/>
      <c r="N94" s="433"/>
      <c r="O94" s="433"/>
      <c r="P94" s="433"/>
      <c r="Q94" s="433"/>
      <c r="R94" s="433"/>
      <c r="S94" s="433"/>
      <c r="T94" s="433"/>
      <c r="U94" s="433"/>
      <c r="V94" s="433"/>
      <c r="W94" s="433"/>
      <c r="X94" s="433"/>
      <c r="Y94" s="433"/>
    </row>
    <row r="95" spans="1:31" ht="12.75" customHeight="1" x14ac:dyDescent="0.25">
      <c r="A95" s="96"/>
    </row>
    <row r="96" spans="1:31" ht="12.75" customHeight="1" x14ac:dyDescent="0.2">
      <c r="A96" s="434" t="s">
        <v>50</v>
      </c>
    </row>
    <row r="97" spans="1:1" ht="12.75" customHeight="1" x14ac:dyDescent="0.2">
      <c r="A97" s="435"/>
    </row>
    <row r="98" spans="1:1" ht="12.75" customHeight="1" x14ac:dyDescent="0.2">
      <c r="A98" s="435"/>
    </row>
    <row r="99" spans="1:1" ht="249.75" customHeight="1" x14ac:dyDescent="0.2">
      <c r="A99" s="97"/>
    </row>
    <row r="100" spans="1:1" x14ac:dyDescent="0.2">
      <c r="A100" s="98"/>
    </row>
    <row r="101" spans="1:1" x14ac:dyDescent="0.2">
      <c r="A101" s="98"/>
    </row>
    <row r="102" spans="1:1" x14ac:dyDescent="0.2">
      <c r="A102" s="98"/>
    </row>
    <row r="103" spans="1:1" x14ac:dyDescent="0.2">
      <c r="A103" s="98"/>
    </row>
    <row r="104" spans="1:1" x14ac:dyDescent="0.2">
      <c r="A104" s="98"/>
    </row>
    <row r="105" spans="1:1" x14ac:dyDescent="0.2">
      <c r="A105" s="98"/>
    </row>
    <row r="106" spans="1:1" x14ac:dyDescent="0.2">
      <c r="A106" s="98"/>
    </row>
    <row r="141" spans="6:15" x14ac:dyDescent="0.2">
      <c r="J141" s="3" t="s">
        <v>51</v>
      </c>
      <c r="K141" s="3" t="s">
        <v>52</v>
      </c>
    </row>
    <row r="142" spans="6:15" s="99" customFormat="1" x14ac:dyDescent="0.2">
      <c r="F142" s="99">
        <v>0</v>
      </c>
      <c r="G142" s="99">
        <v>0</v>
      </c>
      <c r="H142" s="99">
        <v>0</v>
      </c>
      <c r="I142" s="99">
        <v>0</v>
      </c>
      <c r="J142" s="99">
        <v>0</v>
      </c>
      <c r="K142" s="99">
        <v>0</v>
      </c>
      <c r="L142" s="99">
        <v>0</v>
      </c>
      <c r="M142" s="99">
        <v>0</v>
      </c>
      <c r="N142" s="99" t="str">
        <f>+CONCATENATE(G142,"VEHICULO",M142)</f>
        <v>0VEHICULO0</v>
      </c>
      <c r="O142" s="302"/>
    </row>
    <row r="143" spans="6:15" s="99" customFormat="1" x14ac:dyDescent="0.2">
      <c r="F143" s="284" t="s">
        <v>230</v>
      </c>
      <c r="G143" s="284" t="s">
        <v>53</v>
      </c>
      <c r="H143" s="284" t="s">
        <v>351</v>
      </c>
      <c r="I143" s="285">
        <v>1955007</v>
      </c>
      <c r="J143" s="285" t="s">
        <v>54</v>
      </c>
      <c r="K143" s="286">
        <v>4</v>
      </c>
      <c r="L143" s="284" t="s">
        <v>55</v>
      </c>
      <c r="M143" s="284" t="s">
        <v>56</v>
      </c>
      <c r="N143" s="284" t="str">
        <f>+CONCATENATE(G143,F143)</f>
        <v>1.40m³/50m³ -15H-4OP</v>
      </c>
      <c r="O143" s="302"/>
    </row>
    <row r="144" spans="6:15" s="99" customFormat="1" x14ac:dyDescent="0.2">
      <c r="F144" s="284" t="s">
        <v>231</v>
      </c>
      <c r="G144" s="99" t="s">
        <v>57</v>
      </c>
      <c r="H144" s="284" t="s">
        <v>352</v>
      </c>
      <c r="I144" s="100">
        <v>1795972</v>
      </c>
      <c r="J144" s="100" t="s">
        <v>54</v>
      </c>
      <c r="K144" s="101">
        <v>3</v>
      </c>
      <c r="L144" s="99" t="s">
        <v>58</v>
      </c>
      <c r="M144" s="99" t="s">
        <v>56</v>
      </c>
      <c r="N144" s="99" t="str">
        <f t="shared" ref="N144:N219" si="20">+CONCATENATE(G144,F144)</f>
        <v>2.40m³/50m³ -15H-3OP</v>
      </c>
      <c r="O144" s="302"/>
    </row>
    <row r="145" spans="6:15" s="99" customFormat="1" x14ac:dyDescent="0.2">
      <c r="F145" s="99" t="s">
        <v>232</v>
      </c>
      <c r="G145" s="99" t="s">
        <v>59</v>
      </c>
      <c r="H145" s="99" t="s">
        <v>353</v>
      </c>
      <c r="I145" s="100">
        <v>1435144</v>
      </c>
      <c r="J145" s="100" t="s">
        <v>54</v>
      </c>
      <c r="K145" s="101">
        <v>2</v>
      </c>
      <c r="L145" s="99" t="s">
        <v>60</v>
      </c>
      <c r="M145" s="99" t="s">
        <v>56</v>
      </c>
      <c r="N145" s="99" t="str">
        <f t="shared" si="20"/>
        <v>3.40m³/50m³-15H-2OP</v>
      </c>
      <c r="O145" s="302"/>
    </row>
    <row r="146" spans="6:15" s="99" customFormat="1" x14ac:dyDescent="0.2">
      <c r="F146" s="99" t="s">
        <v>233</v>
      </c>
      <c r="G146" s="99" t="s">
        <v>61</v>
      </c>
      <c r="H146" s="99" t="s">
        <v>354</v>
      </c>
      <c r="I146" s="100">
        <v>942678</v>
      </c>
      <c r="J146" s="100" t="s">
        <v>54</v>
      </c>
      <c r="K146" s="101">
        <v>1</v>
      </c>
      <c r="L146" s="99" t="s">
        <v>62</v>
      </c>
      <c r="M146" s="99" t="s">
        <v>56</v>
      </c>
      <c r="N146" s="99" t="str">
        <f t="shared" si="20"/>
        <v>4.40m³/50m³-15H-1OP</v>
      </c>
      <c r="O146" s="302"/>
    </row>
    <row r="147" spans="6:15" s="99" customFormat="1" x14ac:dyDescent="0.2">
      <c r="F147" s="99" t="s">
        <v>234</v>
      </c>
      <c r="G147" s="99" t="s">
        <v>63</v>
      </c>
      <c r="H147" s="99" t="s">
        <v>355</v>
      </c>
      <c r="I147" s="100">
        <v>745988</v>
      </c>
      <c r="J147" s="100" t="s">
        <v>54</v>
      </c>
      <c r="K147" s="101">
        <v>0</v>
      </c>
      <c r="L147" s="99" t="s">
        <v>64</v>
      </c>
      <c r="M147" s="99" t="s">
        <v>56</v>
      </c>
      <c r="N147" s="99" t="str">
        <f t="shared" si="20"/>
        <v>5.40m³/50m³-15H-0OP</v>
      </c>
      <c r="O147" s="302"/>
    </row>
    <row r="148" spans="6:15" s="99" customFormat="1" x14ac:dyDescent="0.2">
      <c r="F148" s="99" t="s">
        <v>235</v>
      </c>
      <c r="G148" s="99" t="s">
        <v>65</v>
      </c>
      <c r="H148" s="99" t="s">
        <v>356</v>
      </c>
      <c r="I148" s="100">
        <v>1665773</v>
      </c>
      <c r="J148" s="100" t="s">
        <v>66</v>
      </c>
      <c r="K148" s="101">
        <v>4</v>
      </c>
      <c r="L148" s="99" t="s">
        <v>67</v>
      </c>
      <c r="M148" s="99" t="s">
        <v>56</v>
      </c>
      <c r="N148" s="99" t="str">
        <f t="shared" si="20"/>
        <v>6.40m³/50m³-9H-4OP</v>
      </c>
      <c r="O148" s="302"/>
    </row>
    <row r="149" spans="6:15" s="99" customFormat="1" x14ac:dyDescent="0.2">
      <c r="F149" s="99" t="s">
        <v>236</v>
      </c>
      <c r="G149" s="99" t="s">
        <v>68</v>
      </c>
      <c r="H149" s="99" t="s">
        <v>357</v>
      </c>
      <c r="I149" s="100">
        <v>1499814</v>
      </c>
      <c r="J149" s="100" t="s">
        <v>66</v>
      </c>
      <c r="K149" s="101">
        <v>3</v>
      </c>
      <c r="L149" s="99" t="s">
        <v>69</v>
      </c>
      <c r="M149" s="99" t="s">
        <v>56</v>
      </c>
      <c r="N149" s="99" t="str">
        <f t="shared" si="20"/>
        <v>7.40m³/50m³-9H-3OP</v>
      </c>
      <c r="O149" s="302"/>
    </row>
    <row r="150" spans="6:15" s="99" customFormat="1" x14ac:dyDescent="0.2">
      <c r="F150" s="99" t="s">
        <v>237</v>
      </c>
      <c r="G150" s="99" t="s">
        <v>70</v>
      </c>
      <c r="H150" s="99" t="s">
        <v>358</v>
      </c>
      <c r="I150" s="100">
        <v>1222505</v>
      </c>
      <c r="J150" s="100" t="s">
        <v>66</v>
      </c>
      <c r="K150" s="101">
        <v>2</v>
      </c>
      <c r="L150" s="99" t="s">
        <v>71</v>
      </c>
      <c r="M150" s="99" t="s">
        <v>56</v>
      </c>
      <c r="N150" s="99" t="str">
        <f t="shared" si="20"/>
        <v>8.40m³/50m³-9H-2OP</v>
      </c>
      <c r="O150" s="302"/>
    </row>
    <row r="151" spans="6:15" s="99" customFormat="1" x14ac:dyDescent="0.2">
      <c r="F151" s="99" t="s">
        <v>238</v>
      </c>
      <c r="G151" s="99" t="s">
        <v>72</v>
      </c>
      <c r="H151" s="99" t="s">
        <v>359</v>
      </c>
      <c r="I151" s="100">
        <v>769092</v>
      </c>
      <c r="J151" s="100" t="s">
        <v>66</v>
      </c>
      <c r="K151" s="101">
        <v>1</v>
      </c>
      <c r="L151" s="99" t="s">
        <v>73</v>
      </c>
      <c r="M151" s="99" t="s">
        <v>56</v>
      </c>
      <c r="N151" s="99" t="str">
        <f t="shared" si="20"/>
        <v>9.40m³/50m³-9H-1OP</v>
      </c>
      <c r="O151" s="302"/>
    </row>
    <row r="152" spans="6:15" s="99" customFormat="1" x14ac:dyDescent="0.2">
      <c r="F152" s="99" t="s">
        <v>239</v>
      </c>
      <c r="G152" s="99" t="s">
        <v>74</v>
      </c>
      <c r="H152" s="99" t="s">
        <v>360</v>
      </c>
      <c r="I152" s="100">
        <v>604794</v>
      </c>
      <c r="J152" s="100" t="s">
        <v>66</v>
      </c>
      <c r="K152" s="101">
        <v>0</v>
      </c>
      <c r="L152" s="99" t="s">
        <v>75</v>
      </c>
      <c r="M152" s="99" t="s">
        <v>56</v>
      </c>
      <c r="N152" s="99" t="str">
        <f t="shared" si="20"/>
        <v>10.40m³/50m³-9H-0OP</v>
      </c>
      <c r="O152" s="302"/>
    </row>
    <row r="153" spans="6:15" s="99" customFormat="1" x14ac:dyDescent="0.2">
      <c r="F153" s="99" t="s">
        <v>240</v>
      </c>
      <c r="G153" s="99" t="s">
        <v>76</v>
      </c>
      <c r="H153" s="99" t="s">
        <v>361</v>
      </c>
      <c r="I153" s="100">
        <v>1382917</v>
      </c>
      <c r="J153" s="100" t="s">
        <v>77</v>
      </c>
      <c r="K153" s="101">
        <v>4</v>
      </c>
      <c r="L153" s="99" t="s">
        <v>78</v>
      </c>
      <c r="M153" s="99" t="s">
        <v>56</v>
      </c>
      <c r="N153" s="99" t="str">
        <f t="shared" si="20"/>
        <v>11.40m³/50m³-4H-4OP</v>
      </c>
      <c r="O153" s="302"/>
    </row>
    <row r="154" spans="6:15" s="99" customFormat="1" x14ac:dyDescent="0.2">
      <c r="F154" s="99" t="s">
        <v>241</v>
      </c>
      <c r="G154" s="99" t="s">
        <v>79</v>
      </c>
      <c r="H154" s="99" t="s">
        <v>362</v>
      </c>
      <c r="I154" s="100">
        <v>1230935</v>
      </c>
      <c r="J154" s="100" t="s">
        <v>77</v>
      </c>
      <c r="K154" s="101">
        <v>3</v>
      </c>
      <c r="L154" s="99" t="s">
        <v>80</v>
      </c>
      <c r="M154" s="99" t="s">
        <v>56</v>
      </c>
      <c r="N154" s="99" t="str">
        <f t="shared" si="20"/>
        <v>12.40m³/50m³-4H-3OP</v>
      </c>
      <c r="O154" s="302"/>
    </row>
    <row r="155" spans="6:15" s="99" customFormat="1" x14ac:dyDescent="0.2">
      <c r="F155" s="99" t="s">
        <v>242</v>
      </c>
      <c r="G155" s="99" t="s">
        <v>81</v>
      </c>
      <c r="H155" s="99" t="s">
        <v>363</v>
      </c>
      <c r="I155" s="100">
        <v>1081630</v>
      </c>
      <c r="J155" s="100" t="s">
        <v>77</v>
      </c>
      <c r="K155" s="101">
        <v>2</v>
      </c>
      <c r="L155" s="99" t="s">
        <v>82</v>
      </c>
      <c r="M155" s="99" t="s">
        <v>56</v>
      </c>
      <c r="N155" s="99" t="str">
        <f t="shared" si="20"/>
        <v>13.40m³/50m³-4H-2OP</v>
      </c>
      <c r="O155" s="302"/>
    </row>
    <row r="156" spans="6:15" s="99" customFormat="1" x14ac:dyDescent="0.2">
      <c r="F156" s="99" t="s">
        <v>243</v>
      </c>
      <c r="G156" s="99" t="s">
        <v>83</v>
      </c>
      <c r="H156" s="99" t="s">
        <v>364</v>
      </c>
      <c r="I156" s="100">
        <v>575460</v>
      </c>
      <c r="J156" s="100" t="s">
        <v>77</v>
      </c>
      <c r="K156" s="101">
        <v>1</v>
      </c>
      <c r="L156" s="99" t="s">
        <v>84</v>
      </c>
      <c r="M156" s="99" t="s">
        <v>56</v>
      </c>
      <c r="N156" s="99" t="str">
        <f t="shared" si="20"/>
        <v>14.40m³/50m³-4H-1OP</v>
      </c>
      <c r="O156" s="302"/>
    </row>
    <row r="157" spans="6:15" s="99" customFormat="1" x14ac:dyDescent="0.2">
      <c r="F157" s="99" t="s">
        <v>244</v>
      </c>
      <c r="G157" s="99" t="s">
        <v>85</v>
      </c>
      <c r="H157" s="99" t="s">
        <v>365</v>
      </c>
      <c r="I157" s="100">
        <v>477806</v>
      </c>
      <c r="J157" s="100" t="s">
        <v>77</v>
      </c>
      <c r="K157" s="101">
        <v>0</v>
      </c>
      <c r="L157" s="99" t="s">
        <v>86</v>
      </c>
      <c r="M157" s="99" t="s">
        <v>56</v>
      </c>
      <c r="N157" s="99" t="str">
        <f t="shared" si="20"/>
        <v>15.40m³50m³-4H-0OP</v>
      </c>
      <c r="O157" s="302"/>
    </row>
    <row r="158" spans="6:15" s="99" customFormat="1" x14ac:dyDescent="0.2">
      <c r="F158" s="99" t="s">
        <v>87</v>
      </c>
      <c r="G158" s="99" t="s">
        <v>88</v>
      </c>
      <c r="H158" s="99" t="s">
        <v>366</v>
      </c>
      <c r="I158" s="100">
        <v>1691890</v>
      </c>
      <c r="J158" s="100" t="s">
        <v>54</v>
      </c>
      <c r="K158" s="101">
        <v>4</v>
      </c>
      <c r="L158" s="99" t="s">
        <v>89</v>
      </c>
      <c r="M158" s="99" t="s">
        <v>56</v>
      </c>
      <c r="N158" s="99" t="str">
        <f t="shared" si="20"/>
        <v>16.25m³-15H-4OP</v>
      </c>
      <c r="O158" s="302"/>
    </row>
    <row r="159" spans="6:15" s="99" customFormat="1" x14ac:dyDescent="0.2">
      <c r="F159" s="99" t="s">
        <v>90</v>
      </c>
      <c r="G159" s="99" t="s">
        <v>91</v>
      </c>
      <c r="H159" s="99" t="s">
        <v>367</v>
      </c>
      <c r="I159" s="100">
        <v>1505234</v>
      </c>
      <c r="J159" s="100" t="s">
        <v>54</v>
      </c>
      <c r="K159" s="101">
        <v>3</v>
      </c>
      <c r="L159" s="99" t="s">
        <v>92</v>
      </c>
      <c r="M159" s="99" t="s">
        <v>56</v>
      </c>
      <c r="N159" s="99" t="str">
        <f t="shared" si="20"/>
        <v>17.25m³-15H-3OP</v>
      </c>
      <c r="O159" s="302"/>
    </row>
    <row r="160" spans="6:15" s="99" customFormat="1" x14ac:dyDescent="0.2">
      <c r="F160" s="99" t="s">
        <v>93</v>
      </c>
      <c r="G160" s="99" t="s">
        <v>94</v>
      </c>
      <c r="H160" s="99" t="s">
        <v>368</v>
      </c>
      <c r="I160" s="100">
        <v>1308251</v>
      </c>
      <c r="J160" s="100" t="s">
        <v>54</v>
      </c>
      <c r="K160" s="101">
        <v>2</v>
      </c>
      <c r="L160" s="99" t="s">
        <v>95</v>
      </c>
      <c r="M160" s="99" t="s">
        <v>56</v>
      </c>
      <c r="N160" s="99" t="str">
        <f t="shared" si="20"/>
        <v>18.25m³-15H-2OP</v>
      </c>
      <c r="O160" s="302"/>
    </row>
    <row r="161" spans="6:15" s="99" customFormat="1" x14ac:dyDescent="0.2">
      <c r="F161" s="99" t="s">
        <v>96</v>
      </c>
      <c r="G161" s="99" t="s">
        <v>97</v>
      </c>
      <c r="H161" s="99" t="s">
        <v>369</v>
      </c>
      <c r="I161" s="100">
        <v>1097977</v>
      </c>
      <c r="J161" s="100" t="s">
        <v>54</v>
      </c>
      <c r="K161" s="101">
        <v>1</v>
      </c>
      <c r="L161" s="99" t="s">
        <v>98</v>
      </c>
      <c r="M161" s="99" t="s">
        <v>56</v>
      </c>
      <c r="N161" s="99" t="str">
        <f t="shared" si="20"/>
        <v>19.25m³-15H-1OP</v>
      </c>
      <c r="O161" s="302"/>
    </row>
    <row r="162" spans="6:15" s="99" customFormat="1" x14ac:dyDescent="0.2">
      <c r="F162" s="99" t="s">
        <v>99</v>
      </c>
      <c r="G162" s="99" t="s">
        <v>100</v>
      </c>
      <c r="H162" s="99" t="s">
        <v>370</v>
      </c>
      <c r="I162" s="100">
        <v>861675</v>
      </c>
      <c r="J162" s="100" t="s">
        <v>54</v>
      </c>
      <c r="K162" s="101">
        <v>0</v>
      </c>
      <c r="L162" s="99" t="s">
        <v>101</v>
      </c>
      <c r="M162" s="99" t="s">
        <v>56</v>
      </c>
      <c r="N162" s="99" t="str">
        <f t="shared" si="20"/>
        <v>20.25m³-15H-0OP</v>
      </c>
      <c r="O162" s="302"/>
    </row>
    <row r="163" spans="6:15" s="99" customFormat="1" x14ac:dyDescent="0.2">
      <c r="F163" s="99" t="s">
        <v>102</v>
      </c>
      <c r="G163" s="99" t="s">
        <v>103</v>
      </c>
      <c r="H163" s="99" t="s">
        <v>371</v>
      </c>
      <c r="I163" s="100">
        <v>1457200</v>
      </c>
      <c r="J163" s="100" t="s">
        <v>66</v>
      </c>
      <c r="K163" s="101">
        <v>4</v>
      </c>
      <c r="L163" s="99" t="s">
        <v>104</v>
      </c>
      <c r="M163" s="99" t="s">
        <v>56</v>
      </c>
      <c r="N163" s="99" t="str">
        <f t="shared" si="20"/>
        <v>21.25m³-9H-4OP</v>
      </c>
      <c r="O163" s="302"/>
    </row>
    <row r="164" spans="6:15" s="99" customFormat="1" x14ac:dyDescent="0.2">
      <c r="F164" s="99" t="s">
        <v>105</v>
      </c>
      <c r="G164" s="99" t="s">
        <v>106</v>
      </c>
      <c r="H164" s="99" t="s">
        <v>372</v>
      </c>
      <c r="I164" s="100">
        <v>1312665</v>
      </c>
      <c r="J164" s="100" t="s">
        <v>66</v>
      </c>
      <c r="K164" s="101">
        <v>3</v>
      </c>
      <c r="L164" s="99" t="s">
        <v>107</v>
      </c>
      <c r="M164" s="99" t="s">
        <v>56</v>
      </c>
      <c r="N164" s="99" t="str">
        <f t="shared" si="20"/>
        <v>22.25m³-9H-3OP</v>
      </c>
      <c r="O164" s="302"/>
    </row>
    <row r="165" spans="6:15" s="99" customFormat="1" x14ac:dyDescent="0.2">
      <c r="F165" s="99" t="s">
        <v>108</v>
      </c>
      <c r="G165" s="99" t="s">
        <v>109</v>
      </c>
      <c r="H165" s="99" t="s">
        <v>373</v>
      </c>
      <c r="I165" s="100">
        <v>1175229</v>
      </c>
      <c r="J165" s="100" t="s">
        <v>66</v>
      </c>
      <c r="K165" s="101">
        <v>2</v>
      </c>
      <c r="L165" s="99" t="s">
        <v>110</v>
      </c>
      <c r="M165" s="99" t="s">
        <v>56</v>
      </c>
      <c r="N165" s="99" t="str">
        <f t="shared" si="20"/>
        <v>23.25m³-9H-2OP</v>
      </c>
      <c r="O165" s="302"/>
    </row>
    <row r="166" spans="6:15" s="99" customFormat="1" x14ac:dyDescent="0.2">
      <c r="F166" s="99" t="s">
        <v>111</v>
      </c>
      <c r="G166" s="99" t="s">
        <v>112</v>
      </c>
      <c r="H166" s="99" t="s">
        <v>374</v>
      </c>
      <c r="I166" s="100">
        <v>873501</v>
      </c>
      <c r="J166" s="100" t="s">
        <v>66</v>
      </c>
      <c r="K166" s="101">
        <v>1</v>
      </c>
      <c r="L166" s="99" t="s">
        <v>113</v>
      </c>
      <c r="M166" s="99" t="s">
        <v>56</v>
      </c>
      <c r="N166" s="99" t="str">
        <f t="shared" si="20"/>
        <v>24.25m³-9H-1OP</v>
      </c>
      <c r="O166" s="302"/>
    </row>
    <row r="167" spans="6:15" s="99" customFormat="1" x14ac:dyDescent="0.2">
      <c r="F167" s="99" t="s">
        <v>114</v>
      </c>
      <c r="G167" s="99" t="s">
        <v>115</v>
      </c>
      <c r="H167" s="99" t="s">
        <v>375</v>
      </c>
      <c r="I167" s="100">
        <v>530672</v>
      </c>
      <c r="J167" s="100" t="s">
        <v>66</v>
      </c>
      <c r="K167" s="101">
        <v>0</v>
      </c>
      <c r="L167" s="99" t="s">
        <v>116</v>
      </c>
      <c r="M167" s="99" t="s">
        <v>56</v>
      </c>
      <c r="N167" s="99" t="str">
        <f t="shared" si="20"/>
        <v>25.25m³-9H-0OP</v>
      </c>
      <c r="O167" s="302"/>
    </row>
    <row r="168" spans="6:15" s="99" customFormat="1" x14ac:dyDescent="0.2">
      <c r="F168" s="99" t="s">
        <v>117</v>
      </c>
      <c r="G168" s="99" t="s">
        <v>118</v>
      </c>
      <c r="H168" s="99" t="s">
        <v>376</v>
      </c>
      <c r="I168" s="100">
        <v>1031685</v>
      </c>
      <c r="J168" s="100" t="s">
        <v>77</v>
      </c>
      <c r="K168" s="101">
        <v>4</v>
      </c>
      <c r="L168" s="99" t="s">
        <v>119</v>
      </c>
      <c r="M168" s="99" t="s">
        <v>56</v>
      </c>
      <c r="N168" s="99" t="str">
        <f t="shared" si="20"/>
        <v>26.25m³-4H-4OP</v>
      </c>
      <c r="O168" s="302"/>
    </row>
    <row r="169" spans="6:15" s="99" customFormat="1" x14ac:dyDescent="0.2">
      <c r="F169" s="99" t="s">
        <v>120</v>
      </c>
      <c r="G169" s="99" t="s">
        <v>121</v>
      </c>
      <c r="H169" s="99" t="s">
        <v>377</v>
      </c>
      <c r="I169" s="100">
        <v>1092868</v>
      </c>
      <c r="J169" s="100" t="s">
        <v>77</v>
      </c>
      <c r="K169" s="101">
        <v>3</v>
      </c>
      <c r="L169" s="99" t="s">
        <v>122</v>
      </c>
      <c r="M169" s="99" t="s">
        <v>56</v>
      </c>
      <c r="N169" s="99" t="str">
        <f t="shared" si="20"/>
        <v>27.25m³-4H-3OP</v>
      </c>
      <c r="O169" s="302"/>
    </row>
    <row r="170" spans="6:15" s="99" customFormat="1" x14ac:dyDescent="0.2">
      <c r="F170" s="99" t="s">
        <v>123</v>
      </c>
      <c r="G170" s="99" t="s">
        <v>124</v>
      </c>
      <c r="H170" s="99" t="s">
        <v>378</v>
      </c>
      <c r="I170" s="100">
        <v>961567</v>
      </c>
      <c r="J170" s="100" t="s">
        <v>77</v>
      </c>
      <c r="K170" s="101">
        <v>2</v>
      </c>
      <c r="L170" s="99" t="s">
        <v>125</v>
      </c>
      <c r="M170" s="99" t="s">
        <v>56</v>
      </c>
      <c r="N170" s="99" t="str">
        <f t="shared" si="20"/>
        <v>28.25m³-4H-2OP</v>
      </c>
      <c r="O170" s="302"/>
    </row>
    <row r="171" spans="6:15" s="99" customFormat="1" x14ac:dyDescent="0.2">
      <c r="F171" s="99" t="s">
        <v>126</v>
      </c>
      <c r="G171" s="99" t="s">
        <v>127</v>
      </c>
      <c r="H171" s="99" t="s">
        <v>379</v>
      </c>
      <c r="I171" s="100">
        <v>463364</v>
      </c>
      <c r="J171" s="100" t="s">
        <v>77</v>
      </c>
      <c r="K171" s="101">
        <v>1</v>
      </c>
      <c r="L171" s="99" t="s">
        <v>128</v>
      </c>
      <c r="M171" s="99" t="s">
        <v>56</v>
      </c>
      <c r="N171" s="99" t="str">
        <f t="shared" si="20"/>
        <v>29.25m³-4H-1OP</v>
      </c>
      <c r="O171" s="302"/>
    </row>
    <row r="172" spans="6:15" s="99" customFormat="1" x14ac:dyDescent="0.2">
      <c r="F172" s="99" t="s">
        <v>129</v>
      </c>
      <c r="G172" s="99" t="s">
        <v>130</v>
      </c>
      <c r="H172" s="99" t="s">
        <v>380</v>
      </c>
      <c r="I172" s="100">
        <v>429635</v>
      </c>
      <c r="J172" s="100" t="s">
        <v>77</v>
      </c>
      <c r="K172" s="101">
        <v>0</v>
      </c>
      <c r="L172" s="99" t="s">
        <v>131</v>
      </c>
      <c r="M172" s="99" t="s">
        <v>56</v>
      </c>
      <c r="N172" s="99" t="str">
        <f t="shared" si="20"/>
        <v>30.25m³-4H-0OP</v>
      </c>
      <c r="O172" s="302"/>
    </row>
    <row r="173" spans="6:15" s="99" customFormat="1" x14ac:dyDescent="0.2">
      <c r="F173" s="99" t="s">
        <v>132</v>
      </c>
      <c r="G173" s="99" t="s">
        <v>133</v>
      </c>
      <c r="H173" s="99" t="s">
        <v>394</v>
      </c>
      <c r="I173" s="100">
        <v>1019917</v>
      </c>
      <c r="J173" s="100" t="s">
        <v>54</v>
      </c>
      <c r="K173" s="101">
        <v>0</v>
      </c>
      <c r="L173" s="99" t="s">
        <v>134</v>
      </c>
      <c r="M173" s="99" t="s">
        <v>56</v>
      </c>
      <c r="N173" s="99" t="str">
        <f t="shared" si="20"/>
        <v>31.FURGON-15H</v>
      </c>
      <c r="O173" s="302"/>
    </row>
    <row r="174" spans="6:15" s="99" customFormat="1" x14ac:dyDescent="0.2">
      <c r="F174" s="99" t="s">
        <v>132</v>
      </c>
      <c r="G174" s="99" t="s">
        <v>136</v>
      </c>
      <c r="H174" s="99" t="s">
        <v>395</v>
      </c>
      <c r="I174" s="100">
        <v>832623</v>
      </c>
      <c r="J174" s="100" t="s">
        <v>54</v>
      </c>
      <c r="K174" s="101">
        <v>0</v>
      </c>
      <c r="L174" s="99" t="s">
        <v>134</v>
      </c>
      <c r="M174" s="99" t="s">
        <v>56</v>
      </c>
      <c r="N174" s="99" t="str">
        <f t="shared" si="20"/>
        <v>32.FURGON-15H</v>
      </c>
      <c r="O174" s="302"/>
    </row>
    <row r="175" spans="6:15" s="99" customFormat="1" x14ac:dyDescent="0.2">
      <c r="F175" s="99" t="s">
        <v>132</v>
      </c>
      <c r="G175" s="99" t="s">
        <v>139</v>
      </c>
      <c r="H175" s="99" t="s">
        <v>396</v>
      </c>
      <c r="I175" s="100">
        <v>557356</v>
      </c>
      <c r="J175" s="100" t="s">
        <v>54</v>
      </c>
      <c r="K175" s="101">
        <v>0</v>
      </c>
      <c r="L175" s="99" t="s">
        <v>134</v>
      </c>
      <c r="M175" s="99" t="s">
        <v>56</v>
      </c>
      <c r="N175" s="99" t="str">
        <f t="shared" si="20"/>
        <v>33.FURGON-15H</v>
      </c>
      <c r="O175" s="302"/>
    </row>
    <row r="176" spans="6:15" s="99" customFormat="1" x14ac:dyDescent="0.2">
      <c r="F176" s="99" t="s">
        <v>135</v>
      </c>
      <c r="G176" s="99" t="s">
        <v>142</v>
      </c>
      <c r="H176" s="99" t="s">
        <v>397</v>
      </c>
      <c r="I176" s="100">
        <v>827118</v>
      </c>
      <c r="J176" s="100" t="s">
        <v>66</v>
      </c>
      <c r="K176" s="101">
        <v>0</v>
      </c>
      <c r="L176" s="99" t="s">
        <v>137</v>
      </c>
      <c r="M176" s="99" t="s">
        <v>56</v>
      </c>
      <c r="N176" s="99" t="str">
        <f t="shared" si="20"/>
        <v>34.FURGON-9H</v>
      </c>
      <c r="O176" s="302"/>
    </row>
    <row r="177" spans="6:15" s="99" customFormat="1" x14ac:dyDescent="0.2">
      <c r="F177" s="99" t="s">
        <v>135</v>
      </c>
      <c r="G177" s="99" t="s">
        <v>145</v>
      </c>
      <c r="H177" s="99" t="s">
        <v>398</v>
      </c>
      <c r="I177" s="100">
        <v>728949</v>
      </c>
      <c r="J177" s="100" t="s">
        <v>66</v>
      </c>
      <c r="K177" s="101">
        <v>0</v>
      </c>
      <c r="L177" s="99" t="s">
        <v>137</v>
      </c>
      <c r="M177" s="99" t="s">
        <v>56</v>
      </c>
      <c r="N177" s="99" t="str">
        <f t="shared" si="20"/>
        <v>35.FURGON-9H</v>
      </c>
      <c r="O177" s="302"/>
    </row>
    <row r="178" spans="6:15" s="99" customFormat="1" x14ac:dyDescent="0.2">
      <c r="F178" s="99" t="s">
        <v>135</v>
      </c>
      <c r="G178" s="99" t="s">
        <v>148</v>
      </c>
      <c r="H178" s="99" t="s">
        <v>399</v>
      </c>
      <c r="I178" s="100">
        <v>481858</v>
      </c>
      <c r="J178" s="100" t="s">
        <v>66</v>
      </c>
      <c r="K178" s="101">
        <v>0</v>
      </c>
      <c r="L178" s="99" t="s">
        <v>137</v>
      </c>
      <c r="M178" s="99" t="s">
        <v>56</v>
      </c>
      <c r="N178" s="99" t="str">
        <f t="shared" si="20"/>
        <v>36.FURGON-9H</v>
      </c>
      <c r="O178" s="302"/>
    </row>
    <row r="179" spans="6:15" s="99" customFormat="1" x14ac:dyDescent="0.2">
      <c r="F179" s="99" t="s">
        <v>138</v>
      </c>
      <c r="G179" s="99" t="s">
        <v>151</v>
      </c>
      <c r="H179" s="99" t="s">
        <v>400</v>
      </c>
      <c r="I179" s="100">
        <v>554324</v>
      </c>
      <c r="J179" s="100" t="s">
        <v>77</v>
      </c>
      <c r="K179" s="101">
        <v>0</v>
      </c>
      <c r="L179" s="99" t="s">
        <v>140</v>
      </c>
      <c r="M179" s="99" t="s">
        <v>56</v>
      </c>
      <c r="N179" s="99" t="str">
        <f t="shared" si="20"/>
        <v>37.FURGON-4H</v>
      </c>
      <c r="O179" s="302"/>
    </row>
    <row r="180" spans="6:15" s="99" customFormat="1" x14ac:dyDescent="0.2">
      <c r="F180" s="99" t="s">
        <v>138</v>
      </c>
      <c r="G180" s="99" t="s">
        <v>154</v>
      </c>
      <c r="H180" s="99" t="s">
        <v>401</v>
      </c>
      <c r="I180" s="100">
        <v>576161</v>
      </c>
      <c r="J180" s="100" t="s">
        <v>77</v>
      </c>
      <c r="K180" s="101">
        <v>0</v>
      </c>
      <c r="L180" s="99" t="s">
        <v>140</v>
      </c>
      <c r="M180" s="99" t="s">
        <v>56</v>
      </c>
      <c r="N180" s="99" t="str">
        <f t="shared" si="20"/>
        <v>38.FURGON-4H</v>
      </c>
      <c r="O180" s="302"/>
    </row>
    <row r="181" spans="6:15" s="99" customFormat="1" x14ac:dyDescent="0.2">
      <c r="F181" s="99" t="s">
        <v>138</v>
      </c>
      <c r="G181" s="99" t="s">
        <v>158</v>
      </c>
      <c r="H181" s="99" t="s">
        <v>402</v>
      </c>
      <c r="I181" s="100">
        <v>345698</v>
      </c>
      <c r="J181" s="100" t="s">
        <v>77</v>
      </c>
      <c r="K181" s="101">
        <v>0</v>
      </c>
      <c r="L181" s="99" t="s">
        <v>140</v>
      </c>
      <c r="M181" s="99" t="s">
        <v>56</v>
      </c>
      <c r="N181" s="99" t="str">
        <f t="shared" si="20"/>
        <v>39.FURGON-4H</v>
      </c>
      <c r="O181" s="302"/>
    </row>
    <row r="182" spans="6:15" s="99" customFormat="1" x14ac:dyDescent="0.2">
      <c r="F182" s="99" t="s">
        <v>141</v>
      </c>
      <c r="G182" s="99" t="s">
        <v>161</v>
      </c>
      <c r="H182" s="99" t="s">
        <v>403</v>
      </c>
      <c r="I182" s="100">
        <v>1128712</v>
      </c>
      <c r="J182" s="100" t="s">
        <v>54</v>
      </c>
      <c r="K182" s="101">
        <v>0</v>
      </c>
      <c r="L182" s="99" t="s">
        <v>143</v>
      </c>
      <c r="M182" s="99" t="s">
        <v>56</v>
      </c>
      <c r="N182" s="99" t="str">
        <f t="shared" si="20"/>
        <v>40.4X4-15H</v>
      </c>
      <c r="O182" s="302"/>
    </row>
    <row r="183" spans="6:15" s="99" customFormat="1" x14ac:dyDescent="0.2">
      <c r="F183" s="99" t="s">
        <v>144</v>
      </c>
      <c r="G183" s="99" t="s">
        <v>163</v>
      </c>
      <c r="H183" s="99" t="s">
        <v>404</v>
      </c>
      <c r="I183" s="100">
        <v>787237</v>
      </c>
      <c r="J183" s="100" t="s">
        <v>66</v>
      </c>
      <c r="K183" s="101">
        <v>0</v>
      </c>
      <c r="L183" s="99" t="s">
        <v>146</v>
      </c>
      <c r="M183" s="99" t="s">
        <v>56</v>
      </c>
      <c r="N183" s="99" t="str">
        <f t="shared" si="20"/>
        <v>41.4X4-9H</v>
      </c>
      <c r="O183" s="302"/>
    </row>
    <row r="184" spans="6:15" s="99" customFormat="1" x14ac:dyDescent="0.2">
      <c r="F184" s="99" t="s">
        <v>147</v>
      </c>
      <c r="G184" s="99" t="s">
        <v>164</v>
      </c>
      <c r="H184" s="99" t="s">
        <v>405</v>
      </c>
      <c r="I184" s="100">
        <v>529232</v>
      </c>
      <c r="J184" s="100" t="s">
        <v>77</v>
      </c>
      <c r="K184" s="101">
        <v>0</v>
      </c>
      <c r="L184" s="99" t="s">
        <v>149</v>
      </c>
      <c r="M184" s="99" t="s">
        <v>56</v>
      </c>
      <c r="N184" s="99" t="str">
        <f t="shared" si="20"/>
        <v>42.4X4-4H</v>
      </c>
      <c r="O184" s="302"/>
    </row>
    <row r="185" spans="6:15" s="99" customFormat="1" x14ac:dyDescent="0.2">
      <c r="F185" s="99" t="s">
        <v>150</v>
      </c>
      <c r="G185" s="99" t="s">
        <v>165</v>
      </c>
      <c r="H185" s="99" t="s">
        <v>406</v>
      </c>
      <c r="I185" s="100">
        <v>939250</v>
      </c>
      <c r="J185" s="100" t="s">
        <v>54</v>
      </c>
      <c r="K185" s="101">
        <v>0</v>
      </c>
      <c r="L185" s="99" t="s">
        <v>152</v>
      </c>
      <c r="M185" s="99" t="s">
        <v>56</v>
      </c>
      <c r="N185" s="99" t="str">
        <f t="shared" si="20"/>
        <v>43.MONTACARGA-15H</v>
      </c>
      <c r="O185" s="302"/>
    </row>
    <row r="186" spans="6:15" s="99" customFormat="1" x14ac:dyDescent="0.2">
      <c r="F186" s="99" t="s">
        <v>153</v>
      </c>
      <c r="G186" s="99" t="s">
        <v>166</v>
      </c>
      <c r="H186" s="99" t="s">
        <v>407</v>
      </c>
      <c r="I186" s="100">
        <v>254150</v>
      </c>
      <c r="J186" s="100" t="s">
        <v>155</v>
      </c>
      <c r="K186" s="101">
        <v>0</v>
      </c>
      <c r="L186" s="99" t="s">
        <v>156</v>
      </c>
      <c r="M186" s="99" t="s">
        <v>56</v>
      </c>
      <c r="N186" s="99" t="str">
        <f t="shared" si="20"/>
        <v>44.MONTACARGA-1H</v>
      </c>
      <c r="O186" s="302"/>
    </row>
    <row r="187" spans="6:15" s="99" customFormat="1" x14ac:dyDescent="0.2">
      <c r="F187" s="99" t="s">
        <v>157</v>
      </c>
      <c r="G187" s="99" t="s">
        <v>167</v>
      </c>
      <c r="H187" s="99" t="s">
        <v>408</v>
      </c>
      <c r="I187" s="100">
        <v>861900</v>
      </c>
      <c r="J187" s="100" t="s">
        <v>54</v>
      </c>
      <c r="K187" s="101">
        <v>0</v>
      </c>
      <c r="L187" s="99" t="s">
        <v>159</v>
      </c>
      <c r="M187" s="99" t="s">
        <v>56</v>
      </c>
      <c r="N187" s="99" t="str">
        <f t="shared" si="20"/>
        <v>45.GRUA-15H-</v>
      </c>
      <c r="O187" s="302"/>
    </row>
    <row r="188" spans="6:15" s="99" customFormat="1" x14ac:dyDescent="0.2">
      <c r="F188" s="99" t="s">
        <v>160</v>
      </c>
      <c r="G188" s="99" t="s">
        <v>168</v>
      </c>
      <c r="H188" s="99" t="s">
        <v>409</v>
      </c>
      <c r="I188" s="100">
        <v>243100</v>
      </c>
      <c r="J188" s="100" t="s">
        <v>155</v>
      </c>
      <c r="K188" s="101">
        <v>0</v>
      </c>
      <c r="L188" s="99" t="s">
        <v>162</v>
      </c>
      <c r="M188" s="99" t="s">
        <v>56</v>
      </c>
      <c r="N188" s="99" t="str">
        <f t="shared" si="20"/>
        <v>46.GRUA-1H</v>
      </c>
      <c r="O188" s="302"/>
    </row>
    <row r="189" spans="6:15" x14ac:dyDescent="0.2">
      <c r="F189" s="99" t="s">
        <v>245</v>
      </c>
      <c r="G189" s="99" t="s">
        <v>258</v>
      </c>
      <c r="H189" s="99" t="s">
        <v>410</v>
      </c>
      <c r="I189" s="100">
        <v>283331</v>
      </c>
      <c r="J189" s="100" t="s">
        <v>155</v>
      </c>
      <c r="K189" s="101">
        <v>0</v>
      </c>
      <c r="L189" s="99" t="s">
        <v>246</v>
      </c>
      <c r="M189" s="99" t="s">
        <v>56</v>
      </c>
      <c r="N189" s="99" t="str">
        <f t="shared" si="20"/>
        <v>47.OPERARIO-15-H</v>
      </c>
    </row>
    <row r="190" spans="6:15" x14ac:dyDescent="0.2">
      <c r="F190" s="99" t="s">
        <v>247</v>
      </c>
      <c r="G190" s="99" t="s">
        <v>259</v>
      </c>
      <c r="H190" s="99" t="s">
        <v>411</v>
      </c>
      <c r="I190" s="100">
        <v>221732</v>
      </c>
      <c r="J190" s="100" t="s">
        <v>66</v>
      </c>
      <c r="K190" s="101">
        <v>0</v>
      </c>
      <c r="L190" s="99" t="s">
        <v>248</v>
      </c>
      <c r="M190" s="99" t="s">
        <v>56</v>
      </c>
      <c r="N190" s="99" t="str">
        <f t="shared" si="20"/>
        <v>48.OPERARIO-9-H</v>
      </c>
    </row>
    <row r="191" spans="6:15" x14ac:dyDescent="0.2">
      <c r="F191" s="99" t="s">
        <v>249</v>
      </c>
      <c r="G191" s="99" t="s">
        <v>260</v>
      </c>
      <c r="H191" s="99" t="s">
        <v>412</v>
      </c>
      <c r="I191" s="100">
        <v>160134</v>
      </c>
      <c r="J191" s="99" t="s">
        <v>77</v>
      </c>
      <c r="K191" s="99"/>
      <c r="L191" s="99" t="s">
        <v>250</v>
      </c>
      <c r="M191" s="99" t="s">
        <v>56</v>
      </c>
      <c r="N191" s="99" t="str">
        <f t="shared" si="20"/>
        <v>49.OPERARIO-4-H</v>
      </c>
    </row>
    <row r="192" spans="6:15" x14ac:dyDescent="0.2">
      <c r="F192" s="99" t="s">
        <v>251</v>
      </c>
      <c r="G192" s="99" t="s">
        <v>261</v>
      </c>
      <c r="H192" s="99" t="s">
        <v>413</v>
      </c>
      <c r="I192" s="100">
        <v>477011</v>
      </c>
      <c r="J192" s="99" t="s">
        <v>54</v>
      </c>
      <c r="K192" s="99"/>
      <c r="L192" s="99" t="s">
        <v>253</v>
      </c>
      <c r="M192" s="99" t="s">
        <v>56</v>
      </c>
      <c r="N192" s="99" t="str">
        <f t="shared" si="20"/>
        <v>50.COORDINADOR X DIA</v>
      </c>
    </row>
    <row r="193" spans="6:14" x14ac:dyDescent="0.2">
      <c r="F193" s="99" t="s">
        <v>252</v>
      </c>
      <c r="G193" s="99" t="s">
        <v>270</v>
      </c>
      <c r="H193" s="99" t="s">
        <v>414</v>
      </c>
      <c r="I193" s="100">
        <v>1370200</v>
      </c>
      <c r="J193" s="99" t="s">
        <v>54</v>
      </c>
      <c r="K193" s="99">
        <v>4</v>
      </c>
      <c r="L193" s="99" t="s">
        <v>254</v>
      </c>
      <c r="M193" s="99" t="s">
        <v>56</v>
      </c>
      <c r="N193" s="99" t="str">
        <f t="shared" si="20"/>
        <v>51.BOGOTA SUMAPAZ 40/50m³ 15H-4OP</v>
      </c>
    </row>
    <row r="194" spans="6:14" x14ac:dyDescent="0.2">
      <c r="F194" s="99" t="s">
        <v>256</v>
      </c>
      <c r="G194" s="99" t="s">
        <v>273</v>
      </c>
      <c r="H194" s="99" t="s">
        <v>415</v>
      </c>
      <c r="I194" s="100">
        <v>1259700</v>
      </c>
      <c r="J194" s="99" t="s">
        <v>54</v>
      </c>
      <c r="K194" s="99">
        <v>4</v>
      </c>
      <c r="L194" s="99" t="s">
        <v>255</v>
      </c>
      <c r="M194" s="99" t="s">
        <v>56</v>
      </c>
      <c r="N194" s="99" t="str">
        <f>+CONCATENATE(G194,F194)</f>
        <v>52.BOGOTA FUNZA 40/50m³ 15H-4OP</v>
      </c>
    </row>
    <row r="195" spans="6:14" x14ac:dyDescent="0.2">
      <c r="F195" s="99" t="s">
        <v>257</v>
      </c>
      <c r="G195" s="99" t="s">
        <v>276</v>
      </c>
      <c r="H195" s="99" t="s">
        <v>416</v>
      </c>
      <c r="I195" s="100">
        <v>1266330</v>
      </c>
      <c r="J195" s="100" t="s">
        <v>54</v>
      </c>
      <c r="K195" s="99">
        <v>4</v>
      </c>
      <c r="L195" s="99" t="s">
        <v>262</v>
      </c>
      <c r="M195" s="99" t="s">
        <v>56</v>
      </c>
      <c r="N195" s="99" t="str">
        <f t="shared" si="20"/>
        <v>53.BOGOTA COTA 40/50m³ 15H-4OP</v>
      </c>
    </row>
    <row r="196" spans="6:14" x14ac:dyDescent="0.2">
      <c r="F196" s="99" t="s">
        <v>263</v>
      </c>
      <c r="G196" s="99" t="s">
        <v>279</v>
      </c>
      <c r="H196" s="99" t="s">
        <v>417</v>
      </c>
      <c r="I196" s="100">
        <v>1450865</v>
      </c>
      <c r="J196" s="100" t="s">
        <v>54</v>
      </c>
      <c r="K196" s="99">
        <v>4</v>
      </c>
      <c r="L196" s="99" t="s">
        <v>264</v>
      </c>
      <c r="M196" s="99" t="s">
        <v>56</v>
      </c>
      <c r="N196" s="99" t="str">
        <f t="shared" si="20"/>
        <v>54.BOGOTA FUSA 40/50m³ 15H-4OP</v>
      </c>
    </row>
    <row r="197" spans="6:14" x14ac:dyDescent="0.2">
      <c r="F197" s="99" t="s">
        <v>265</v>
      </c>
      <c r="G197" s="287" t="s">
        <v>281</v>
      </c>
      <c r="H197" s="99" t="s">
        <v>418</v>
      </c>
      <c r="I197" s="100">
        <v>1328210</v>
      </c>
      <c r="J197" s="100" t="s">
        <v>54</v>
      </c>
      <c r="K197" s="99">
        <v>4</v>
      </c>
      <c r="L197" s="99" t="s">
        <v>266</v>
      </c>
      <c r="M197" s="99" t="s">
        <v>56</v>
      </c>
      <c r="N197" s="99" t="str">
        <f t="shared" si="20"/>
        <v>55.BOGOTA SOACHA 40/50m³ 15H-4OP</v>
      </c>
    </row>
    <row r="198" spans="6:14" x14ac:dyDescent="0.2">
      <c r="F198" s="99" t="s">
        <v>267</v>
      </c>
      <c r="G198" s="99" t="s">
        <v>283</v>
      </c>
      <c r="H198" s="99" t="s">
        <v>419</v>
      </c>
      <c r="I198" s="100">
        <v>933725</v>
      </c>
      <c r="J198" s="100" t="s">
        <v>66</v>
      </c>
      <c r="K198" s="99">
        <v>3</v>
      </c>
      <c r="L198" s="99" t="s">
        <v>268</v>
      </c>
      <c r="M198" s="99" t="s">
        <v>56</v>
      </c>
      <c r="N198" s="99" t="str">
        <f t="shared" si="20"/>
        <v>56.BOGOTA SOACHA 40/50m³ 9H-4OP</v>
      </c>
    </row>
    <row r="199" spans="6:14" x14ac:dyDescent="0.2">
      <c r="F199" s="99" t="s">
        <v>269</v>
      </c>
      <c r="G199" s="99" t="s">
        <v>287</v>
      </c>
      <c r="H199" s="99" t="s">
        <v>420</v>
      </c>
      <c r="I199" s="100">
        <v>1102790</v>
      </c>
      <c r="J199" s="100" t="s">
        <v>54</v>
      </c>
      <c r="K199" s="99">
        <v>4</v>
      </c>
      <c r="L199" s="99" t="s">
        <v>271</v>
      </c>
      <c r="M199" s="99" t="s">
        <v>56</v>
      </c>
      <c r="N199" s="99" t="str">
        <f t="shared" si="20"/>
        <v>57.BOGOTA SUMAPAZ 25m³ 15H-4OP</v>
      </c>
    </row>
    <row r="200" spans="6:14" x14ac:dyDescent="0.2">
      <c r="F200" s="99" t="s">
        <v>272</v>
      </c>
      <c r="G200" s="99" t="s">
        <v>288</v>
      </c>
      <c r="H200" s="99" t="s">
        <v>421</v>
      </c>
      <c r="I200" s="100">
        <v>877370</v>
      </c>
      <c r="J200" s="100" t="s">
        <v>54</v>
      </c>
      <c r="K200" s="99">
        <v>4</v>
      </c>
      <c r="L200" s="99" t="s">
        <v>274</v>
      </c>
      <c r="M200" s="99" t="s">
        <v>56</v>
      </c>
      <c r="N200" s="99" t="str">
        <f t="shared" si="20"/>
        <v>58.BOGOTA FUNZA 25m³ 15H-4OP</v>
      </c>
    </row>
    <row r="201" spans="6:14" x14ac:dyDescent="0.2">
      <c r="F201" s="99" t="s">
        <v>275</v>
      </c>
      <c r="G201" s="99" t="s">
        <v>289</v>
      </c>
      <c r="H201" s="99" t="s">
        <v>422</v>
      </c>
      <c r="I201" s="100">
        <v>876265</v>
      </c>
      <c r="J201" s="100" t="s">
        <v>54</v>
      </c>
      <c r="K201" s="99">
        <v>4</v>
      </c>
      <c r="L201" s="99" t="s">
        <v>277</v>
      </c>
      <c r="M201" s="99" t="s">
        <v>56</v>
      </c>
      <c r="N201" s="99" t="str">
        <f t="shared" si="20"/>
        <v>59.BOGOTA COTA 25m³ 15H-4OP</v>
      </c>
    </row>
    <row r="202" spans="6:14" x14ac:dyDescent="0.2">
      <c r="F202" s="99" t="s">
        <v>278</v>
      </c>
      <c r="G202" s="99" t="s">
        <v>290</v>
      </c>
      <c r="H202" s="99" t="s">
        <v>423</v>
      </c>
      <c r="I202" s="100">
        <v>839800</v>
      </c>
      <c r="J202" s="100" t="s">
        <v>54</v>
      </c>
      <c r="K202" s="99">
        <v>4</v>
      </c>
      <c r="L202" s="99" t="s">
        <v>284</v>
      </c>
      <c r="M202" s="99" t="s">
        <v>56</v>
      </c>
      <c r="N202" s="99" t="str">
        <f t="shared" si="20"/>
        <v>60.BOGOTA FUSA 25m³ 15H-4OP</v>
      </c>
    </row>
    <row r="203" spans="6:14" x14ac:dyDescent="0.2">
      <c r="F203" s="99" t="s">
        <v>280</v>
      </c>
      <c r="G203" s="99" t="s">
        <v>291</v>
      </c>
      <c r="H203" s="99" t="s">
        <v>424</v>
      </c>
      <c r="I203" s="100">
        <v>1014390</v>
      </c>
      <c r="J203" s="100" t="s">
        <v>54</v>
      </c>
      <c r="K203" s="99">
        <v>4</v>
      </c>
      <c r="L203" s="99" t="s">
        <v>285</v>
      </c>
      <c r="M203" s="99" t="s">
        <v>56</v>
      </c>
      <c r="N203" s="99" t="str">
        <f t="shared" si="20"/>
        <v>61.BOGOTA SOACHA 25m³ 15H-4OP</v>
      </c>
    </row>
    <row r="204" spans="6:14" x14ac:dyDescent="0.2">
      <c r="F204" s="99" t="s">
        <v>282</v>
      </c>
      <c r="G204" s="99" t="s">
        <v>292</v>
      </c>
      <c r="H204" s="99" t="s">
        <v>425</v>
      </c>
      <c r="I204" s="100">
        <v>822120</v>
      </c>
      <c r="J204" s="100" t="s">
        <v>66</v>
      </c>
      <c r="K204" s="99">
        <v>4</v>
      </c>
      <c r="L204" s="99" t="s">
        <v>286</v>
      </c>
      <c r="M204" s="99" t="s">
        <v>56</v>
      </c>
      <c r="N204" s="99" t="str">
        <f t="shared" si="20"/>
        <v>62.BOGOTA SOACHA 25m³ 9H-4OP</v>
      </c>
    </row>
    <row r="205" spans="6:14" x14ac:dyDescent="0.2">
      <c r="F205" s="99" t="s">
        <v>293</v>
      </c>
      <c r="G205" s="99" t="s">
        <v>300</v>
      </c>
      <c r="H205" s="99" t="s">
        <v>426</v>
      </c>
      <c r="I205" s="100">
        <v>751400</v>
      </c>
      <c r="J205" s="100" t="s">
        <v>54</v>
      </c>
      <c r="L205" s="99" t="s">
        <v>329</v>
      </c>
      <c r="M205" s="99" t="s">
        <v>56</v>
      </c>
      <c r="N205" s="99" t="str">
        <f t="shared" si="20"/>
        <v>63.BOGOTA SUMAPAZ FURGONADA-15H</v>
      </c>
    </row>
    <row r="206" spans="6:14" x14ac:dyDescent="0.2">
      <c r="F206" s="99" t="s">
        <v>294</v>
      </c>
      <c r="G206" s="99" t="s">
        <v>302</v>
      </c>
      <c r="H206" s="99" t="s">
        <v>427</v>
      </c>
      <c r="I206" s="100">
        <v>552500</v>
      </c>
      <c r="J206" s="100" t="s">
        <v>54</v>
      </c>
      <c r="L206" s="99" t="s">
        <v>330</v>
      </c>
      <c r="M206" s="99" t="s">
        <v>56</v>
      </c>
      <c r="N206" s="99" t="str">
        <f t="shared" si="20"/>
        <v>64.BOGOTA FUNZA FURGONADA-15H</v>
      </c>
    </row>
    <row r="207" spans="6:14" x14ac:dyDescent="0.2">
      <c r="F207" s="99" t="s">
        <v>295</v>
      </c>
      <c r="G207" s="99" t="s">
        <v>304</v>
      </c>
      <c r="H207" s="99" t="s">
        <v>428</v>
      </c>
      <c r="I207" s="100">
        <v>524875</v>
      </c>
      <c r="J207" s="100" t="s">
        <v>54</v>
      </c>
      <c r="L207" s="99" t="s">
        <v>331</v>
      </c>
      <c r="M207" s="99" t="s">
        <v>56</v>
      </c>
      <c r="N207" s="99" t="str">
        <f t="shared" si="20"/>
        <v>65.BOGOTA COTA FURGONADA-15H</v>
      </c>
    </row>
    <row r="208" spans="6:14" x14ac:dyDescent="0.2">
      <c r="F208" s="99" t="s">
        <v>296</v>
      </c>
      <c r="G208" s="99" t="s">
        <v>306</v>
      </c>
      <c r="H208" s="99" t="s">
        <v>429</v>
      </c>
      <c r="I208" s="100">
        <v>524875</v>
      </c>
      <c r="J208" s="100" t="s">
        <v>54</v>
      </c>
      <c r="L208" s="99" t="s">
        <v>332</v>
      </c>
      <c r="M208" s="99" t="s">
        <v>56</v>
      </c>
      <c r="N208" s="99" t="str">
        <f t="shared" si="20"/>
        <v>66.BOGOTA FUSA FURGONADA-15H</v>
      </c>
    </row>
    <row r="209" spans="6:14" x14ac:dyDescent="0.2">
      <c r="F209" s="99" t="s">
        <v>297</v>
      </c>
      <c r="G209" s="99" t="s">
        <v>308</v>
      </c>
      <c r="H209" s="99" t="s">
        <v>430</v>
      </c>
      <c r="I209" s="100">
        <v>585650</v>
      </c>
      <c r="J209" s="100" t="s">
        <v>54</v>
      </c>
      <c r="L209" s="99" t="s">
        <v>333</v>
      </c>
      <c r="M209" s="3" t="s">
        <v>56</v>
      </c>
      <c r="N209" s="99" t="str">
        <f t="shared" si="20"/>
        <v>67.BOGOTA SOACHA FURGONADA-15H</v>
      </c>
    </row>
    <row r="210" spans="6:14" x14ac:dyDescent="0.2">
      <c r="F210" s="99" t="s">
        <v>298</v>
      </c>
      <c r="G210" s="99" t="s">
        <v>310</v>
      </c>
      <c r="H210" s="99" t="s">
        <v>431</v>
      </c>
      <c r="I210" s="100">
        <v>530400</v>
      </c>
      <c r="J210" s="100" t="s">
        <v>54</v>
      </c>
      <c r="L210" s="99" t="s">
        <v>334</v>
      </c>
      <c r="M210" s="99" t="s">
        <v>56</v>
      </c>
      <c r="N210" s="99" t="str">
        <f t="shared" si="20"/>
        <v>68.BOGOTA SOACHA FURGONADA-09H</v>
      </c>
    </row>
    <row r="211" spans="6:14" x14ac:dyDescent="0.2">
      <c r="F211" s="99" t="s">
        <v>299</v>
      </c>
      <c r="G211" s="99" t="s">
        <v>313</v>
      </c>
      <c r="H211" s="99" t="s">
        <v>432</v>
      </c>
      <c r="I211" s="100">
        <v>795600</v>
      </c>
      <c r="J211" s="100" t="s">
        <v>54</v>
      </c>
      <c r="L211" s="99" t="s">
        <v>335</v>
      </c>
      <c r="M211" s="99" t="s">
        <v>56</v>
      </c>
      <c r="N211" s="99" t="str">
        <f t="shared" si="20"/>
        <v>69.BOGOTA SUMAPAPAZ 4X4 15H</v>
      </c>
    </row>
    <row r="212" spans="6:14" x14ac:dyDescent="0.2">
      <c r="F212" s="99" t="s">
        <v>301</v>
      </c>
      <c r="G212" s="99" t="s">
        <v>321</v>
      </c>
      <c r="H212" s="99" t="s">
        <v>433</v>
      </c>
      <c r="I212" s="100">
        <v>591175</v>
      </c>
      <c r="J212" s="100" t="s">
        <v>54</v>
      </c>
      <c r="L212" s="99" t="s">
        <v>336</v>
      </c>
      <c r="M212" s="99" t="s">
        <v>56</v>
      </c>
      <c r="N212" s="99" t="str">
        <f t="shared" si="20"/>
        <v>70.BOGOTA FUNZA 4X4 15H</v>
      </c>
    </row>
    <row r="213" spans="6:14" x14ac:dyDescent="0.2">
      <c r="F213" s="99" t="s">
        <v>303</v>
      </c>
      <c r="G213" s="99" t="s">
        <v>322</v>
      </c>
      <c r="H213" s="99" t="s">
        <v>434</v>
      </c>
      <c r="I213" s="100">
        <v>585650</v>
      </c>
      <c r="J213" s="100" t="s">
        <v>54</v>
      </c>
      <c r="L213" s="99" t="s">
        <v>337</v>
      </c>
      <c r="M213" s="99" t="s">
        <v>56</v>
      </c>
      <c r="N213" s="99" t="str">
        <f t="shared" si="20"/>
        <v>71.BOGOTA COTA 4X4 15H</v>
      </c>
    </row>
    <row r="214" spans="6:14" x14ac:dyDescent="0.2">
      <c r="F214" s="99" t="s">
        <v>305</v>
      </c>
      <c r="G214" s="99" t="s">
        <v>323</v>
      </c>
      <c r="H214" s="99" t="s">
        <v>435</v>
      </c>
      <c r="I214" s="100">
        <v>585650</v>
      </c>
      <c r="J214" s="100" t="s">
        <v>54</v>
      </c>
      <c r="L214" s="99" t="s">
        <v>338</v>
      </c>
      <c r="M214" s="99" t="s">
        <v>56</v>
      </c>
      <c r="N214" s="99" t="str">
        <f t="shared" si="20"/>
        <v>72.BOGOTA FUSA 4X4 15H</v>
      </c>
    </row>
    <row r="215" spans="6:14" x14ac:dyDescent="0.2">
      <c r="F215" s="99" t="s">
        <v>307</v>
      </c>
      <c r="G215" s="99" t="s">
        <v>324</v>
      </c>
      <c r="H215" s="99" t="s">
        <v>436</v>
      </c>
      <c r="I215" s="100">
        <v>607750</v>
      </c>
      <c r="J215" s="100" t="s">
        <v>54</v>
      </c>
      <c r="L215" s="99" t="s">
        <v>339</v>
      </c>
      <c r="M215" s="99" t="s">
        <v>56</v>
      </c>
      <c r="N215" s="99" t="str">
        <f t="shared" si="20"/>
        <v>73.BOGOTA SOACHA 4X4 15H</v>
      </c>
    </row>
    <row r="216" spans="6:14" x14ac:dyDescent="0.2">
      <c r="F216" s="99" t="s">
        <v>309</v>
      </c>
      <c r="G216" s="99" t="s">
        <v>325</v>
      </c>
      <c r="H216" s="99" t="s">
        <v>437</v>
      </c>
      <c r="I216" s="100">
        <v>640900</v>
      </c>
      <c r="J216" s="100" t="s">
        <v>54</v>
      </c>
      <c r="L216" s="99" t="s">
        <v>340</v>
      </c>
      <c r="M216" s="99" t="s">
        <v>56</v>
      </c>
      <c r="N216" s="99" t="str">
        <f t="shared" si="20"/>
        <v>74.BOGOTA SOACHA 4X4 09H</v>
      </c>
    </row>
    <row r="217" spans="6:14" x14ac:dyDescent="0.2">
      <c r="F217" s="99" t="s">
        <v>312</v>
      </c>
      <c r="G217" s="99" t="s">
        <v>326</v>
      </c>
      <c r="H217" s="99" t="s">
        <v>438</v>
      </c>
      <c r="I217" s="100">
        <v>1536000</v>
      </c>
      <c r="J217" s="100" t="s">
        <v>54</v>
      </c>
      <c r="L217" s="99" t="s">
        <v>341</v>
      </c>
      <c r="M217" s="99" t="s">
        <v>56</v>
      </c>
      <c r="N217" s="99" t="str">
        <f t="shared" si="20"/>
        <v xml:space="preserve">75.6 OPERARIOS-15-H </v>
      </c>
    </row>
    <row r="218" spans="6:14" x14ac:dyDescent="0.2">
      <c r="F218" s="99" t="s">
        <v>314</v>
      </c>
      <c r="G218" s="99" t="s">
        <v>327</v>
      </c>
      <c r="H218" s="99" t="s">
        <v>439</v>
      </c>
      <c r="I218" s="100">
        <v>2051264</v>
      </c>
      <c r="J218" s="100" t="s">
        <v>54</v>
      </c>
      <c r="L218" s="99" t="s">
        <v>342</v>
      </c>
      <c r="M218" s="99" t="s">
        <v>56</v>
      </c>
      <c r="N218" s="99" t="str">
        <f t="shared" si="20"/>
        <v xml:space="preserve">76.8 OPERARIOS-15-H </v>
      </c>
    </row>
    <row r="219" spans="6:14" x14ac:dyDescent="0.2">
      <c r="F219" s="99" t="s">
        <v>315</v>
      </c>
      <c r="G219" s="99" t="s">
        <v>328</v>
      </c>
      <c r="H219" s="99" t="s">
        <v>440</v>
      </c>
      <c r="I219" s="100">
        <v>2564080</v>
      </c>
      <c r="J219" s="100" t="s">
        <v>54</v>
      </c>
      <c r="L219" s="99" t="s">
        <v>343</v>
      </c>
      <c r="M219" s="99" t="s">
        <v>56</v>
      </c>
      <c r="N219" s="99" t="str">
        <f t="shared" si="20"/>
        <v xml:space="preserve">77.10 OPERARIOS-15-H </v>
      </c>
    </row>
    <row r="220" spans="6:14" x14ac:dyDescent="0.2">
      <c r="F220" s="99" t="s">
        <v>316</v>
      </c>
      <c r="G220" s="99" t="s">
        <v>441</v>
      </c>
      <c r="H220" s="99" t="s">
        <v>442</v>
      </c>
      <c r="I220" s="100">
        <v>1203972</v>
      </c>
      <c r="J220" s="100" t="s">
        <v>66</v>
      </c>
      <c r="L220" s="99" t="s">
        <v>344</v>
      </c>
      <c r="M220" s="99" t="s">
        <v>56</v>
      </c>
      <c r="N220" s="99" t="str">
        <f t="shared" ref="N220:N224" si="21">+CONCATENATE(G220,F220)</f>
        <v xml:space="preserve">78.6 OPERARIOS-09-H </v>
      </c>
    </row>
    <row r="221" spans="6:14" x14ac:dyDescent="0.2">
      <c r="F221" s="99" t="s">
        <v>317</v>
      </c>
      <c r="G221" s="99" t="s">
        <v>443</v>
      </c>
      <c r="H221" s="99" t="s">
        <v>444</v>
      </c>
      <c r="I221" s="100">
        <v>1605296</v>
      </c>
      <c r="J221" s="100" t="s">
        <v>66</v>
      </c>
      <c r="L221" s="99" t="s">
        <v>345</v>
      </c>
      <c r="M221" s="99" t="s">
        <v>56</v>
      </c>
      <c r="N221" s="99" t="str">
        <f t="shared" si="21"/>
        <v xml:space="preserve">79.8 OPERARIOS-09-H </v>
      </c>
    </row>
    <row r="222" spans="6:14" x14ac:dyDescent="0.2">
      <c r="F222" s="99" t="s">
        <v>318</v>
      </c>
      <c r="G222" s="99" t="s">
        <v>445</v>
      </c>
      <c r="H222" s="99" t="s">
        <v>446</v>
      </c>
      <c r="I222" s="100">
        <v>2006620</v>
      </c>
      <c r="J222" s="294" t="s">
        <v>66</v>
      </c>
      <c r="L222" s="99" t="s">
        <v>346</v>
      </c>
      <c r="M222" s="99" t="s">
        <v>56</v>
      </c>
      <c r="N222" s="99" t="str">
        <f t="shared" si="21"/>
        <v xml:space="preserve">80.10 OPERARIOS-09-H </v>
      </c>
    </row>
    <row r="223" spans="6:14" x14ac:dyDescent="0.2">
      <c r="F223" s="99" t="s">
        <v>319</v>
      </c>
      <c r="G223" s="99" t="s">
        <v>447</v>
      </c>
      <c r="H223" s="99" t="s">
        <v>448</v>
      </c>
      <c r="I223" s="100">
        <v>869508</v>
      </c>
      <c r="J223" s="294" t="s">
        <v>77</v>
      </c>
      <c r="L223" s="99" t="s">
        <v>347</v>
      </c>
      <c r="M223" s="99" t="s">
        <v>56</v>
      </c>
      <c r="N223" s="99" t="str">
        <f t="shared" si="21"/>
        <v xml:space="preserve">81.6 OPERARIOS-04-H </v>
      </c>
    </row>
    <row r="224" spans="6:14" x14ac:dyDescent="0.2">
      <c r="F224" s="99" t="s">
        <v>320</v>
      </c>
      <c r="G224" s="99" t="s">
        <v>449</v>
      </c>
      <c r="H224" s="99" t="s">
        <v>450</v>
      </c>
      <c r="I224" s="100">
        <v>1159344</v>
      </c>
      <c r="J224" s="294" t="s">
        <v>77</v>
      </c>
      <c r="L224" s="99" t="s">
        <v>348</v>
      </c>
      <c r="M224" s="99" t="s">
        <v>56</v>
      </c>
      <c r="N224" s="99" t="str">
        <f t="shared" si="21"/>
        <v xml:space="preserve">82.8 OPERARIOS-04-H </v>
      </c>
    </row>
    <row r="225" spans="6:14" x14ac:dyDescent="0.2">
      <c r="F225" s="99" t="s">
        <v>349</v>
      </c>
      <c r="G225" s="99" t="s">
        <v>451</v>
      </c>
      <c r="H225" s="99" t="s">
        <v>452</v>
      </c>
      <c r="I225" s="100">
        <v>1449180</v>
      </c>
      <c r="J225" s="294" t="s">
        <v>77</v>
      </c>
      <c r="L225" s="99" t="s">
        <v>350</v>
      </c>
      <c r="M225" s="99" t="s">
        <v>56</v>
      </c>
      <c r="N225" s="99" t="str">
        <f>+CONCATENATE(G225,F225)</f>
        <v xml:space="preserve">83.10 OPERARIOS-04H-10OP </v>
      </c>
    </row>
  </sheetData>
  <sheetProtection selectLockedCells="1" selectUnlockedCells="1"/>
  <mergeCells count="20">
    <mergeCell ref="AA2:AE2"/>
    <mergeCell ref="R16:Y16"/>
    <mergeCell ref="A35:G35"/>
    <mergeCell ref="A1:G1"/>
    <mergeCell ref="A2:G2"/>
    <mergeCell ref="I2:P2"/>
    <mergeCell ref="R2:Y2"/>
    <mergeCell ref="A17:G17"/>
    <mergeCell ref="I19:P19"/>
    <mergeCell ref="R21:Y21"/>
    <mergeCell ref="A26:G26"/>
    <mergeCell ref="A27:G27"/>
    <mergeCell ref="A76:Y94"/>
    <mergeCell ref="A96:A98"/>
    <mergeCell ref="A44:G44"/>
    <mergeCell ref="A45:G45"/>
    <mergeCell ref="J49:P68"/>
    <mergeCell ref="A55:G55"/>
    <mergeCell ref="K73:L73"/>
    <mergeCell ref="A75:AE75"/>
  </mergeCells>
  <dataValidations count="3">
    <dataValidation type="list" allowBlank="1" showInputMessage="1" showErrorMessage="1" sqref="F15:F16" xr:uid="{DEF1F027-0833-EA4D-8DD7-CE2ACB6E985D}">
      <formula1>$H$143:$H$188</formula1>
    </dataValidation>
    <dataValidation type="list" allowBlank="1" showInputMessage="1" showErrorMessage="1" sqref="F34 O10:O18 O26:O27 F67" xr:uid="{EB6A6C2A-F570-304E-9564-62338916AB69}">
      <formula1>$H$142:$H$188</formula1>
    </dataValidation>
    <dataValidation type="list" allowBlank="1" showInputMessage="1" showErrorMessage="1" sqref="F4:F14 X23:X33 X18:X19 X4:X6 O21:O25 O4:O9 F57:F66 F49:F54 F37:F42 F29:F33 F19:F24" xr:uid="{A396C4C2-4F37-9340-8C23-19A05FE115F7}">
      <formula1>$H$142:$H$219</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2737D79-29A1-F14A-900D-6B64BA7A1D8F}">
  <sheetPr>
    <tabColor rgb="FF00B050"/>
  </sheetPr>
  <dimension ref="A1:AE225"/>
  <sheetViews>
    <sheetView view="pageBreakPreview" topLeftCell="H29" zoomScale="90" zoomScaleNormal="59" zoomScaleSheetLayoutView="90" workbookViewId="0">
      <selection activeCell="C70" sqref="C70"/>
    </sheetView>
  </sheetViews>
  <sheetFormatPr baseColWidth="10" defaultColWidth="11.42578125" defaultRowHeight="12.75" x14ac:dyDescent="0.2"/>
  <cols>
    <col min="1" max="1" width="43.140625" style="3" customWidth="1"/>
    <col min="2" max="2" width="27.42578125" style="3" customWidth="1"/>
    <col min="3" max="3" width="20.85546875" style="3" customWidth="1"/>
    <col min="4" max="4" width="33.42578125" style="3" customWidth="1"/>
    <col min="5" max="5" width="28.710937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43.42578125" style="301" customWidth="1"/>
    <col min="16" max="16" width="29.28515625" style="3" customWidth="1"/>
    <col min="17" max="17" width="23.85546875" style="3" customWidth="1"/>
    <col min="18" max="18" width="18.140625" style="3" customWidth="1"/>
    <col min="19" max="19" width="35.42578125" style="3" customWidth="1"/>
    <col min="20" max="20" width="20.28515625" style="3" customWidth="1"/>
    <col min="21" max="21" width="19" style="3" customWidth="1"/>
    <col min="22" max="23" width="25.42578125" style="3" customWidth="1"/>
    <col min="24" max="24" width="42.710937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422" t="s">
        <v>0</v>
      </c>
      <c r="B1" s="422"/>
      <c r="C1" s="422"/>
      <c r="D1" s="422"/>
      <c r="E1" s="422"/>
      <c r="F1" s="422"/>
      <c r="G1" s="422"/>
      <c r="H1" s="2"/>
      <c r="I1" s="2"/>
      <c r="J1" s="2"/>
      <c r="K1" s="2"/>
      <c r="L1" s="2"/>
      <c r="M1" s="2"/>
      <c r="N1" s="2"/>
      <c r="O1" s="295"/>
      <c r="P1" s="2"/>
      <c r="Q1" s="2"/>
      <c r="R1" s="2"/>
      <c r="S1" s="2"/>
      <c r="T1" s="2"/>
      <c r="U1" s="2"/>
      <c r="V1" s="2"/>
      <c r="W1" s="2"/>
      <c r="X1" s="2"/>
      <c r="Y1" s="2"/>
    </row>
    <row r="2" spans="1:31" ht="15.75" x14ac:dyDescent="0.2">
      <c r="A2" s="422" t="s">
        <v>1</v>
      </c>
      <c r="B2" s="422"/>
      <c r="C2" s="422"/>
      <c r="D2" s="422"/>
      <c r="E2" s="422"/>
      <c r="F2" s="422"/>
      <c r="G2" s="422"/>
      <c r="H2" s="2"/>
      <c r="I2" s="423" t="s">
        <v>2</v>
      </c>
      <c r="J2" s="424"/>
      <c r="K2" s="424"/>
      <c r="L2" s="424"/>
      <c r="M2" s="424"/>
      <c r="N2" s="424"/>
      <c r="O2" s="424"/>
      <c r="P2" s="425"/>
      <c r="Q2" s="2"/>
      <c r="R2" s="418" t="s">
        <v>3</v>
      </c>
      <c r="S2" s="419"/>
      <c r="T2" s="419"/>
      <c r="U2" s="419"/>
      <c r="V2" s="419"/>
      <c r="W2" s="419"/>
      <c r="X2" s="419"/>
      <c r="Y2" s="420"/>
      <c r="AA2" s="417"/>
      <c r="AB2" s="417"/>
      <c r="AC2" s="417"/>
      <c r="AD2" s="417"/>
      <c r="AE2" s="417"/>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303" t="s">
        <v>11</v>
      </c>
      <c r="S3" s="304" t="s">
        <v>4</v>
      </c>
      <c r="T3" s="305" t="s">
        <v>5</v>
      </c>
      <c r="U3" s="305" t="s">
        <v>6</v>
      </c>
      <c r="V3" s="305" t="s">
        <v>7</v>
      </c>
      <c r="W3" s="305" t="s">
        <v>8</v>
      </c>
      <c r="X3" s="305" t="s">
        <v>9</v>
      </c>
      <c r="Y3" s="305" t="s">
        <v>10</v>
      </c>
      <c r="AA3" s="4"/>
      <c r="AB3" s="9"/>
      <c r="AC3" s="9"/>
      <c r="AD3" s="9"/>
      <c r="AE3" s="9"/>
    </row>
    <row r="4" spans="1:31" ht="31.5" x14ac:dyDescent="0.25">
      <c r="A4" s="10" t="s">
        <v>12</v>
      </c>
      <c r="B4" s="11" t="str">
        <f>+IF(F4=0,0,MID(F4,LEN(F4)-4,3))</f>
        <v xml:space="preserve">04 </v>
      </c>
      <c r="C4" s="12">
        <v>1</v>
      </c>
      <c r="D4" s="12" t="s">
        <v>229</v>
      </c>
      <c r="E4" s="13" t="str">
        <f>+IF(F4=0,0,CONCATENATE(MID(F4,FIND("-",F4,1)+1,4),"ORAS"))</f>
        <v>15 HORAS</v>
      </c>
      <c r="F4" s="14" t="s">
        <v>351</v>
      </c>
      <c r="G4" s="362">
        <f>+IF(F4="","",VLOOKUP(F4,$H$142:$I$220,2,FALSE))</f>
        <v>1955007</v>
      </c>
      <c r="H4" s="2"/>
      <c r="I4" s="15" t="s">
        <v>13</v>
      </c>
      <c r="J4" s="14" t="s">
        <v>16</v>
      </c>
      <c r="K4" s="11" t="str">
        <f>+IF(O4=0,0,MID(O4,LEN(O4)-4,3))</f>
        <v xml:space="preserve">03 </v>
      </c>
      <c r="L4" s="17">
        <v>1</v>
      </c>
      <c r="M4" s="12" t="s">
        <v>229</v>
      </c>
      <c r="N4" s="13" t="str">
        <f>+IF(O4=0,0,CONCATENATE(MID(O4,FIND("-",O4,1)+1,4),"ORAS"))</f>
        <v>15 HORAS</v>
      </c>
      <c r="O4" s="296" t="s">
        <v>394</v>
      </c>
      <c r="P4" s="362">
        <f>+IF(O4="","",VLOOKUP(O4,$H$142:$I$220,2,FALSE))</f>
        <v>1019917</v>
      </c>
      <c r="Q4" s="2"/>
      <c r="R4" s="306" t="s">
        <v>13</v>
      </c>
      <c r="S4" s="307" t="s">
        <v>14</v>
      </c>
      <c r="T4" s="308">
        <v>4</v>
      </c>
      <c r="U4" s="309">
        <v>1</v>
      </c>
      <c r="V4" s="310" t="s">
        <v>229</v>
      </c>
      <c r="W4" s="13" t="str">
        <f>+IF(X4=0,0,CONCATENATE(MID(X4,FIND("-",X4,1)+1,4),"ORAS"))</f>
        <v>15 HORAS</v>
      </c>
      <c r="X4" s="296" t="s">
        <v>366</v>
      </c>
      <c r="Y4" s="362">
        <f>+IF(X4="","",VLOOKUP(X4,$H$142:$I$220,2,FALSE))</f>
        <v>1691890</v>
      </c>
      <c r="AA4" s="20"/>
      <c r="AB4" s="21"/>
      <c r="AC4" s="21"/>
      <c r="AD4" s="22"/>
      <c r="AE4" s="23"/>
    </row>
    <row r="5" spans="1:31" ht="31.5" x14ac:dyDescent="0.25">
      <c r="A5" s="25" t="s">
        <v>382</v>
      </c>
      <c r="B5" s="11" t="str">
        <f t="shared" ref="B5:B10" si="0">+IF(F5=0,0,MID(F5,LEN(F5)-4,3))</f>
        <v xml:space="preserve">03 </v>
      </c>
      <c r="C5" s="18">
        <v>1</v>
      </c>
      <c r="D5" s="12" t="s">
        <v>229</v>
      </c>
      <c r="E5" s="13" t="str">
        <f t="shared" ref="E5:E10" si="1">+IF(F5=0,0,CONCATENATE(MID(F5,FIND("-",F5,1)+1,4),"ORAS"))</f>
        <v>15 HORAS</v>
      </c>
      <c r="F5" s="14" t="s">
        <v>352</v>
      </c>
      <c r="G5" s="375">
        <f t="shared" ref="G5:G12" si="2">+IF(F5="","",VLOOKUP(F5,$H$142:$I$220,2,FALSE))</f>
        <v>1795972</v>
      </c>
      <c r="H5" s="2"/>
      <c r="I5" s="15"/>
      <c r="J5" s="14"/>
      <c r="K5" s="11">
        <f t="shared" ref="K5:K8" si="3">+IF(O5=0,0,MID(O5,LEN(O5)-4,3))</f>
        <v>0</v>
      </c>
      <c r="L5" s="17"/>
      <c r="M5" s="12"/>
      <c r="N5" s="13">
        <f t="shared" ref="N5:N8" si="4">+IF(O5=0,0,CONCATENATE(MID(O5,FIND("-",O5,1)+1,4),"ORAS"))</f>
        <v>0</v>
      </c>
      <c r="O5" s="296">
        <v>0</v>
      </c>
      <c r="P5" s="341">
        <f t="shared" ref="P5:P8" si="5">+IF(O5="","",VLOOKUP(O5,$H$142:$I$220,2,FALSE))</f>
        <v>0</v>
      </c>
      <c r="Q5" s="2"/>
      <c r="R5" s="313" t="s">
        <v>13</v>
      </c>
      <c r="S5" s="314" t="s">
        <v>17</v>
      </c>
      <c r="T5" s="308">
        <v>4</v>
      </c>
      <c r="U5" s="315">
        <v>1</v>
      </c>
      <c r="V5" s="310" t="s">
        <v>229</v>
      </c>
      <c r="W5" s="13" t="str">
        <f>+IF(X5=0,0,CONCATENATE(MID(X5,FIND("-",X5,1)+1,4),"ORAS"))</f>
        <v>15 HORAS</v>
      </c>
      <c r="X5" s="296" t="s">
        <v>366</v>
      </c>
      <c r="Y5" s="362">
        <f>+IF(X5="","",VLOOKUP(X5,$H$142:$I$220,2,FALSE))</f>
        <v>1691890</v>
      </c>
      <c r="AA5" s="20"/>
      <c r="AB5" s="21"/>
      <c r="AC5" s="21"/>
      <c r="AD5" s="22"/>
      <c r="AE5" s="23"/>
    </row>
    <row r="6" spans="1:31" ht="31.5" x14ac:dyDescent="0.25">
      <c r="A6" s="14" t="s">
        <v>15</v>
      </c>
      <c r="B6" s="11" t="str">
        <f t="shared" si="0"/>
        <v xml:space="preserve">03 </v>
      </c>
      <c r="C6" s="18">
        <v>1</v>
      </c>
      <c r="D6" s="12" t="s">
        <v>229</v>
      </c>
      <c r="E6" s="13" t="str">
        <f t="shared" si="1"/>
        <v>15 HORAS</v>
      </c>
      <c r="F6" s="14" t="s">
        <v>352</v>
      </c>
      <c r="G6" s="362">
        <f t="shared" si="2"/>
        <v>1795972</v>
      </c>
      <c r="H6" s="2"/>
      <c r="I6" s="15"/>
      <c r="J6" s="14"/>
      <c r="K6" s="11">
        <f t="shared" si="3"/>
        <v>0</v>
      </c>
      <c r="L6" s="17"/>
      <c r="M6" s="12"/>
      <c r="N6" s="13">
        <f t="shared" si="4"/>
        <v>0</v>
      </c>
      <c r="O6" s="296">
        <v>0</v>
      </c>
      <c r="P6" s="341">
        <f t="shared" si="5"/>
        <v>0</v>
      </c>
      <c r="Q6" s="2"/>
      <c r="R6" s="313" t="s">
        <v>13</v>
      </c>
      <c r="S6" s="314" t="s">
        <v>19</v>
      </c>
      <c r="T6" s="308">
        <v>4</v>
      </c>
      <c r="U6" s="315">
        <v>1</v>
      </c>
      <c r="V6" s="310" t="s">
        <v>229</v>
      </c>
      <c r="W6" s="13" t="str">
        <f>+IF(X6=0,0,CONCATENATE(MID(X6,FIND("-",X6,1)+1,4),"ORAS"))</f>
        <v>15 HORAS</v>
      </c>
      <c r="X6" s="296" t="s">
        <v>366</v>
      </c>
      <c r="Y6" s="362">
        <f>+IF(X6="","",VLOOKUP(X6,$H$142:$I$220,2,FALSE))</f>
        <v>1691890</v>
      </c>
      <c r="AA6" s="20"/>
      <c r="AB6" s="21"/>
      <c r="AC6" s="21"/>
      <c r="AD6" s="22"/>
      <c r="AE6" s="23"/>
    </row>
    <row r="7" spans="1:31" ht="15.75" x14ac:dyDescent="0.25">
      <c r="A7" s="14" t="s">
        <v>18</v>
      </c>
      <c r="B7" s="11" t="str">
        <f t="shared" si="0"/>
        <v xml:space="preserve">03 </v>
      </c>
      <c r="C7" s="18">
        <v>1</v>
      </c>
      <c r="D7" s="12" t="s">
        <v>229</v>
      </c>
      <c r="E7" s="13" t="str">
        <f t="shared" si="1"/>
        <v>15 HORAS</v>
      </c>
      <c r="F7" s="14" t="s">
        <v>352</v>
      </c>
      <c r="G7" s="362">
        <f t="shared" si="2"/>
        <v>1795972</v>
      </c>
      <c r="H7" s="2"/>
      <c r="I7" s="15"/>
      <c r="J7" s="14"/>
      <c r="K7" s="11">
        <f t="shared" si="3"/>
        <v>0</v>
      </c>
      <c r="L7" s="17"/>
      <c r="M7" s="12"/>
      <c r="N7" s="13">
        <f t="shared" si="4"/>
        <v>0</v>
      </c>
      <c r="O7" s="296">
        <v>0</v>
      </c>
      <c r="P7" s="341">
        <f t="shared" si="5"/>
        <v>0</v>
      </c>
      <c r="Q7" s="2"/>
      <c r="R7" s="317"/>
      <c r="S7" s="319"/>
      <c r="T7" s="320"/>
      <c r="U7" s="321"/>
      <c r="V7" s="310"/>
      <c r="W7" s="311"/>
      <c r="X7" s="316">
        <v>0</v>
      </c>
      <c r="Y7" s="342">
        <v>0</v>
      </c>
      <c r="AA7" s="20"/>
      <c r="AB7" s="20"/>
      <c r="AC7" s="20"/>
      <c r="AD7" s="20"/>
      <c r="AE7" s="20"/>
    </row>
    <row r="8" spans="1:31" ht="15.75" x14ac:dyDescent="0.25">
      <c r="A8" s="14" t="s">
        <v>20</v>
      </c>
      <c r="B8" s="11" t="str">
        <f t="shared" si="0"/>
        <v xml:space="preserve">03 </v>
      </c>
      <c r="C8" s="18">
        <v>1</v>
      </c>
      <c r="D8" s="12" t="s">
        <v>229</v>
      </c>
      <c r="E8" s="13" t="str">
        <f t="shared" si="1"/>
        <v>15 HORAS</v>
      </c>
      <c r="F8" s="14" t="s">
        <v>352</v>
      </c>
      <c r="G8" s="362">
        <f t="shared" si="2"/>
        <v>1795972</v>
      </c>
      <c r="H8" s="2"/>
      <c r="I8" s="15"/>
      <c r="J8" s="14"/>
      <c r="K8" s="11">
        <f t="shared" si="3"/>
        <v>0</v>
      </c>
      <c r="L8" s="17"/>
      <c r="M8" s="12"/>
      <c r="N8" s="13">
        <f t="shared" si="4"/>
        <v>0</v>
      </c>
      <c r="O8" s="296">
        <v>0</v>
      </c>
      <c r="P8" s="341">
        <f t="shared" si="5"/>
        <v>0</v>
      </c>
      <c r="Q8" s="2"/>
      <c r="R8" s="306"/>
      <c r="S8" s="322"/>
      <c r="T8" s="315"/>
      <c r="U8" s="309">
        <v>3</v>
      </c>
      <c r="V8" s="323"/>
      <c r="W8" s="312"/>
      <c r="X8" s="316"/>
      <c r="Y8" s="324"/>
      <c r="AA8" s="20"/>
      <c r="AB8" s="20"/>
      <c r="AC8" s="20"/>
      <c r="AD8" s="20"/>
      <c r="AE8" s="20"/>
    </row>
    <row r="9" spans="1:31" ht="15.75" x14ac:dyDescent="0.25">
      <c r="A9" s="14" t="s">
        <v>21</v>
      </c>
      <c r="B9" s="11" t="str">
        <f t="shared" si="0"/>
        <v xml:space="preserve">03 </v>
      </c>
      <c r="C9" s="18">
        <v>1</v>
      </c>
      <c r="D9" s="12" t="s">
        <v>229</v>
      </c>
      <c r="E9" s="13" t="str">
        <f t="shared" si="1"/>
        <v>15 HORAS</v>
      </c>
      <c r="F9" s="14" t="s">
        <v>352</v>
      </c>
      <c r="G9" s="362">
        <f t="shared" si="2"/>
        <v>1795972</v>
      </c>
      <c r="H9" s="2"/>
      <c r="I9" s="15"/>
      <c r="J9" s="14"/>
      <c r="K9" s="11">
        <f>+IF(O9=0,0,MID(O9,LEN(O9)-4,3))</f>
        <v>0</v>
      </c>
      <c r="L9" s="17"/>
      <c r="M9" s="12"/>
      <c r="N9" s="13">
        <f>+IF(O9=0,0,CONCATENATE(MID(O9,FIND("-",O9,1)+1,4),"ORAS"))</f>
        <v>0</v>
      </c>
      <c r="O9" s="296">
        <v>0</v>
      </c>
      <c r="P9" s="341">
        <f>+IF(O9="","",VLOOKUP(O9,$H$142:$I$220,2,FALSE))</f>
        <v>0</v>
      </c>
      <c r="Q9" s="2"/>
      <c r="R9" s="325"/>
      <c r="S9" s="318"/>
      <c r="T9" s="318"/>
      <c r="U9" s="318"/>
      <c r="V9" s="326"/>
      <c r="W9" s="326"/>
      <c r="X9" s="326"/>
      <c r="Y9" s="327"/>
      <c r="AA9" s="20"/>
      <c r="AB9" s="20"/>
      <c r="AC9" s="20"/>
      <c r="AD9" s="20"/>
      <c r="AE9" s="20"/>
    </row>
    <row r="10" spans="1:31" ht="15.75" x14ac:dyDescent="0.25">
      <c r="A10" s="25" t="s">
        <v>381</v>
      </c>
      <c r="B10" s="11" t="str">
        <f t="shared" si="0"/>
        <v xml:space="preserve">03 </v>
      </c>
      <c r="C10" s="18">
        <v>1</v>
      </c>
      <c r="D10" s="12" t="s">
        <v>229</v>
      </c>
      <c r="E10" s="13" t="str">
        <f t="shared" si="1"/>
        <v>15 HORAS</v>
      </c>
      <c r="F10" s="14" t="s">
        <v>352</v>
      </c>
      <c r="G10" s="362">
        <f t="shared" si="2"/>
        <v>1795972</v>
      </c>
      <c r="H10" s="2"/>
      <c r="I10" s="26"/>
      <c r="J10" s="14"/>
      <c r="K10" s="16"/>
      <c r="L10" s="27"/>
      <c r="M10" s="27"/>
      <c r="N10" s="14"/>
      <c r="O10" s="296"/>
      <c r="P10" s="28"/>
      <c r="Q10" s="2"/>
      <c r="R10" s="325"/>
      <c r="S10" s="318"/>
      <c r="T10" s="318"/>
      <c r="U10" s="318"/>
      <c r="V10" s="326"/>
      <c r="W10" s="326"/>
      <c r="X10" s="326"/>
      <c r="Y10" s="327"/>
      <c r="AA10" s="20"/>
      <c r="AB10" s="20"/>
      <c r="AC10" s="20"/>
      <c r="AD10" s="20"/>
      <c r="AE10" s="20"/>
    </row>
    <row r="11" spans="1:31" ht="15.75" x14ac:dyDescent="0.25">
      <c r="A11" s="25" t="s">
        <v>495</v>
      </c>
      <c r="B11" s="11" t="str">
        <f>+IF(F11=0,0,MID(F11,LEN(F11)-4,3))</f>
        <v xml:space="preserve">04 </v>
      </c>
      <c r="C11" s="18">
        <v>1</v>
      </c>
      <c r="D11" s="18" t="s">
        <v>229</v>
      </c>
      <c r="E11" s="13" t="str">
        <f>+IF(F11=0,0,CONCATENATE(MID(F11,FIND("-",F11,1)+1,4),"ORAS"))</f>
        <v>15 HORAS</v>
      </c>
      <c r="F11" s="14" t="s">
        <v>351</v>
      </c>
      <c r="G11" s="362">
        <f t="shared" si="2"/>
        <v>1955007</v>
      </c>
      <c r="H11" s="2"/>
      <c r="I11" s="26"/>
      <c r="J11" s="14"/>
      <c r="K11" s="16"/>
      <c r="L11" s="27"/>
      <c r="M11" s="27"/>
      <c r="N11" s="14"/>
      <c r="O11" s="296"/>
      <c r="P11" s="29"/>
      <c r="Q11" s="2"/>
      <c r="R11" s="325"/>
      <c r="S11" s="318"/>
      <c r="T11" s="318"/>
      <c r="U11" s="318"/>
      <c r="V11" s="326"/>
      <c r="W11" s="326"/>
      <c r="X11" s="326"/>
      <c r="Y11" s="327"/>
      <c r="AA11" s="20"/>
      <c r="AB11" s="20"/>
      <c r="AC11" s="20"/>
      <c r="AD11" s="20"/>
      <c r="AE11" s="20"/>
    </row>
    <row r="12" spans="1:31" ht="15.75" x14ac:dyDescent="0.25">
      <c r="A12" s="25" t="s">
        <v>496</v>
      </c>
      <c r="B12" s="11" t="str">
        <f>+IF(F12=0,0,MID(F12,LEN(F12)-4,3))</f>
        <v xml:space="preserve">03 </v>
      </c>
      <c r="C12" s="18">
        <v>1</v>
      </c>
      <c r="D12" s="18" t="s">
        <v>229</v>
      </c>
      <c r="E12" s="13" t="str">
        <f>+IF(F12=0,0,CONCATENATE(MID(F12,FIND("-",F12,1)+1,4),"ORAS"))</f>
        <v>15 HORAS</v>
      </c>
      <c r="F12" s="14" t="s">
        <v>352</v>
      </c>
      <c r="G12" s="374">
        <f t="shared" si="2"/>
        <v>1795972</v>
      </c>
      <c r="H12" s="2"/>
      <c r="I12" s="26"/>
      <c r="J12" s="14"/>
      <c r="K12" s="16"/>
      <c r="L12" s="27"/>
      <c r="M12" s="27"/>
      <c r="N12" s="14"/>
      <c r="O12" s="296"/>
      <c r="P12" s="29"/>
      <c r="Q12" s="2"/>
      <c r="R12" s="325"/>
      <c r="S12" s="318"/>
      <c r="T12" s="318"/>
      <c r="U12" s="318"/>
      <c r="V12" s="326"/>
      <c r="W12" s="326"/>
      <c r="X12" s="326"/>
      <c r="Y12" s="327"/>
      <c r="AA12" s="20"/>
      <c r="AB12" s="20"/>
      <c r="AC12" s="20"/>
      <c r="AD12" s="20"/>
      <c r="AE12" s="20"/>
    </row>
    <row r="13" spans="1:31" ht="15.75" x14ac:dyDescent="0.25">
      <c r="A13" s="25"/>
      <c r="B13" s="11">
        <f>+IF(F13=0,0,MID(F13,LEN(F13)-4,3))</f>
        <v>0</v>
      </c>
      <c r="C13" s="367"/>
      <c r="D13" s="18"/>
      <c r="E13" s="13">
        <f>+IF(F13=0,0,CONCATENATE(MID(F13,FIND("-",F13,1)+1,4),"ORAS"))</f>
        <v>0</v>
      </c>
      <c r="F13" s="14">
        <v>0</v>
      </c>
      <c r="G13" s="341">
        <f>+IF(F13="","",VLOOKUP(F13,$H$142:$I$220,2,FALSE))</f>
        <v>0</v>
      </c>
      <c r="H13" s="2"/>
      <c r="I13" s="26"/>
      <c r="J13" s="14"/>
      <c r="K13" s="16"/>
      <c r="L13" s="27"/>
      <c r="M13" s="27"/>
      <c r="N13" s="14"/>
      <c r="O13" s="296"/>
      <c r="P13" s="29"/>
      <c r="Q13" s="2"/>
      <c r="R13" s="325"/>
      <c r="S13" s="318"/>
      <c r="T13" s="318"/>
      <c r="U13" s="318"/>
      <c r="V13" s="326"/>
      <c r="W13" s="326"/>
      <c r="X13" s="326"/>
      <c r="Y13" s="327"/>
      <c r="AA13" s="20"/>
      <c r="AB13" s="20"/>
      <c r="AC13" s="20"/>
      <c r="AD13" s="20"/>
      <c r="AE13" s="20"/>
    </row>
    <row r="14" spans="1:31" ht="15.75" x14ac:dyDescent="0.25">
      <c r="A14" s="25"/>
      <c r="B14" s="368">
        <f>+IF(F14=0,0,MID(F14,LEN(F14)-4,3))</f>
        <v>0</v>
      </c>
      <c r="C14" s="18"/>
      <c r="D14" s="18"/>
      <c r="E14" s="13">
        <f>+IF(F14=0,0,CONCATENATE(MID(F14,FIND("-",F14,1)+1,4),"ORAS"))</f>
        <v>0</v>
      </c>
      <c r="F14" s="14">
        <v>0</v>
      </c>
      <c r="G14" s="341">
        <f>+IF(F14="","",VLOOKUP(F14,$H$142:$I$220,2,FALSE))</f>
        <v>0</v>
      </c>
      <c r="H14" s="2"/>
      <c r="I14" s="26"/>
      <c r="J14" s="14"/>
      <c r="K14" s="16"/>
      <c r="L14" s="27"/>
      <c r="M14" s="27"/>
      <c r="N14" s="14"/>
      <c r="O14" s="296"/>
      <c r="P14" s="29"/>
      <c r="Q14" s="2"/>
      <c r="R14" s="325"/>
      <c r="S14" s="318"/>
      <c r="T14" s="318"/>
      <c r="U14" s="318"/>
      <c r="V14" s="326"/>
      <c r="W14" s="326"/>
      <c r="X14" s="326"/>
      <c r="Y14" s="327"/>
      <c r="AA14" s="20"/>
      <c r="AB14" s="20"/>
      <c r="AC14" s="20"/>
      <c r="AD14" s="20"/>
      <c r="AE14" s="20"/>
    </row>
    <row r="15" spans="1:31" ht="15.75" x14ac:dyDescent="0.25">
      <c r="A15" s="25"/>
      <c r="B15" s="368"/>
      <c r="C15" s="18"/>
      <c r="D15" s="18"/>
      <c r="E15" s="13"/>
      <c r="F15" s="14"/>
      <c r="G15" s="35"/>
      <c r="H15" s="2"/>
      <c r="I15" s="26"/>
      <c r="J15" s="14"/>
      <c r="K15" s="16"/>
      <c r="L15" s="27"/>
      <c r="M15" s="27"/>
      <c r="N15" s="14"/>
      <c r="O15" s="296"/>
      <c r="P15" s="29"/>
      <c r="Q15" s="2"/>
      <c r="R15" s="325"/>
      <c r="S15" s="318"/>
      <c r="T15" s="318"/>
      <c r="U15" s="318"/>
      <c r="V15" s="326"/>
      <c r="W15" s="326"/>
      <c r="X15" s="326"/>
      <c r="Y15" s="327"/>
      <c r="AA15" s="20"/>
      <c r="AB15" s="20"/>
      <c r="AC15" s="20"/>
      <c r="AD15" s="20"/>
      <c r="AE15" s="20"/>
    </row>
    <row r="16" spans="1:31" ht="15.75" x14ac:dyDescent="0.25">
      <c r="A16" s="25"/>
      <c r="B16" s="369">
        <f>+B10+B9+B8+B7+B6+B5+B4+B11+B12</f>
        <v>29</v>
      </c>
      <c r="C16" s="369">
        <f>+C10+C9+C8+C7+C6+C5+C4+C11+C12</f>
        <v>9</v>
      </c>
      <c r="D16" s="32"/>
      <c r="E16" s="32"/>
      <c r="F16" s="14"/>
      <c r="G16" s="33">
        <f>SUM(G4:G15)</f>
        <v>16481818</v>
      </c>
      <c r="H16" s="2"/>
      <c r="I16" s="26"/>
      <c r="J16" s="14"/>
      <c r="K16" s="16"/>
      <c r="L16" s="17"/>
      <c r="M16" s="27"/>
      <c r="N16" s="14"/>
      <c r="O16" s="296"/>
      <c r="P16" s="34"/>
      <c r="Q16" s="2"/>
      <c r="R16" s="418" t="s">
        <v>22</v>
      </c>
      <c r="S16" s="419"/>
      <c r="T16" s="419"/>
      <c r="U16" s="419"/>
      <c r="V16" s="419"/>
      <c r="W16" s="419"/>
      <c r="X16" s="419"/>
      <c r="Y16" s="420"/>
      <c r="AA16" s="20"/>
      <c r="AB16" s="20"/>
      <c r="AC16" s="20"/>
      <c r="AD16" s="20"/>
      <c r="AE16" s="20"/>
    </row>
    <row r="17" spans="1:31" ht="16.5" customHeight="1" x14ac:dyDescent="0.25">
      <c r="A17" s="426" t="s">
        <v>23</v>
      </c>
      <c r="B17" s="426"/>
      <c r="C17" s="426"/>
      <c r="D17" s="426"/>
      <c r="E17" s="426"/>
      <c r="F17" s="426"/>
      <c r="G17" s="426"/>
      <c r="H17" s="2"/>
      <c r="I17" s="26"/>
      <c r="J17" s="14"/>
      <c r="K17" s="16"/>
      <c r="L17" s="17"/>
      <c r="M17" s="27"/>
      <c r="N17" s="14"/>
      <c r="O17" s="296"/>
      <c r="P17" s="35"/>
      <c r="Q17" s="2"/>
      <c r="R17" s="303" t="s">
        <v>11</v>
      </c>
      <c r="S17" s="304" t="s">
        <v>4</v>
      </c>
      <c r="T17" s="305" t="s">
        <v>5</v>
      </c>
      <c r="U17" s="305" t="s">
        <v>6</v>
      </c>
      <c r="V17" s="305" t="s">
        <v>7</v>
      </c>
      <c r="W17" s="305" t="s">
        <v>8</v>
      </c>
      <c r="X17" s="305" t="s">
        <v>9</v>
      </c>
      <c r="Y17" s="305" t="s">
        <v>10</v>
      </c>
      <c r="Z17" s="36"/>
    </row>
    <row r="18" spans="1:31" ht="15.75" x14ac:dyDescent="0.2">
      <c r="A18" s="1" t="s">
        <v>4</v>
      </c>
      <c r="B18" s="5" t="s">
        <v>5</v>
      </c>
      <c r="C18" s="5" t="s">
        <v>6</v>
      </c>
      <c r="D18" s="5" t="s">
        <v>7</v>
      </c>
      <c r="E18" s="5" t="s">
        <v>8</v>
      </c>
      <c r="F18" s="37" t="s">
        <v>9</v>
      </c>
      <c r="G18" s="5" t="s">
        <v>10</v>
      </c>
      <c r="H18" s="2"/>
      <c r="I18" s="31"/>
      <c r="J18" s="31"/>
      <c r="K18" s="31"/>
      <c r="L18" s="31"/>
      <c r="M18" s="31"/>
      <c r="N18" s="14"/>
      <c r="O18" s="296"/>
      <c r="P18" s="38"/>
      <c r="Q18" s="2"/>
      <c r="R18" s="328" t="s">
        <v>13</v>
      </c>
      <c r="S18" s="307" t="s">
        <v>24</v>
      </c>
      <c r="T18" s="308">
        <v>0</v>
      </c>
      <c r="U18" s="307">
        <v>0</v>
      </c>
      <c r="V18" s="310" t="s">
        <v>229</v>
      </c>
      <c r="W18" s="13">
        <f>+IF(X18=0,0,CONCATENATE(MID(X18,FIND("-",X18,1)+1,4),"ORAS"))</f>
        <v>0</v>
      </c>
      <c r="X18" s="296">
        <v>0</v>
      </c>
      <c r="Y18" s="341">
        <f>+IF(X18="","",VLOOKUP(X18,$H$142:$I$220,2,FALSE))*T18</f>
        <v>0</v>
      </c>
    </row>
    <row r="19" spans="1:31" ht="18.75" customHeight="1" x14ac:dyDescent="0.2">
      <c r="A19" s="25"/>
      <c r="B19" s="11">
        <f>+IF(F19=0,0,MID(F19,LEN(F19)-4,3))</f>
        <v>0</v>
      </c>
      <c r="C19" s="370"/>
      <c r="D19" s="12"/>
      <c r="E19" s="13">
        <f>+IF(F19=0,0,CONCATENATE(MID(F19,FIND("-",F19,1)+1,4),"ORAS"))</f>
        <v>0</v>
      </c>
      <c r="F19" s="14">
        <v>0</v>
      </c>
      <c r="G19" s="341">
        <f t="shared" ref="G19:G24" si="6">+IF(F19="","",VLOOKUP(F19,$H$142:$I$220,2,FALSE))</f>
        <v>0</v>
      </c>
      <c r="H19" s="2"/>
      <c r="I19" s="427" t="s">
        <v>26</v>
      </c>
      <c r="J19" s="428"/>
      <c r="K19" s="428"/>
      <c r="L19" s="428"/>
      <c r="M19" s="428"/>
      <c r="N19" s="428"/>
      <c r="O19" s="428"/>
      <c r="P19" s="429"/>
      <c r="Q19" s="2"/>
      <c r="R19" s="329"/>
      <c r="S19" s="314"/>
      <c r="T19" s="330"/>
      <c r="U19" s="314"/>
      <c r="V19" s="323"/>
      <c r="W19" s="14">
        <f>+IF(X19=0,0,CONCATENATE(MID(X19,FIND("-",X19,1)+1,4),"ORAS"))</f>
        <v>0</v>
      </c>
      <c r="X19" s="296">
        <v>0</v>
      </c>
      <c r="Y19" s="35">
        <f>+IF(X19="","",VLOOKUP(X19,$H$142:$I$220,2,FALSE))*T19</f>
        <v>0</v>
      </c>
    </row>
    <row r="20" spans="1:31" ht="23.25" customHeight="1" x14ac:dyDescent="0.2">
      <c r="A20" s="40"/>
      <c r="B20" s="16"/>
      <c r="C20" s="371"/>
      <c r="D20" s="18"/>
      <c r="E20" s="14"/>
      <c r="F20" s="14">
        <v>0</v>
      </c>
      <c r="G20" s="341">
        <f t="shared" si="6"/>
        <v>0</v>
      </c>
      <c r="H20" s="2"/>
      <c r="I20" s="7" t="s">
        <v>11</v>
      </c>
      <c r="J20" s="7" t="s">
        <v>4</v>
      </c>
      <c r="K20" s="8" t="s">
        <v>5</v>
      </c>
      <c r="L20" s="8" t="s">
        <v>6</v>
      </c>
      <c r="M20" s="8" t="s">
        <v>7</v>
      </c>
      <c r="N20" s="8" t="s">
        <v>8</v>
      </c>
      <c r="O20" s="8" t="s">
        <v>9</v>
      </c>
      <c r="P20" s="8" t="s">
        <v>10</v>
      </c>
      <c r="Q20" s="2"/>
      <c r="R20" s="327"/>
      <c r="S20" s="327"/>
      <c r="T20" s="327"/>
      <c r="U20" s="327"/>
      <c r="V20" s="327"/>
      <c r="W20" s="327"/>
      <c r="X20" s="327"/>
      <c r="Y20" s="327"/>
    </row>
    <row r="21" spans="1:31" ht="31.5" x14ac:dyDescent="0.25">
      <c r="A21" s="40"/>
      <c r="B21" s="16"/>
      <c r="C21" s="371"/>
      <c r="D21" s="18"/>
      <c r="E21" s="14"/>
      <c r="F21" s="14">
        <v>0</v>
      </c>
      <c r="G21" s="341">
        <f t="shared" si="6"/>
        <v>0</v>
      </c>
      <c r="H21" s="2"/>
      <c r="I21" s="15" t="s">
        <v>227</v>
      </c>
      <c r="J21" s="14" t="s">
        <v>499</v>
      </c>
      <c r="K21" s="11" t="str">
        <f t="shared" ref="K21:K23" si="7">+IF(O21=0,0,MID(O21,LEN(O21)-4,3))</f>
        <v xml:space="preserve">03 </v>
      </c>
      <c r="L21" s="17">
        <v>1</v>
      </c>
      <c r="M21" s="12" t="s">
        <v>229</v>
      </c>
      <c r="N21" s="13" t="str">
        <f>+IF(O21=0,0,CONCATENATE(MID(O21,FIND("-",O21,1)+1,4),"ORAS"))</f>
        <v>15 HORAS</v>
      </c>
      <c r="O21" s="296" t="s">
        <v>352</v>
      </c>
      <c r="P21" s="375">
        <f t="shared" ref="P21:P25" si="8">+IF(O21="","",VLOOKUP(O21,$H$142:$I$220,2,FALSE))</f>
        <v>1795972</v>
      </c>
      <c r="Q21" s="2"/>
      <c r="R21" s="418" t="s">
        <v>27</v>
      </c>
      <c r="S21" s="419"/>
      <c r="T21" s="419"/>
      <c r="U21" s="419"/>
      <c r="V21" s="419"/>
      <c r="W21" s="419"/>
      <c r="X21" s="419"/>
      <c r="Y21" s="420"/>
    </row>
    <row r="22" spans="1:31" ht="31.5" x14ac:dyDescent="0.25">
      <c r="A22" s="41"/>
      <c r="B22" s="16"/>
      <c r="C22" s="18"/>
      <c r="D22" s="18"/>
      <c r="E22" s="14"/>
      <c r="F22" s="14">
        <v>0</v>
      </c>
      <c r="G22" s="341">
        <f t="shared" si="6"/>
        <v>0</v>
      </c>
      <c r="H22" s="2"/>
      <c r="I22" s="15" t="s">
        <v>13</v>
      </c>
      <c r="J22" s="14" t="s">
        <v>385</v>
      </c>
      <c r="K22" s="11" t="str">
        <f t="shared" si="7"/>
        <v xml:space="preserve">03 </v>
      </c>
      <c r="L22" s="42">
        <v>1</v>
      </c>
      <c r="M22" s="12" t="s">
        <v>229</v>
      </c>
      <c r="N22" s="13" t="str">
        <f>+IF(O22=0,0,CONCATENATE(MID(O22,FIND("-",O22,1)+1,4),"ORAS"))</f>
        <v>15 HORAS</v>
      </c>
      <c r="O22" s="296" t="s">
        <v>352</v>
      </c>
      <c r="P22" s="362">
        <f t="shared" si="8"/>
        <v>1795972</v>
      </c>
      <c r="Q22" s="2"/>
      <c r="R22" s="303" t="s">
        <v>11</v>
      </c>
      <c r="S22" s="304" t="s">
        <v>4</v>
      </c>
      <c r="T22" s="305" t="s">
        <v>5</v>
      </c>
      <c r="U22" s="305" t="s">
        <v>6</v>
      </c>
      <c r="V22" s="305" t="s">
        <v>7</v>
      </c>
      <c r="W22" s="305" t="s">
        <v>8</v>
      </c>
      <c r="X22" s="305" t="s">
        <v>9</v>
      </c>
      <c r="Y22" s="305" t="s">
        <v>10</v>
      </c>
      <c r="AA22" s="20"/>
      <c r="AB22" s="20"/>
      <c r="AC22" s="20"/>
      <c r="AD22" s="20"/>
      <c r="AE22" s="20"/>
    </row>
    <row r="23" spans="1:31" ht="31.5" x14ac:dyDescent="0.25">
      <c r="A23" s="43"/>
      <c r="B23" s="16"/>
      <c r="C23" s="44"/>
      <c r="D23" s="44"/>
      <c r="E23" s="14"/>
      <c r="F23" s="14">
        <v>0</v>
      </c>
      <c r="G23" s="341">
        <f t="shared" si="6"/>
        <v>0</v>
      </c>
      <c r="H23" s="2"/>
      <c r="I23" s="15" t="s">
        <v>13</v>
      </c>
      <c r="J23" s="13" t="s">
        <v>488</v>
      </c>
      <c r="K23" s="11" t="str">
        <f t="shared" si="7"/>
        <v xml:space="preserve">03 </v>
      </c>
      <c r="L23" s="45">
        <v>1</v>
      </c>
      <c r="M23" s="12" t="s">
        <v>229</v>
      </c>
      <c r="N23" s="13" t="str">
        <f>+IF(O23=0,0,CONCATENATE(MID(O23,FIND("-",O23,1)+1,4),"ORAS"))</f>
        <v>09 HORAS</v>
      </c>
      <c r="O23" s="296" t="s">
        <v>357</v>
      </c>
      <c r="P23" s="375">
        <f t="shared" si="8"/>
        <v>1499814</v>
      </c>
      <c r="Q23" s="2"/>
      <c r="R23" s="331" t="s">
        <v>28</v>
      </c>
      <c r="S23" s="307" t="s">
        <v>390</v>
      </c>
      <c r="T23" s="320" t="s">
        <v>25</v>
      </c>
      <c r="U23" s="307" t="s">
        <v>25</v>
      </c>
      <c r="V23" s="332" t="s">
        <v>229</v>
      </c>
      <c r="W23" s="14" t="e">
        <f t="shared" ref="W23:W32" si="9">+IF(X23=0,0,CONCATENATE(MID(X23,FIND("-",X23,1)+1,4),"ORAS"))</f>
        <v>#VALUE!</v>
      </c>
      <c r="X23" s="296" t="s">
        <v>413</v>
      </c>
      <c r="Y23" s="362">
        <f t="shared" ref="Y23:Y32" si="10">+IF(X23="","",VLOOKUP(X23,$H$142:$I$220,2,FALSE))</f>
        <v>477011</v>
      </c>
      <c r="AA23" s="20"/>
      <c r="AB23" s="20"/>
      <c r="AC23" s="20"/>
      <c r="AD23" s="20"/>
      <c r="AE23" s="20"/>
    </row>
    <row r="24" spans="1:31" ht="15.75" x14ac:dyDescent="0.25">
      <c r="A24" s="43"/>
      <c r="B24" s="16"/>
      <c r="C24" s="44"/>
      <c r="D24" s="44"/>
      <c r="E24" s="14"/>
      <c r="F24" s="14">
        <v>0</v>
      </c>
      <c r="G24" s="341">
        <f t="shared" si="6"/>
        <v>0</v>
      </c>
      <c r="H24" s="2"/>
      <c r="I24" s="26"/>
      <c r="J24" s="13"/>
      <c r="K24" s="16"/>
      <c r="L24" s="45"/>
      <c r="M24" s="19"/>
      <c r="N24" s="13"/>
      <c r="O24" s="296">
        <v>0</v>
      </c>
      <c r="P24" s="341">
        <f t="shared" si="8"/>
        <v>0</v>
      </c>
      <c r="Q24" s="2"/>
      <c r="R24" s="333" t="s">
        <v>28</v>
      </c>
      <c r="S24" s="314" t="s">
        <v>24</v>
      </c>
      <c r="T24" s="334" t="s">
        <v>25</v>
      </c>
      <c r="U24" s="314" t="s">
        <v>25</v>
      </c>
      <c r="V24" s="332" t="s">
        <v>229</v>
      </c>
      <c r="W24" s="14" t="str">
        <f t="shared" si="9"/>
        <v>15 HORAS</v>
      </c>
      <c r="X24" s="296" t="s">
        <v>403</v>
      </c>
      <c r="Y24" s="362">
        <f t="shared" si="10"/>
        <v>1128712</v>
      </c>
      <c r="AA24" s="20"/>
      <c r="AB24" s="20"/>
      <c r="AC24" s="20"/>
      <c r="AD24" s="20"/>
      <c r="AE24" s="20"/>
    </row>
    <row r="25" spans="1:31" ht="15.75" x14ac:dyDescent="0.25">
      <c r="A25" s="46" t="s">
        <v>29</v>
      </c>
      <c r="B25" s="47">
        <f>SUM(B4:B16)+B19+B20+B21+B22+B23+B24</f>
        <v>29</v>
      </c>
      <c r="C25" s="47">
        <f>+C4+C5+C6+C7+C8+C9+C10+C19</f>
        <v>7</v>
      </c>
      <c r="D25" s="48"/>
      <c r="E25" s="49"/>
      <c r="F25" s="48"/>
      <c r="G25" s="33">
        <f>SUM(G16,G19:G24)</f>
        <v>16481818</v>
      </c>
      <c r="H25" s="2"/>
      <c r="I25" s="26"/>
      <c r="J25" s="14"/>
      <c r="K25" s="16"/>
      <c r="L25" s="42"/>
      <c r="M25" s="42"/>
      <c r="N25" s="13"/>
      <c r="O25" s="296">
        <v>0</v>
      </c>
      <c r="P25" s="341">
        <f t="shared" si="8"/>
        <v>0</v>
      </c>
      <c r="Q25" s="2"/>
      <c r="R25" s="333" t="s">
        <v>28</v>
      </c>
      <c r="S25" s="314" t="s">
        <v>24</v>
      </c>
      <c r="T25" s="334" t="s">
        <v>25</v>
      </c>
      <c r="U25" s="314" t="s">
        <v>25</v>
      </c>
      <c r="V25" s="332" t="s">
        <v>229</v>
      </c>
      <c r="W25" s="14" t="str">
        <f t="shared" si="9"/>
        <v>15 HORAS</v>
      </c>
      <c r="X25" s="296" t="s">
        <v>403</v>
      </c>
      <c r="Y25" s="362">
        <f t="shared" si="10"/>
        <v>1128712</v>
      </c>
      <c r="AA25" s="20"/>
      <c r="AB25" s="20"/>
      <c r="AC25" s="20"/>
      <c r="AD25" s="20"/>
      <c r="AE25" s="20"/>
    </row>
    <row r="26" spans="1:31" ht="15.75" x14ac:dyDescent="0.25">
      <c r="A26" s="430" t="s">
        <v>30</v>
      </c>
      <c r="B26" s="430"/>
      <c r="C26" s="430"/>
      <c r="D26" s="430"/>
      <c r="E26" s="430"/>
      <c r="F26" s="430"/>
      <c r="G26" s="430"/>
      <c r="H26" s="2"/>
      <c r="I26" s="51"/>
      <c r="J26" s="14"/>
      <c r="K26" s="16"/>
      <c r="L26" s="42"/>
      <c r="M26" s="19"/>
      <c r="N26" s="13"/>
      <c r="O26" s="296"/>
      <c r="P26" s="52"/>
      <c r="Q26" s="2"/>
      <c r="R26" s="329" t="s">
        <v>227</v>
      </c>
      <c r="S26" s="314" t="s">
        <v>391</v>
      </c>
      <c r="T26" s="334" t="s">
        <v>25</v>
      </c>
      <c r="U26" s="314" t="s">
        <v>25</v>
      </c>
      <c r="V26" s="335" t="s">
        <v>229</v>
      </c>
      <c r="W26" s="14" t="e">
        <f t="shared" si="9"/>
        <v>#VALUE!</v>
      </c>
      <c r="X26" s="296" t="s">
        <v>413</v>
      </c>
      <c r="Y26" s="362">
        <f t="shared" si="10"/>
        <v>477011</v>
      </c>
      <c r="AA26" s="20"/>
      <c r="AB26" s="20"/>
      <c r="AC26" s="20"/>
      <c r="AD26" s="20"/>
      <c r="AE26" s="20"/>
    </row>
    <row r="27" spans="1:31" ht="21.95" customHeight="1" x14ac:dyDescent="0.25">
      <c r="A27" s="430" t="s">
        <v>1</v>
      </c>
      <c r="B27" s="430"/>
      <c r="C27" s="430"/>
      <c r="D27" s="430"/>
      <c r="E27" s="430"/>
      <c r="F27" s="430"/>
      <c r="G27" s="430"/>
      <c r="H27" s="2"/>
      <c r="I27" s="26"/>
      <c r="J27" s="53"/>
      <c r="K27" s="16"/>
      <c r="L27" s="27"/>
      <c r="M27" s="27"/>
      <c r="N27" s="14"/>
      <c r="O27" s="296"/>
      <c r="P27" s="54"/>
      <c r="Q27" s="2"/>
      <c r="R27" s="329" t="s">
        <v>227</v>
      </c>
      <c r="S27" s="339" t="s">
        <v>386</v>
      </c>
      <c r="T27" s="336" t="s">
        <v>25</v>
      </c>
      <c r="U27" s="314">
        <v>1</v>
      </c>
      <c r="V27" s="337" t="s">
        <v>387</v>
      </c>
      <c r="W27" s="14" t="str">
        <f t="shared" si="9"/>
        <v>15 HORAS</v>
      </c>
      <c r="X27" s="296" t="s">
        <v>395</v>
      </c>
      <c r="Y27" s="362">
        <f t="shared" si="10"/>
        <v>832623</v>
      </c>
      <c r="AA27" s="20"/>
      <c r="AB27" s="20"/>
      <c r="AC27" s="20"/>
      <c r="AD27" s="20"/>
      <c r="AE27" s="20"/>
    </row>
    <row r="28" spans="1:31" ht="15.75" x14ac:dyDescent="0.25">
      <c r="A28" s="50" t="s">
        <v>4</v>
      </c>
      <c r="B28" s="55" t="s">
        <v>5</v>
      </c>
      <c r="C28" s="55" t="s">
        <v>6</v>
      </c>
      <c r="D28" s="55" t="s">
        <v>7</v>
      </c>
      <c r="E28" s="55" t="s">
        <v>8</v>
      </c>
      <c r="F28" s="55" t="s">
        <v>9</v>
      </c>
      <c r="G28" s="55" t="s">
        <v>10</v>
      </c>
      <c r="H28" s="2"/>
      <c r="I28" s="2"/>
      <c r="J28" s="56" t="s">
        <v>32</v>
      </c>
      <c r="K28" s="340">
        <f>K4+K5+K6+K7+K8+K9+K21+K22+K23</f>
        <v>12</v>
      </c>
      <c r="L28" s="57">
        <f>SUM(L4:L27)</f>
        <v>4</v>
      </c>
      <c r="M28" s="56"/>
      <c r="N28" s="56"/>
      <c r="O28" s="297"/>
      <c r="P28" s="58">
        <f>SUM(P4:P27)</f>
        <v>6111675</v>
      </c>
      <c r="Q28" s="2"/>
      <c r="R28" s="338" t="s">
        <v>31</v>
      </c>
      <c r="S28" s="339" t="s">
        <v>24</v>
      </c>
      <c r="T28" s="336" t="s">
        <v>25</v>
      </c>
      <c r="U28" s="314" t="s">
        <v>25</v>
      </c>
      <c r="V28" s="337" t="s">
        <v>387</v>
      </c>
      <c r="W28" s="14" t="str">
        <f t="shared" si="9"/>
        <v>15 HORAS</v>
      </c>
      <c r="X28" s="296" t="s">
        <v>403</v>
      </c>
      <c r="Y28" s="362">
        <f t="shared" si="10"/>
        <v>1128712</v>
      </c>
      <c r="AA28" s="62"/>
      <c r="AB28" s="62"/>
      <c r="AC28" s="62"/>
      <c r="AD28" s="62"/>
      <c r="AE28" s="63"/>
    </row>
    <row r="29" spans="1:31" ht="15.75" x14ac:dyDescent="0.25">
      <c r="A29" s="64" t="s">
        <v>33</v>
      </c>
      <c r="B29" s="11" t="str">
        <f t="shared" ref="B29:B31" si="11">+IF(F29=0,0,MID(F29,LEN(F29)-4,3))</f>
        <v xml:space="preserve">04 </v>
      </c>
      <c r="C29" s="12">
        <v>1</v>
      </c>
      <c r="D29" s="12" t="s">
        <v>229</v>
      </c>
      <c r="E29" s="13" t="str">
        <f>+IF(F29=0,0,CONCATENATE(MID(F29,FIND("-",F29,1)+1,4),"ORAS"))</f>
        <v>15 HORAS</v>
      </c>
      <c r="F29" s="14" t="s">
        <v>351</v>
      </c>
      <c r="G29" s="362">
        <f t="shared" ref="G29:G34" si="12">+IF(F29="","",VLOOKUP(F29,$H$142:$I$220,2,FALSE))</f>
        <v>1955007</v>
      </c>
      <c r="H29" s="2"/>
      <c r="I29" s="2"/>
      <c r="J29" s="2"/>
      <c r="K29" s="2"/>
      <c r="L29" s="2"/>
      <c r="M29" s="2"/>
      <c r="N29" s="2"/>
      <c r="O29" s="295"/>
      <c r="P29" s="2"/>
      <c r="Q29" s="2"/>
      <c r="R29" s="338" t="s">
        <v>31</v>
      </c>
      <c r="S29" s="307" t="s">
        <v>392</v>
      </c>
      <c r="T29" s="334" t="s">
        <v>25</v>
      </c>
      <c r="U29" s="314" t="s">
        <v>25</v>
      </c>
      <c r="V29" s="337" t="s">
        <v>388</v>
      </c>
      <c r="W29" s="14" t="e">
        <f t="shared" si="9"/>
        <v>#VALUE!</v>
      </c>
      <c r="X29" s="296" t="s">
        <v>413</v>
      </c>
      <c r="Y29" s="362">
        <f t="shared" si="10"/>
        <v>477011</v>
      </c>
      <c r="AA29" s="20"/>
      <c r="AB29" s="20"/>
      <c r="AC29" s="20"/>
      <c r="AD29" s="20"/>
      <c r="AE29" s="20"/>
    </row>
    <row r="30" spans="1:31" ht="20.100000000000001" customHeight="1" x14ac:dyDescent="0.25">
      <c r="A30" s="64" t="s">
        <v>34</v>
      </c>
      <c r="B30" s="11" t="str">
        <f t="shared" si="11"/>
        <v xml:space="preserve">04 </v>
      </c>
      <c r="C30" s="65">
        <v>1</v>
      </c>
      <c r="D30" s="12" t="s">
        <v>229</v>
      </c>
      <c r="E30" s="13" t="str">
        <f>+IF(F30=0,0,CONCATENATE(MID(F30,FIND("-",F30,1)+1,4),"ORAS"))</f>
        <v>15 HORAS</v>
      </c>
      <c r="F30" s="14" t="s">
        <v>351</v>
      </c>
      <c r="G30" s="362">
        <f t="shared" si="12"/>
        <v>1955007</v>
      </c>
      <c r="H30" s="2"/>
      <c r="I30" s="2"/>
      <c r="J30" s="2"/>
      <c r="K30" s="2"/>
      <c r="L30" s="2"/>
      <c r="M30" s="2"/>
      <c r="N30" s="2"/>
      <c r="O30" s="295"/>
      <c r="P30" s="2"/>
      <c r="Q30" s="2"/>
      <c r="R30" s="338"/>
      <c r="S30" s="307"/>
      <c r="T30" s="334"/>
      <c r="U30" s="314"/>
      <c r="V30" s="337"/>
      <c r="W30" s="14">
        <f t="shared" si="9"/>
        <v>0</v>
      </c>
      <c r="X30" s="296">
        <v>0</v>
      </c>
      <c r="Y30" s="341">
        <f t="shared" si="10"/>
        <v>0</v>
      </c>
    </row>
    <row r="31" spans="1:31" ht="15.75" customHeight="1" x14ac:dyDescent="0.25">
      <c r="A31" s="64" t="s">
        <v>35</v>
      </c>
      <c r="B31" s="11" t="str">
        <f t="shared" si="11"/>
        <v xml:space="preserve">04 </v>
      </c>
      <c r="C31" s="65">
        <v>1</v>
      </c>
      <c r="D31" s="12" t="s">
        <v>229</v>
      </c>
      <c r="E31" s="13" t="str">
        <f>+IF(F31=0,0,CONCATENATE(MID(F31,FIND("-",F31,1)+1,4),"ORAS"))</f>
        <v>15 HORAS</v>
      </c>
      <c r="F31" s="14" t="s">
        <v>351</v>
      </c>
      <c r="G31" s="362">
        <f t="shared" si="12"/>
        <v>1955007</v>
      </c>
      <c r="H31" s="2"/>
      <c r="I31" s="2"/>
      <c r="J31" s="2"/>
      <c r="K31" s="2"/>
      <c r="L31" s="2"/>
      <c r="M31" s="2"/>
      <c r="N31" s="2"/>
      <c r="O31" s="295"/>
      <c r="P31" s="2"/>
      <c r="Q31" s="2"/>
      <c r="R31" s="338"/>
      <c r="S31" s="314"/>
      <c r="T31" s="334"/>
      <c r="U31" s="314"/>
      <c r="V31" s="337"/>
      <c r="W31" s="14">
        <f t="shared" si="9"/>
        <v>0</v>
      </c>
      <c r="X31" s="296">
        <v>0</v>
      </c>
      <c r="Y31" s="341">
        <f t="shared" si="10"/>
        <v>0</v>
      </c>
    </row>
    <row r="32" spans="1:31" ht="15.75" x14ac:dyDescent="0.25">
      <c r="A32" s="66" t="s">
        <v>36</v>
      </c>
      <c r="B32" s="11" t="str">
        <f>+IF(F32=0,0,MID(F32,LEN(F32)-4,3))</f>
        <v xml:space="preserve">03 </v>
      </c>
      <c r="C32" s="12">
        <v>1</v>
      </c>
      <c r="D32" s="12" t="s">
        <v>229</v>
      </c>
      <c r="E32" s="13" t="str">
        <f>+IF(F32=0,0,CONCATENATE(MID(F32,FIND("-",F32,1)+1,4),"ORAS"))</f>
        <v>15 HORAS</v>
      </c>
      <c r="F32" s="14" t="s">
        <v>352</v>
      </c>
      <c r="G32" s="362">
        <f t="shared" si="12"/>
        <v>1795972</v>
      </c>
      <c r="H32" s="2"/>
      <c r="I32" s="2"/>
      <c r="J32" s="2"/>
      <c r="K32" s="2"/>
      <c r="L32" s="2"/>
      <c r="M32" s="2"/>
      <c r="N32" s="2"/>
      <c r="O32" s="295"/>
      <c r="P32" s="2"/>
      <c r="Q32" s="2"/>
      <c r="R32" s="338"/>
      <c r="S32" s="314"/>
      <c r="T32" s="334"/>
      <c r="U32" s="314"/>
      <c r="V32" s="337"/>
      <c r="W32" s="13">
        <f t="shared" si="9"/>
        <v>0</v>
      </c>
      <c r="X32" s="345">
        <v>0</v>
      </c>
      <c r="Y32" s="341">
        <f t="shared" si="10"/>
        <v>0</v>
      </c>
    </row>
    <row r="33" spans="1:25" ht="15.75" x14ac:dyDescent="0.25">
      <c r="A33" s="66"/>
      <c r="B33" s="39"/>
      <c r="C33" s="65"/>
      <c r="D33" s="19"/>
      <c r="E33" s="13"/>
      <c r="F33" s="14">
        <v>0</v>
      </c>
      <c r="G33" s="341">
        <f t="shared" si="12"/>
        <v>0</v>
      </c>
      <c r="H33" s="2"/>
      <c r="I33" s="2"/>
      <c r="J33" s="2"/>
      <c r="K33" s="2"/>
      <c r="L33" s="2"/>
      <c r="M33" s="2"/>
      <c r="N33" s="2"/>
      <c r="O33" s="295"/>
      <c r="P33" s="2"/>
      <c r="Q33" s="2"/>
      <c r="R33" s="338"/>
      <c r="S33" s="314"/>
      <c r="T33" s="334"/>
      <c r="U33" s="314"/>
      <c r="V33" s="337"/>
      <c r="W33" s="14">
        <f>+IF(X33=0,0,CONCATENATE(MID(X33,FIND("-",X33,1)+1,4),"ORAS"))</f>
        <v>0</v>
      </c>
      <c r="X33" s="296">
        <v>0</v>
      </c>
      <c r="Y33" s="35">
        <f>+IF(X33="","",VLOOKUP(X33,$H$142:$I$220,2,FALSE))</f>
        <v>0</v>
      </c>
    </row>
    <row r="34" spans="1:25" ht="15.75" x14ac:dyDescent="0.2">
      <c r="A34" s="66"/>
      <c r="B34" s="65"/>
      <c r="C34" s="65"/>
      <c r="D34" s="19"/>
      <c r="E34" s="13"/>
      <c r="F34" s="44"/>
      <c r="G34" s="341" t="str">
        <f t="shared" si="12"/>
        <v/>
      </c>
      <c r="H34" s="2"/>
      <c r="I34" s="2"/>
      <c r="J34" s="2"/>
      <c r="K34" s="2"/>
      <c r="L34" s="2"/>
      <c r="M34" s="2"/>
      <c r="N34" s="2"/>
      <c r="O34" s="295"/>
      <c r="P34" s="2"/>
      <c r="Q34" s="2"/>
      <c r="R34" s="2"/>
      <c r="S34" s="2"/>
      <c r="T34" s="2"/>
      <c r="U34" s="2"/>
      <c r="V34" s="2"/>
      <c r="W34" s="2"/>
      <c r="X34" s="2"/>
      <c r="Y34" s="2"/>
    </row>
    <row r="35" spans="1:25" ht="15.75" x14ac:dyDescent="0.2">
      <c r="A35" s="421" t="s">
        <v>23</v>
      </c>
      <c r="B35" s="421"/>
      <c r="C35" s="421"/>
      <c r="D35" s="421"/>
      <c r="E35" s="421"/>
      <c r="F35" s="421"/>
      <c r="G35" s="421"/>
      <c r="H35" s="2"/>
      <c r="I35" s="2"/>
      <c r="J35" s="2"/>
      <c r="K35" s="2"/>
      <c r="L35" s="2"/>
      <c r="M35" s="2"/>
      <c r="N35" s="2"/>
      <c r="O35" s="295"/>
      <c r="P35" s="2"/>
      <c r="Q35" s="2"/>
      <c r="R35" s="2"/>
      <c r="S35" s="2"/>
      <c r="T35" s="2"/>
      <c r="U35" s="2"/>
      <c r="V35" s="2"/>
      <c r="W35" s="2"/>
      <c r="X35" s="2"/>
      <c r="Y35" s="2"/>
    </row>
    <row r="36" spans="1:25" ht="15.75" x14ac:dyDescent="0.2">
      <c r="A36" s="50"/>
      <c r="B36" s="55" t="s">
        <v>5</v>
      </c>
      <c r="C36" s="55" t="s">
        <v>6</v>
      </c>
      <c r="D36" s="55" t="s">
        <v>7</v>
      </c>
      <c r="E36" s="55"/>
      <c r="F36" s="55" t="s">
        <v>9</v>
      </c>
      <c r="G36" s="55" t="s">
        <v>10</v>
      </c>
      <c r="H36" s="2"/>
      <c r="I36" s="2"/>
      <c r="J36" s="2"/>
      <c r="K36" s="2"/>
      <c r="L36" s="2"/>
      <c r="M36" s="2"/>
      <c r="N36" s="2"/>
      <c r="O36" s="295"/>
      <c r="P36" s="2"/>
      <c r="Q36" s="2"/>
      <c r="R36" s="2"/>
      <c r="S36" s="59" t="s">
        <v>32</v>
      </c>
      <c r="T36" s="60">
        <f>+T18+T19+T4+T5+T6+T7</f>
        <v>12</v>
      </c>
      <c r="U36" s="60">
        <f>SUM(U4:U7,U27)</f>
        <v>4</v>
      </c>
      <c r="V36" s="59"/>
      <c r="W36" s="59"/>
      <c r="X36" s="59"/>
      <c r="Y36" s="61">
        <f>SUM(Y4:Y33)</f>
        <v>10725462</v>
      </c>
    </row>
    <row r="37" spans="1:25" ht="15.75" x14ac:dyDescent="0.25">
      <c r="A37" s="10" t="s">
        <v>37</v>
      </c>
      <c r="B37" s="11" t="str">
        <f t="shared" ref="B37:B40" si="13">+IF(F37=0,0,MID(F37,LEN(F37)-4,3))</f>
        <v xml:space="preserve">03 </v>
      </c>
      <c r="C37" s="372">
        <v>1</v>
      </c>
      <c r="D37" s="12" t="s">
        <v>229</v>
      </c>
      <c r="E37" s="13" t="str">
        <f>+IF(F37=0,0,CONCATENATE(MID(F37,FIND("-",F37,1)+1,4),"ORAS"))</f>
        <v>15 HORAS</v>
      </c>
      <c r="F37" s="14" t="s">
        <v>367</v>
      </c>
      <c r="G37" s="362">
        <f t="shared" ref="G37:G42" si="14">+IF(F37="","",VLOOKUP(F37,$H$142:$I$220,2,FALSE))</f>
        <v>1505234</v>
      </c>
      <c r="H37" s="2"/>
      <c r="I37" s="2"/>
      <c r="J37" s="2"/>
      <c r="K37" s="2"/>
      <c r="L37" s="2"/>
      <c r="M37" s="2"/>
      <c r="N37" s="2"/>
      <c r="O37" s="295"/>
      <c r="P37" s="2"/>
      <c r="Q37" s="2"/>
      <c r="R37" s="2"/>
      <c r="S37" s="2"/>
      <c r="T37" s="2"/>
      <c r="U37" s="2"/>
      <c r="V37" s="2"/>
      <c r="W37" s="2"/>
      <c r="X37" s="2"/>
      <c r="Y37" s="67"/>
    </row>
    <row r="38" spans="1:25" ht="15.75" x14ac:dyDescent="0.25">
      <c r="A38" s="64" t="s">
        <v>38</v>
      </c>
      <c r="B38" s="11" t="str">
        <f t="shared" si="13"/>
        <v xml:space="preserve">03 </v>
      </c>
      <c r="C38" s="372">
        <v>1</v>
      </c>
      <c r="D38" s="12" t="s">
        <v>229</v>
      </c>
      <c r="E38" s="13" t="str">
        <f>+IF(F38=0,0,CONCATENATE(MID(F38,FIND("-",F38,1)+1,4),"ORAS"))</f>
        <v>15 HORAS</v>
      </c>
      <c r="F38" s="14" t="s">
        <v>367</v>
      </c>
      <c r="G38" s="362">
        <f t="shared" si="14"/>
        <v>1505234</v>
      </c>
      <c r="H38" s="2"/>
      <c r="I38" s="2"/>
      <c r="J38" s="2"/>
      <c r="K38" s="2"/>
      <c r="L38" s="2"/>
      <c r="M38" s="2"/>
      <c r="N38" s="2"/>
      <c r="O38" s="295"/>
      <c r="P38" s="2"/>
      <c r="Q38" s="2"/>
      <c r="R38" s="2"/>
      <c r="S38" s="2"/>
      <c r="T38" s="2"/>
      <c r="U38" s="2"/>
      <c r="V38" s="2"/>
      <c r="W38" s="2"/>
      <c r="X38" s="2"/>
      <c r="Y38" s="2"/>
    </row>
    <row r="39" spans="1:25" ht="15.75" x14ac:dyDescent="0.25">
      <c r="A39" s="64" t="s">
        <v>39</v>
      </c>
      <c r="B39" s="11" t="str">
        <f t="shared" si="13"/>
        <v xml:space="preserve">03 </v>
      </c>
      <c r="C39" s="372">
        <v>1</v>
      </c>
      <c r="D39" s="12" t="s">
        <v>229</v>
      </c>
      <c r="E39" s="13" t="str">
        <f>+IF(F39=0,0,CONCATENATE(MID(F39,FIND("-",F39,1)+1,4),"ORAS"))</f>
        <v>15 HORAS</v>
      </c>
      <c r="F39" s="14" t="s">
        <v>367</v>
      </c>
      <c r="G39" s="362">
        <f t="shared" si="14"/>
        <v>1505234</v>
      </c>
      <c r="H39" s="2"/>
      <c r="I39" s="2"/>
      <c r="J39" s="2"/>
      <c r="K39" s="2"/>
      <c r="L39" s="2"/>
      <c r="M39" s="2"/>
      <c r="N39" s="2"/>
      <c r="O39" s="295"/>
      <c r="P39" s="2"/>
      <c r="Q39" s="2"/>
      <c r="R39" s="2"/>
      <c r="S39" s="2"/>
      <c r="T39" s="2"/>
      <c r="U39" s="2"/>
      <c r="V39" s="2"/>
      <c r="W39" s="2"/>
      <c r="X39" s="2"/>
      <c r="Y39" s="2"/>
    </row>
    <row r="40" spans="1:25" ht="15.75" x14ac:dyDescent="0.25">
      <c r="A40" s="26" t="s">
        <v>383</v>
      </c>
      <c r="B40" s="11" t="str">
        <f t="shared" si="13"/>
        <v xml:space="preserve">03 </v>
      </c>
      <c r="C40" s="372">
        <v>1</v>
      </c>
      <c r="D40" s="12" t="s">
        <v>229</v>
      </c>
      <c r="E40" s="13" t="str">
        <f>+IF(F40=0,0,CONCATENATE(MID(F40,FIND("-",F40,1)+1,4),"ORAS"))</f>
        <v>15 HORAS</v>
      </c>
      <c r="F40" s="14" t="s">
        <v>367</v>
      </c>
      <c r="G40" s="362">
        <f t="shared" si="14"/>
        <v>1505234</v>
      </c>
      <c r="H40" s="2"/>
      <c r="I40" s="2"/>
      <c r="J40" s="2"/>
      <c r="K40" s="2"/>
      <c r="L40" s="2"/>
      <c r="M40" s="2"/>
      <c r="N40" s="2"/>
      <c r="O40" s="295"/>
      <c r="P40" s="2"/>
      <c r="Q40" s="2"/>
      <c r="R40" s="2"/>
      <c r="S40" s="2"/>
      <c r="T40" s="2"/>
      <c r="U40" s="2"/>
      <c r="V40" s="2"/>
      <c r="W40" s="2"/>
      <c r="X40" s="2"/>
      <c r="Y40" s="2"/>
    </row>
    <row r="41" spans="1:25" ht="15.75" x14ac:dyDescent="0.25">
      <c r="A41" s="68"/>
      <c r="B41" s="11">
        <f>+IF(F41=0,0,MID(F41,LEN(F41)-4,3))</f>
        <v>0</v>
      </c>
      <c r="C41" s="372"/>
      <c r="D41" s="12" t="s">
        <v>229</v>
      </c>
      <c r="E41" s="13">
        <f>+IF(F41=0,0,CONCATENATE(MID(F41,FIND("-",F41,1)+1,4),"ORAS"))</f>
        <v>0</v>
      </c>
      <c r="F41" s="14">
        <v>0</v>
      </c>
      <c r="G41" s="341">
        <f t="shared" si="14"/>
        <v>0</v>
      </c>
      <c r="H41" s="2"/>
      <c r="I41" s="2"/>
      <c r="J41" s="2"/>
      <c r="K41" s="2"/>
      <c r="L41" s="2"/>
      <c r="M41" s="2"/>
      <c r="N41" s="2"/>
      <c r="O41" s="295"/>
      <c r="P41" s="2"/>
      <c r="Q41" s="2"/>
      <c r="R41" s="2"/>
      <c r="S41" s="2"/>
      <c r="T41" s="2"/>
      <c r="U41" s="2"/>
      <c r="V41" s="2"/>
      <c r="W41" s="2"/>
      <c r="X41" s="2"/>
      <c r="Y41" s="2"/>
    </row>
    <row r="42" spans="1:25" ht="15.75" x14ac:dyDescent="0.2">
      <c r="A42" s="69"/>
      <c r="B42" s="16"/>
      <c r="C42" s="70"/>
      <c r="D42" s="32"/>
      <c r="E42" s="13"/>
      <c r="F42" s="14">
        <v>0</v>
      </c>
      <c r="G42" s="341">
        <f t="shared" si="14"/>
        <v>0</v>
      </c>
      <c r="H42" s="2"/>
      <c r="I42" s="2"/>
      <c r="J42" s="2"/>
      <c r="K42" s="2"/>
      <c r="L42" s="2"/>
      <c r="M42" s="2"/>
      <c r="N42" s="2"/>
      <c r="O42" s="295"/>
      <c r="P42" s="2"/>
      <c r="Q42" s="2"/>
      <c r="R42" s="2"/>
      <c r="S42" s="2"/>
      <c r="T42" s="2"/>
      <c r="U42" s="2"/>
      <c r="V42" s="2"/>
      <c r="W42" s="2"/>
      <c r="X42" s="2"/>
      <c r="Y42" s="2"/>
    </row>
    <row r="43" spans="1:25" ht="15.75" x14ac:dyDescent="0.2">
      <c r="A43" s="46" t="s">
        <v>29</v>
      </c>
      <c r="B43" s="47">
        <f>+B29+B30+B31+B37+B38+B39+B40+B41+B32</f>
        <v>27</v>
      </c>
      <c r="C43" s="48">
        <f>SUM(C29:C35)+C37+C38+C39+C40+C41+C42</f>
        <v>8</v>
      </c>
      <c r="D43" s="48"/>
      <c r="E43" s="13">
        <f>+IF(F43=0,0,CONCATENATE(MID(F43,FIND("-",F43,1)+1,3),"ORAS"))</f>
        <v>0</v>
      </c>
      <c r="F43" s="48"/>
      <c r="G43" s="33">
        <f>SUM(G29:G34,G37:G42)</f>
        <v>13681929</v>
      </c>
      <c r="H43" s="2"/>
      <c r="I43" s="2"/>
      <c r="J43" s="2"/>
      <c r="K43" s="2"/>
      <c r="L43" s="2"/>
      <c r="M43" s="2"/>
      <c r="N43" s="2"/>
      <c r="O43" s="295"/>
      <c r="P43" s="2"/>
      <c r="Q43" s="2"/>
      <c r="R43" s="2"/>
      <c r="S43" s="2"/>
      <c r="T43" s="2"/>
      <c r="U43" s="2"/>
      <c r="V43" s="2"/>
      <c r="W43" s="2"/>
      <c r="X43" s="2"/>
      <c r="Y43" s="2"/>
    </row>
    <row r="44" spans="1:25" ht="15.75" x14ac:dyDescent="0.2">
      <c r="A44" s="436" t="s">
        <v>40</v>
      </c>
      <c r="B44" s="436"/>
      <c r="C44" s="436"/>
      <c r="D44" s="436"/>
      <c r="E44" s="436"/>
      <c r="F44" s="436"/>
      <c r="G44" s="436"/>
      <c r="H44" s="2"/>
      <c r="I44" s="2"/>
      <c r="J44" s="2"/>
      <c r="K44" s="2"/>
      <c r="L44" s="2"/>
      <c r="M44" s="2"/>
      <c r="N44" s="2"/>
      <c r="O44" s="295"/>
      <c r="P44" s="2"/>
      <c r="Q44" s="2"/>
      <c r="R44" s="2"/>
      <c r="S44" s="2"/>
      <c r="T44" s="2"/>
      <c r="U44" s="2"/>
      <c r="V44" s="2"/>
      <c r="W44" s="2"/>
      <c r="X44" s="2"/>
      <c r="Y44" s="2"/>
    </row>
    <row r="45" spans="1:25" ht="15.75" x14ac:dyDescent="0.2">
      <c r="A45" s="436" t="s">
        <v>1</v>
      </c>
      <c r="B45" s="436"/>
      <c r="C45" s="436"/>
      <c r="D45" s="436"/>
      <c r="E45" s="436"/>
      <c r="F45" s="436"/>
      <c r="G45" s="436"/>
      <c r="H45" s="2"/>
      <c r="I45" s="2"/>
      <c r="J45" s="2"/>
      <c r="K45" s="2"/>
      <c r="L45" s="2"/>
      <c r="M45" s="2"/>
      <c r="N45" s="2"/>
      <c r="O45" s="295"/>
      <c r="P45" s="2"/>
      <c r="Q45" s="2"/>
      <c r="R45" s="2"/>
      <c r="S45" s="2"/>
      <c r="T45" s="2"/>
      <c r="U45" s="2"/>
      <c r="V45" s="2"/>
      <c r="W45" s="2"/>
      <c r="X45" s="2"/>
      <c r="Y45" s="2"/>
    </row>
    <row r="46" spans="1:25" ht="15.75" x14ac:dyDescent="0.2">
      <c r="A46" s="71" t="s">
        <v>4</v>
      </c>
      <c r="B46" s="72" t="s">
        <v>5</v>
      </c>
      <c r="C46" s="72" t="s">
        <v>6</v>
      </c>
      <c r="D46" s="72" t="s">
        <v>7</v>
      </c>
      <c r="E46" s="72" t="s">
        <v>8</v>
      </c>
      <c r="F46" s="72" t="s">
        <v>9</v>
      </c>
      <c r="G46" s="72" t="s">
        <v>10</v>
      </c>
      <c r="H46" s="2"/>
      <c r="I46" s="2"/>
      <c r="J46" s="2"/>
      <c r="K46" s="2"/>
      <c r="L46" s="2"/>
      <c r="M46" s="2"/>
      <c r="N46" s="2"/>
      <c r="O46" s="295"/>
      <c r="P46" s="2"/>
      <c r="Q46" s="2"/>
      <c r="R46" s="2"/>
      <c r="S46" s="2"/>
      <c r="T46" s="2"/>
      <c r="U46" s="2"/>
      <c r="V46" s="2"/>
      <c r="W46" s="2"/>
      <c r="X46" s="2"/>
      <c r="Y46" s="2"/>
    </row>
    <row r="47" spans="1:25" ht="15.75" x14ac:dyDescent="0.2">
      <c r="A47" s="73"/>
      <c r="B47" s="74"/>
      <c r="C47" s="74"/>
      <c r="D47" s="75"/>
      <c r="E47" s="75"/>
      <c r="F47" s="75"/>
      <c r="G47" s="76"/>
      <c r="H47" s="2"/>
      <c r="I47" s="2"/>
      <c r="J47" s="2"/>
      <c r="K47" s="2"/>
      <c r="L47" s="2"/>
      <c r="M47" s="2"/>
      <c r="N47" s="2"/>
      <c r="O47" s="295"/>
      <c r="P47" s="2"/>
      <c r="Q47" s="2"/>
      <c r="R47" s="2"/>
      <c r="S47" s="2"/>
      <c r="T47" s="2"/>
      <c r="U47" s="2"/>
      <c r="V47" s="2"/>
      <c r="W47" s="2"/>
      <c r="X47" s="2"/>
      <c r="Y47" s="2"/>
    </row>
    <row r="48" spans="1:25" ht="1.5" customHeight="1" x14ac:dyDescent="0.2">
      <c r="A48" s="73"/>
      <c r="B48" s="74"/>
      <c r="C48" s="74"/>
      <c r="D48" s="74"/>
      <c r="E48" s="74"/>
      <c r="F48" s="74"/>
      <c r="G48" s="74"/>
      <c r="H48" s="2"/>
      <c r="I48" s="2"/>
      <c r="J48" s="2"/>
      <c r="K48" s="2"/>
      <c r="L48" s="2"/>
      <c r="M48" s="2"/>
      <c r="N48" s="2"/>
      <c r="O48" s="295"/>
      <c r="P48" s="2"/>
      <c r="Q48" s="2"/>
      <c r="R48" s="2"/>
      <c r="S48" s="2"/>
      <c r="T48" s="2"/>
      <c r="U48" s="2"/>
      <c r="V48" s="2"/>
      <c r="W48" s="2"/>
      <c r="X48" s="2"/>
      <c r="Y48" s="2"/>
    </row>
    <row r="49" spans="1:25" ht="15.75" x14ac:dyDescent="0.25">
      <c r="A49" s="79" t="s">
        <v>498</v>
      </c>
      <c r="B49" s="11" t="str">
        <f t="shared" ref="B49:B54" si="15">+IF(F49=0,0,MID(F49,LEN(F49)-4,3))</f>
        <v xml:space="preserve">04 </v>
      </c>
      <c r="C49" s="372">
        <v>1</v>
      </c>
      <c r="D49" s="12" t="s">
        <v>229</v>
      </c>
      <c r="E49" s="13" t="str">
        <f>+IF(F49=0,0,CONCATENATE(MID(F49,FIND("-",F49,1)+1,4),"ORAS"))</f>
        <v>15 HORAS</v>
      </c>
      <c r="F49" s="14" t="s">
        <v>351</v>
      </c>
      <c r="G49" s="362">
        <f t="shared" ref="G49:G54" si="16">+IF(F49="","",VLOOKUP(F49,$H$142:$I$220,2,FALSE))</f>
        <v>1955007</v>
      </c>
      <c r="H49" s="2"/>
      <c r="I49" s="2"/>
      <c r="J49" s="437"/>
      <c r="K49" s="437"/>
      <c r="L49" s="437"/>
      <c r="M49" s="437"/>
      <c r="N49" s="437"/>
      <c r="O49" s="437"/>
      <c r="P49" s="437"/>
      <c r="Q49" s="2"/>
      <c r="R49" s="2"/>
      <c r="S49" s="2"/>
      <c r="T49" s="2"/>
      <c r="U49" s="2"/>
      <c r="V49" s="2"/>
      <c r="W49" s="2"/>
      <c r="X49" s="2"/>
      <c r="Y49" s="2"/>
    </row>
    <row r="50" spans="1:25" ht="15.75" x14ac:dyDescent="0.2">
      <c r="A50" s="41" t="s">
        <v>476</v>
      </c>
      <c r="B50" s="11" t="str">
        <f t="shared" si="15"/>
        <v xml:space="preserve">04 </v>
      </c>
      <c r="C50" s="44">
        <v>1</v>
      </c>
      <c r="D50" s="12" t="s">
        <v>229</v>
      </c>
      <c r="E50" s="13" t="str">
        <f>+IF(F50=0,0,CONCATENATE(MID(F50,FIND("-",F50,1)+1,4),"ORAS"))</f>
        <v>15 HORAS</v>
      </c>
      <c r="F50" s="14" t="s">
        <v>351</v>
      </c>
      <c r="G50" s="362">
        <f t="shared" si="16"/>
        <v>1955007</v>
      </c>
      <c r="H50" s="2"/>
      <c r="I50" s="2"/>
      <c r="J50" s="437"/>
      <c r="K50" s="437"/>
      <c r="L50" s="437"/>
      <c r="M50" s="437"/>
      <c r="N50" s="437"/>
      <c r="O50" s="437"/>
      <c r="P50" s="437"/>
      <c r="Q50" s="2"/>
      <c r="R50" s="2"/>
      <c r="S50" s="2"/>
      <c r="T50" s="2"/>
      <c r="U50" s="2"/>
      <c r="V50" s="2"/>
      <c r="W50" s="2"/>
      <c r="X50" s="2"/>
      <c r="Y50" s="2"/>
    </row>
    <row r="51" spans="1:25" ht="15.75" x14ac:dyDescent="0.2">
      <c r="A51" s="77" t="s">
        <v>477</v>
      </c>
      <c r="B51" s="11" t="str">
        <f t="shared" si="15"/>
        <v xml:space="preserve">03 </v>
      </c>
      <c r="C51" s="44">
        <v>1</v>
      </c>
      <c r="D51" s="12" t="s">
        <v>229</v>
      </c>
      <c r="E51" s="13" t="str">
        <f>+IF(F51=0,0,CONCATENATE(MID(F51,FIND("-",F51,1)+1,4),"ORAS"))</f>
        <v>15 HORAS</v>
      </c>
      <c r="F51" s="14" t="s">
        <v>352</v>
      </c>
      <c r="G51" s="375">
        <f t="shared" si="16"/>
        <v>1795972</v>
      </c>
      <c r="H51" s="2"/>
      <c r="I51" s="2"/>
      <c r="J51" s="437"/>
      <c r="K51" s="437"/>
      <c r="L51" s="437"/>
      <c r="M51" s="437"/>
      <c r="N51" s="437"/>
      <c r="O51" s="437"/>
      <c r="P51" s="437"/>
      <c r="Q51" s="2"/>
      <c r="R51" s="2"/>
      <c r="S51" s="2"/>
      <c r="T51" s="2"/>
      <c r="U51" s="2"/>
      <c r="V51" s="2"/>
      <c r="W51" s="2"/>
      <c r="X51" s="2"/>
      <c r="Y51" s="2"/>
    </row>
    <row r="52" spans="1:25" ht="15.75" x14ac:dyDescent="0.2">
      <c r="A52" s="77"/>
      <c r="B52" s="11">
        <f t="shared" si="15"/>
        <v>0</v>
      </c>
      <c r="C52" s="44"/>
      <c r="D52" s="44"/>
      <c r="E52" s="13"/>
      <c r="F52" s="14">
        <v>0</v>
      </c>
      <c r="G52" s="341">
        <f t="shared" si="16"/>
        <v>0</v>
      </c>
      <c r="H52" s="2"/>
      <c r="I52" s="2"/>
      <c r="J52" s="437"/>
      <c r="K52" s="437"/>
      <c r="L52" s="437"/>
      <c r="M52" s="437"/>
      <c r="N52" s="437"/>
      <c r="O52" s="437"/>
      <c r="P52" s="437"/>
      <c r="Q52" s="2"/>
      <c r="R52" s="2"/>
      <c r="S52" s="2"/>
      <c r="T52" s="2"/>
      <c r="U52" s="2"/>
      <c r="V52" s="2"/>
      <c r="W52" s="2"/>
      <c r="X52" s="2"/>
      <c r="Y52" s="2"/>
    </row>
    <row r="53" spans="1:25" ht="15.75" x14ac:dyDescent="0.2">
      <c r="A53" s="77"/>
      <c r="B53" s="11">
        <f t="shared" si="15"/>
        <v>0</v>
      </c>
      <c r="C53" s="44"/>
      <c r="D53" s="44"/>
      <c r="E53" s="13"/>
      <c r="F53" s="14">
        <v>0</v>
      </c>
      <c r="G53" s="341">
        <f t="shared" si="16"/>
        <v>0</v>
      </c>
      <c r="H53" s="2"/>
      <c r="I53" s="2"/>
      <c r="J53" s="437"/>
      <c r="K53" s="437"/>
      <c r="L53" s="437"/>
      <c r="M53" s="437"/>
      <c r="N53" s="437"/>
      <c r="O53" s="437"/>
      <c r="P53" s="437"/>
      <c r="Q53" s="2"/>
      <c r="R53" s="2"/>
      <c r="S53" s="2"/>
      <c r="T53" s="2"/>
      <c r="U53" s="2"/>
      <c r="V53" s="2"/>
      <c r="W53" s="2"/>
      <c r="X53" s="2"/>
      <c r="Y53" s="2"/>
    </row>
    <row r="54" spans="1:25" ht="15.75" x14ac:dyDescent="0.2">
      <c r="A54" s="77"/>
      <c r="B54" s="11">
        <f t="shared" si="15"/>
        <v>0</v>
      </c>
      <c r="C54" s="44"/>
      <c r="D54" s="44"/>
      <c r="E54" s="13"/>
      <c r="F54" s="14">
        <v>0</v>
      </c>
      <c r="G54" s="341">
        <f t="shared" si="16"/>
        <v>0</v>
      </c>
      <c r="H54" s="2"/>
      <c r="I54" s="2"/>
      <c r="J54" s="437"/>
      <c r="K54" s="437"/>
      <c r="L54" s="437"/>
      <c r="M54" s="437"/>
      <c r="N54" s="437"/>
      <c r="O54" s="437"/>
      <c r="P54" s="437"/>
      <c r="Q54" s="2"/>
      <c r="R54" s="2"/>
      <c r="S54" s="2"/>
      <c r="T54" s="2"/>
      <c r="U54" s="2"/>
      <c r="V54" s="2"/>
      <c r="W54" s="2"/>
      <c r="X54" s="2"/>
      <c r="Y54" s="2"/>
    </row>
    <row r="55" spans="1:25" ht="15.75" x14ac:dyDescent="0.2">
      <c r="A55" s="438" t="s">
        <v>23</v>
      </c>
      <c r="B55" s="438"/>
      <c r="C55" s="438"/>
      <c r="D55" s="438"/>
      <c r="E55" s="438"/>
      <c r="F55" s="438"/>
      <c r="G55" s="438"/>
      <c r="H55" s="2"/>
      <c r="I55" s="2"/>
      <c r="J55" s="437"/>
      <c r="K55" s="437"/>
      <c r="L55" s="437"/>
      <c r="M55" s="437"/>
      <c r="N55" s="437"/>
      <c r="O55" s="437"/>
      <c r="P55" s="437"/>
      <c r="Q55" s="2"/>
      <c r="R55" s="2"/>
      <c r="S55" s="2"/>
      <c r="T55" s="2"/>
      <c r="U55" s="2"/>
      <c r="V55" s="2"/>
      <c r="W55" s="2"/>
      <c r="X55" s="2"/>
      <c r="Y55" s="2"/>
    </row>
    <row r="56" spans="1:25" ht="15.75" x14ac:dyDescent="0.2">
      <c r="A56" s="71" t="s">
        <v>4</v>
      </c>
      <c r="B56" s="72" t="s">
        <v>5</v>
      </c>
      <c r="C56" s="72" t="s">
        <v>6</v>
      </c>
      <c r="D56" s="72" t="s">
        <v>7</v>
      </c>
      <c r="E56" s="72" t="s">
        <v>8</v>
      </c>
      <c r="F56" s="72" t="s">
        <v>9</v>
      </c>
      <c r="G56" s="72" t="s">
        <v>10</v>
      </c>
      <c r="H56" s="2"/>
      <c r="I56" s="2"/>
      <c r="J56" s="437"/>
      <c r="K56" s="437"/>
      <c r="L56" s="437"/>
      <c r="M56" s="437"/>
      <c r="N56" s="437"/>
      <c r="O56" s="437"/>
      <c r="P56" s="437"/>
      <c r="Q56" s="2"/>
      <c r="R56" s="2"/>
      <c r="S56" s="2"/>
      <c r="T56" s="2"/>
      <c r="U56" s="2"/>
      <c r="V56" s="2"/>
      <c r="W56" s="2"/>
      <c r="X56" s="2"/>
      <c r="Y56" s="2"/>
    </row>
    <row r="57" spans="1:25" ht="15.75" x14ac:dyDescent="0.25">
      <c r="A57" s="41" t="s">
        <v>41</v>
      </c>
      <c r="B57" s="11" t="str">
        <f t="shared" ref="B57:B66" si="17">+IF(F57=0,0,MID(F57,LEN(F57)-4,3))</f>
        <v xml:space="preserve">03 </v>
      </c>
      <c r="C57" s="372">
        <v>1</v>
      </c>
      <c r="D57" s="12" t="s">
        <v>229</v>
      </c>
      <c r="E57" s="13" t="str">
        <f t="shared" ref="E57:E66" si="18">+IF(F57=0,0,CONCATENATE(MID(F57,FIND("-",F57,1)+1,4),"ORAS"))</f>
        <v>15 HORAS</v>
      </c>
      <c r="F57" s="14" t="s">
        <v>367</v>
      </c>
      <c r="G57" s="362">
        <f t="shared" ref="G57:G67" si="19">+IF(F57="","",VLOOKUP(F57,$H$142:$I$220,2,FALSE))</f>
        <v>1505234</v>
      </c>
      <c r="H57" s="2"/>
      <c r="I57" s="2"/>
      <c r="J57" s="437"/>
      <c r="K57" s="437"/>
      <c r="L57" s="437"/>
      <c r="M57" s="437"/>
      <c r="N57" s="437"/>
      <c r="O57" s="437"/>
      <c r="P57" s="437"/>
      <c r="Q57" s="2"/>
      <c r="R57" s="2"/>
      <c r="S57" s="2"/>
      <c r="T57" s="2"/>
      <c r="U57" s="2"/>
      <c r="V57" s="2"/>
      <c r="W57" s="2"/>
      <c r="X57" s="2"/>
      <c r="Y57" s="2"/>
    </row>
    <row r="58" spans="1:25" ht="15.75" x14ac:dyDescent="0.25">
      <c r="A58" s="41" t="s">
        <v>42</v>
      </c>
      <c r="B58" s="11" t="str">
        <f t="shared" si="17"/>
        <v xml:space="preserve">03 </v>
      </c>
      <c r="C58" s="372">
        <v>1</v>
      </c>
      <c r="D58" s="12" t="s">
        <v>229</v>
      </c>
      <c r="E58" s="13" t="str">
        <f t="shared" si="18"/>
        <v>15 HORAS</v>
      </c>
      <c r="F58" s="14" t="s">
        <v>367</v>
      </c>
      <c r="G58" s="362">
        <f t="shared" si="19"/>
        <v>1505234</v>
      </c>
      <c r="H58" s="2"/>
      <c r="I58" s="2"/>
      <c r="J58" s="437"/>
      <c r="K58" s="437"/>
      <c r="L58" s="437"/>
      <c r="M58" s="437"/>
      <c r="N58" s="437"/>
      <c r="O58" s="437"/>
      <c r="P58" s="437"/>
      <c r="Q58" s="2"/>
      <c r="R58" s="2"/>
      <c r="S58" s="2"/>
      <c r="T58" s="2"/>
      <c r="U58" s="2"/>
      <c r="V58" s="2"/>
      <c r="W58" s="2"/>
      <c r="X58" s="2"/>
      <c r="Y58" s="2"/>
    </row>
    <row r="59" spans="1:25" ht="15.75" x14ac:dyDescent="0.25">
      <c r="A59" s="41" t="s">
        <v>43</v>
      </c>
      <c r="B59" s="11" t="str">
        <f t="shared" si="17"/>
        <v xml:space="preserve">03 </v>
      </c>
      <c r="C59" s="372">
        <v>1</v>
      </c>
      <c r="D59" s="12" t="s">
        <v>229</v>
      </c>
      <c r="E59" s="13" t="str">
        <f t="shared" si="18"/>
        <v>15 HORAS</v>
      </c>
      <c r="F59" s="14" t="s">
        <v>367</v>
      </c>
      <c r="G59" s="362">
        <f t="shared" si="19"/>
        <v>1505234</v>
      </c>
      <c r="H59" s="2"/>
      <c r="I59" s="2"/>
      <c r="J59" s="437"/>
      <c r="K59" s="437"/>
      <c r="L59" s="437"/>
      <c r="M59" s="437"/>
      <c r="N59" s="437"/>
      <c r="O59" s="437"/>
      <c r="P59" s="437"/>
      <c r="Q59" s="2"/>
      <c r="R59" s="2"/>
      <c r="S59" s="2"/>
      <c r="T59" s="2"/>
      <c r="U59" s="2"/>
      <c r="V59" s="2"/>
      <c r="W59" s="2"/>
      <c r="X59" s="2"/>
      <c r="Y59" s="2"/>
    </row>
    <row r="60" spans="1:25" ht="15.75" x14ac:dyDescent="0.25">
      <c r="A60" s="79" t="s">
        <v>171</v>
      </c>
      <c r="B60" s="11" t="str">
        <f t="shared" si="17"/>
        <v xml:space="preserve">03 </v>
      </c>
      <c r="C60" s="372">
        <v>1</v>
      </c>
      <c r="D60" s="12" t="s">
        <v>229</v>
      </c>
      <c r="E60" s="13" t="str">
        <f t="shared" si="18"/>
        <v>15 HORAS</v>
      </c>
      <c r="F60" s="14" t="s">
        <v>367</v>
      </c>
      <c r="G60" s="362">
        <f t="shared" si="19"/>
        <v>1505234</v>
      </c>
      <c r="H60" s="2"/>
      <c r="I60" s="2"/>
      <c r="J60" s="437"/>
      <c r="K60" s="437"/>
      <c r="L60" s="437"/>
      <c r="M60" s="437"/>
      <c r="N60" s="437"/>
      <c r="O60" s="437"/>
      <c r="P60" s="437"/>
      <c r="Q60" s="2"/>
      <c r="R60" s="2"/>
      <c r="S60" s="2"/>
      <c r="T60" s="2"/>
      <c r="U60" s="2"/>
      <c r="V60" s="2"/>
      <c r="W60" s="2"/>
      <c r="X60" s="2"/>
      <c r="Y60" s="2"/>
    </row>
    <row r="61" spans="1:25" ht="15.75" x14ac:dyDescent="0.25">
      <c r="A61" s="79" t="s">
        <v>172</v>
      </c>
      <c r="B61" s="11" t="str">
        <f t="shared" si="17"/>
        <v xml:space="preserve">03 </v>
      </c>
      <c r="C61" s="372">
        <v>1</v>
      </c>
      <c r="D61" s="12" t="s">
        <v>229</v>
      </c>
      <c r="E61" s="13" t="str">
        <f t="shared" si="18"/>
        <v>15 HORAS</v>
      </c>
      <c r="F61" s="14" t="s">
        <v>367</v>
      </c>
      <c r="G61" s="362">
        <f t="shared" si="19"/>
        <v>1505234</v>
      </c>
      <c r="H61" s="2"/>
      <c r="I61" s="2"/>
      <c r="J61" s="437"/>
      <c r="K61" s="437"/>
      <c r="L61" s="437"/>
      <c r="M61" s="437"/>
      <c r="N61" s="437"/>
      <c r="O61" s="437"/>
      <c r="P61" s="437"/>
      <c r="Q61" s="2"/>
      <c r="R61" s="2"/>
      <c r="S61" s="2"/>
      <c r="T61" s="2"/>
      <c r="U61" s="2"/>
      <c r="V61" s="2"/>
      <c r="W61" s="2"/>
      <c r="X61" s="2"/>
      <c r="Y61" s="2"/>
    </row>
    <row r="62" spans="1:25" ht="15.75" x14ac:dyDescent="0.25">
      <c r="A62" s="79" t="s">
        <v>173</v>
      </c>
      <c r="B62" s="11" t="str">
        <f t="shared" si="17"/>
        <v xml:space="preserve">03 </v>
      </c>
      <c r="C62" s="372">
        <v>1</v>
      </c>
      <c r="D62" s="12" t="s">
        <v>229</v>
      </c>
      <c r="E62" s="13" t="str">
        <f t="shared" si="18"/>
        <v>15 HORAS</v>
      </c>
      <c r="F62" s="14" t="s">
        <v>367</v>
      </c>
      <c r="G62" s="362">
        <f t="shared" si="19"/>
        <v>1505234</v>
      </c>
      <c r="H62" s="2"/>
      <c r="I62" s="2"/>
      <c r="J62" s="437"/>
      <c r="K62" s="437"/>
      <c r="L62" s="437"/>
      <c r="M62" s="437"/>
      <c r="N62" s="437"/>
      <c r="O62" s="437"/>
      <c r="P62" s="437"/>
      <c r="Q62" s="2"/>
      <c r="R62" s="2"/>
      <c r="S62" s="2"/>
      <c r="T62" s="2"/>
      <c r="U62" s="2"/>
      <c r="V62" s="2"/>
      <c r="W62" s="2"/>
      <c r="X62" s="2"/>
      <c r="Y62" s="2"/>
    </row>
    <row r="63" spans="1:25" ht="15.75" x14ac:dyDescent="0.25">
      <c r="A63" s="78" t="s">
        <v>44</v>
      </c>
      <c r="B63" s="11" t="str">
        <f t="shared" si="17"/>
        <v xml:space="preserve">03 </v>
      </c>
      <c r="C63" s="372">
        <v>1</v>
      </c>
      <c r="D63" s="12" t="s">
        <v>229</v>
      </c>
      <c r="E63" s="13" t="str">
        <f t="shared" si="18"/>
        <v>15 HORAS</v>
      </c>
      <c r="F63" s="14" t="s">
        <v>367</v>
      </c>
      <c r="G63" s="362">
        <f t="shared" si="19"/>
        <v>1505234</v>
      </c>
      <c r="H63" s="2"/>
      <c r="I63" s="2"/>
      <c r="J63" s="437"/>
      <c r="K63" s="437"/>
      <c r="L63" s="437"/>
      <c r="M63" s="437"/>
      <c r="N63" s="437"/>
      <c r="O63" s="437"/>
      <c r="P63" s="437"/>
      <c r="Q63" s="2"/>
      <c r="R63" s="2"/>
      <c r="S63" s="2"/>
      <c r="T63" s="2"/>
      <c r="U63" s="2"/>
      <c r="V63" s="2"/>
      <c r="W63" s="2"/>
      <c r="X63" s="2"/>
      <c r="Y63" s="2"/>
    </row>
    <row r="64" spans="1:25" ht="15.75" x14ac:dyDescent="0.25">
      <c r="A64" s="78" t="s">
        <v>45</v>
      </c>
      <c r="B64" s="11" t="str">
        <f t="shared" si="17"/>
        <v xml:space="preserve">03 </v>
      </c>
      <c r="C64" s="372">
        <v>1</v>
      </c>
      <c r="D64" s="12" t="s">
        <v>229</v>
      </c>
      <c r="E64" s="13" t="str">
        <f t="shared" si="18"/>
        <v>15 HORAS</v>
      </c>
      <c r="F64" s="14" t="s">
        <v>367</v>
      </c>
      <c r="G64" s="362">
        <f t="shared" si="19"/>
        <v>1505234</v>
      </c>
      <c r="H64" s="2"/>
      <c r="I64" s="2"/>
      <c r="J64" s="437"/>
      <c r="K64" s="437"/>
      <c r="L64" s="437"/>
      <c r="M64" s="437"/>
      <c r="N64" s="437"/>
      <c r="O64" s="437"/>
      <c r="P64" s="437"/>
      <c r="Q64" s="2"/>
      <c r="R64" s="2"/>
      <c r="S64" s="2"/>
      <c r="T64" s="2"/>
      <c r="U64" s="2"/>
      <c r="V64" s="2"/>
      <c r="W64" s="2"/>
      <c r="X64" s="2"/>
      <c r="Y64" s="2"/>
    </row>
    <row r="65" spans="1:31" ht="15.75" x14ac:dyDescent="0.25">
      <c r="A65" s="78"/>
      <c r="B65" s="11">
        <f t="shared" si="17"/>
        <v>0</v>
      </c>
      <c r="C65" s="372"/>
      <c r="D65" s="12"/>
      <c r="E65" s="13">
        <f t="shared" si="18"/>
        <v>0</v>
      </c>
      <c r="F65" s="14">
        <v>0</v>
      </c>
      <c r="G65" s="341">
        <f t="shared" si="19"/>
        <v>0</v>
      </c>
      <c r="H65" s="2"/>
      <c r="I65" s="2"/>
      <c r="J65" s="437"/>
      <c r="K65" s="437"/>
      <c r="L65" s="437"/>
      <c r="M65" s="437"/>
      <c r="N65" s="437"/>
      <c r="O65" s="437"/>
      <c r="P65" s="437"/>
      <c r="Q65" s="2"/>
      <c r="R65" s="2"/>
      <c r="S65" s="2"/>
      <c r="T65" s="2"/>
      <c r="U65" s="2"/>
      <c r="V65" s="2"/>
      <c r="W65" s="2"/>
      <c r="X65" s="2"/>
      <c r="Y65" s="2"/>
    </row>
    <row r="66" spans="1:31" ht="15.75" x14ac:dyDescent="0.25">
      <c r="A66" s="78"/>
      <c r="B66" s="11">
        <f t="shared" si="17"/>
        <v>0</v>
      </c>
      <c r="C66" s="372"/>
      <c r="D66" s="12"/>
      <c r="E66" s="13">
        <f t="shared" si="18"/>
        <v>0</v>
      </c>
      <c r="F66" s="14">
        <v>0</v>
      </c>
      <c r="G66" s="341">
        <f t="shared" si="19"/>
        <v>0</v>
      </c>
      <c r="H66" s="2"/>
      <c r="I66" s="2"/>
      <c r="J66" s="437"/>
      <c r="K66" s="437"/>
      <c r="L66" s="437"/>
      <c r="M66" s="437"/>
      <c r="N66" s="437"/>
      <c r="O66" s="437"/>
      <c r="P66" s="437"/>
      <c r="Q66" s="2"/>
      <c r="R66" s="2"/>
      <c r="S66" s="2"/>
      <c r="T66" s="2"/>
      <c r="U66" s="2"/>
      <c r="V66" s="2"/>
      <c r="W66" s="2"/>
      <c r="X66" s="2"/>
      <c r="Y66" s="2"/>
    </row>
    <row r="67" spans="1:31" ht="15.75" x14ac:dyDescent="0.25">
      <c r="A67" s="77"/>
      <c r="B67" s="16"/>
      <c r="C67" s="372"/>
      <c r="D67" s="80"/>
      <c r="E67" s="14"/>
      <c r="F67" s="14"/>
      <c r="G67" s="341" t="str">
        <f t="shared" si="19"/>
        <v/>
      </c>
      <c r="H67" s="2"/>
      <c r="I67" s="2"/>
      <c r="J67" s="437"/>
      <c r="K67" s="437"/>
      <c r="L67" s="437"/>
      <c r="M67" s="437"/>
      <c r="N67" s="437"/>
      <c r="O67" s="437"/>
      <c r="P67" s="437"/>
      <c r="Q67" s="2"/>
      <c r="R67" s="2"/>
      <c r="S67" s="2"/>
      <c r="T67" s="2"/>
      <c r="U67" s="2"/>
      <c r="V67" s="2"/>
      <c r="W67" s="2"/>
      <c r="X67" s="2"/>
      <c r="Y67" s="2"/>
    </row>
    <row r="68" spans="1:31" ht="15.75" x14ac:dyDescent="0.2">
      <c r="A68" s="77" t="s">
        <v>29</v>
      </c>
      <c r="B68" s="47">
        <f>+B57+B58+B59+B60+B61+B67+B62+B63+B64+B65+B66+B49+B50+B51+B52+B53+B54</f>
        <v>35</v>
      </c>
      <c r="C68" s="48">
        <f>C62+C63+C64+C65+C66+C49+C50+C51+C52+C53+C57+C58+C59+C60+C61+C67</f>
        <v>11</v>
      </c>
      <c r="D68" s="48"/>
      <c r="E68" s="81"/>
      <c r="F68" s="48"/>
      <c r="G68" s="33">
        <f>SUM(G49:G54,G57:G67)</f>
        <v>17747858</v>
      </c>
      <c r="H68" s="2"/>
      <c r="I68" s="2"/>
      <c r="J68" s="437"/>
      <c r="K68" s="437"/>
      <c r="L68" s="437"/>
      <c r="M68" s="437"/>
      <c r="N68" s="437"/>
      <c r="O68" s="437"/>
      <c r="P68" s="437"/>
      <c r="Q68" s="2"/>
      <c r="R68" s="2"/>
      <c r="S68" s="2"/>
      <c r="T68" s="2"/>
      <c r="U68" s="2"/>
      <c r="V68" s="2"/>
      <c r="W68" s="2"/>
      <c r="X68" s="2"/>
      <c r="Y68" s="2"/>
    </row>
    <row r="69" spans="1:31" ht="15" x14ac:dyDescent="0.2">
      <c r="A69" s="2"/>
      <c r="B69" s="2"/>
      <c r="C69" s="2"/>
      <c r="D69" s="2"/>
      <c r="E69" s="2"/>
      <c r="F69" s="2"/>
      <c r="G69" s="2"/>
      <c r="H69" s="2"/>
      <c r="I69" s="2"/>
      <c r="J69" s="2"/>
      <c r="K69" s="2"/>
      <c r="L69" s="2"/>
      <c r="M69" s="2"/>
      <c r="N69" s="2"/>
      <c r="O69" s="295"/>
      <c r="P69" s="2"/>
      <c r="Q69" s="2"/>
      <c r="R69" s="2"/>
      <c r="S69" s="2"/>
      <c r="T69" s="2"/>
      <c r="U69" s="2"/>
      <c r="V69" s="2"/>
      <c r="W69" s="2"/>
      <c r="X69" s="2"/>
      <c r="Y69" s="2"/>
    </row>
    <row r="70" spans="1:31" ht="15" x14ac:dyDescent="0.2">
      <c r="A70" s="59" t="s">
        <v>32</v>
      </c>
      <c r="B70" s="278">
        <f>B68+B43+B25</f>
        <v>91</v>
      </c>
      <c r="C70" s="278">
        <f>C68+C43+C25</f>
        <v>26</v>
      </c>
      <c r="D70" s="59">
        <f>D68+D43+D25</f>
        <v>0</v>
      </c>
      <c r="E70" s="2"/>
      <c r="F70" s="2"/>
      <c r="G70" s="33">
        <f>SUM(G25,G43,G68)</f>
        <v>47911605</v>
      </c>
      <c r="H70" s="2"/>
      <c r="I70" s="2"/>
      <c r="J70" s="2"/>
      <c r="K70" s="2"/>
      <c r="L70" s="2"/>
      <c r="M70" s="2"/>
      <c r="N70" s="2"/>
      <c r="O70" s="295"/>
      <c r="P70" s="2"/>
      <c r="Q70" s="2"/>
      <c r="R70" s="2"/>
      <c r="S70" s="2"/>
      <c r="T70" s="2"/>
      <c r="U70" s="2"/>
      <c r="V70" s="2"/>
      <c r="W70" s="2"/>
      <c r="X70" s="2"/>
      <c r="Y70" s="2"/>
    </row>
    <row r="71" spans="1:31" ht="15.75" x14ac:dyDescent="0.25">
      <c r="A71" s="2"/>
      <c r="B71" s="2"/>
      <c r="C71" s="2"/>
      <c r="D71" s="2"/>
      <c r="E71" s="2"/>
      <c r="F71" s="2"/>
      <c r="G71" s="2"/>
      <c r="H71" s="2"/>
      <c r="I71" s="2"/>
      <c r="J71" s="82" t="s">
        <v>46</v>
      </c>
      <c r="K71" s="83">
        <f>K28+B70+T36+AB28</f>
        <v>115</v>
      </c>
      <c r="L71" s="84"/>
      <c r="M71" s="85"/>
      <c r="N71" s="85"/>
      <c r="O71" s="298"/>
      <c r="P71" s="85"/>
      <c r="Q71" s="2"/>
      <c r="R71" s="2"/>
      <c r="S71" s="2"/>
      <c r="T71" s="2"/>
      <c r="U71" s="2"/>
      <c r="V71" s="2"/>
      <c r="W71" s="2"/>
      <c r="X71" s="2"/>
      <c r="Y71" s="2"/>
    </row>
    <row r="72" spans="1:31" ht="16.5" thickBot="1" x14ac:dyDescent="0.3">
      <c r="A72" s="2"/>
      <c r="B72" s="2"/>
      <c r="C72" s="2"/>
      <c r="D72" s="2"/>
      <c r="E72" s="2"/>
      <c r="F72" s="2"/>
      <c r="G72" s="2"/>
      <c r="H72" s="2"/>
      <c r="I72" s="2"/>
      <c r="J72" s="82" t="s">
        <v>47</v>
      </c>
      <c r="K72" s="86">
        <f>L28+C70+U36+AC28</f>
        <v>34</v>
      </c>
      <c r="L72" s="2"/>
      <c r="M72" s="87" t="s">
        <v>0</v>
      </c>
      <c r="N72" s="87" t="s">
        <v>30</v>
      </c>
      <c r="O72" s="299" t="s">
        <v>40</v>
      </c>
      <c r="P72" s="88"/>
      <c r="R72" s="89"/>
      <c r="T72" s="2"/>
      <c r="U72" s="2"/>
      <c r="V72" s="2"/>
      <c r="W72" s="2"/>
      <c r="X72" s="2"/>
      <c r="Y72" s="2"/>
    </row>
    <row r="73" spans="1:31" ht="27" customHeight="1" thickBot="1" x14ac:dyDescent="0.3">
      <c r="A73" s="2"/>
      <c r="B73" s="2"/>
      <c r="C73" s="2"/>
      <c r="D73" s="2"/>
      <c r="E73" s="2"/>
      <c r="F73" s="2"/>
      <c r="G73" s="2"/>
      <c r="H73" s="2"/>
      <c r="I73" s="2"/>
      <c r="J73" s="90" t="s">
        <v>48</v>
      </c>
      <c r="K73" s="439">
        <f>SUM(G70,P28,Y36)</f>
        <v>64748742</v>
      </c>
      <c r="L73" s="440"/>
      <c r="M73" s="91">
        <f>SUM(G25,Y23:Y25)</f>
        <v>19216253</v>
      </c>
      <c r="N73" s="92">
        <f>SUM(G43,P4:P18,P21:P27,Y4:Y8,Y18:Y19,Y26:Y27)</f>
        <v>26178908</v>
      </c>
      <c r="O73" s="300">
        <f>SUM(G49:G54,G57:G66,Y28:Y33)</f>
        <v>19353581</v>
      </c>
      <c r="P73" s="93">
        <f>SUM(M73:O73)</f>
        <v>64748742</v>
      </c>
      <c r="R73" s="94"/>
      <c r="S73" s="95"/>
      <c r="T73" s="2"/>
      <c r="U73" s="2"/>
      <c r="V73" s="2"/>
      <c r="W73" s="2"/>
      <c r="X73" s="2"/>
      <c r="Y73" s="2"/>
    </row>
    <row r="74" spans="1:31" ht="13.5" thickBot="1" x14ac:dyDescent="0.25"/>
    <row r="75" spans="1:31" ht="36" customHeight="1" thickBot="1" x14ac:dyDescent="0.25">
      <c r="A75" s="441" t="s">
        <v>49</v>
      </c>
      <c r="B75" s="442"/>
      <c r="C75" s="442"/>
      <c r="D75" s="442"/>
      <c r="E75" s="442"/>
      <c r="F75" s="442"/>
      <c r="G75" s="442"/>
      <c r="H75" s="442"/>
      <c r="I75" s="442"/>
      <c r="J75" s="442"/>
      <c r="K75" s="442"/>
      <c r="L75" s="442"/>
      <c r="M75" s="442"/>
      <c r="N75" s="442"/>
      <c r="O75" s="442"/>
      <c r="P75" s="442"/>
      <c r="Q75" s="442"/>
      <c r="R75" s="442"/>
      <c r="S75" s="442"/>
      <c r="T75" s="442"/>
      <c r="U75" s="442"/>
      <c r="V75" s="442"/>
      <c r="W75" s="442"/>
      <c r="X75" s="442"/>
      <c r="Y75" s="442"/>
      <c r="Z75" s="442"/>
      <c r="AA75" s="442"/>
      <c r="AB75" s="442"/>
      <c r="AC75" s="442"/>
      <c r="AD75" s="442"/>
      <c r="AE75" s="443"/>
    </row>
    <row r="76" spans="1:31" ht="286.5" customHeight="1" x14ac:dyDescent="0.2">
      <c r="A76" s="431" t="s">
        <v>478</v>
      </c>
      <c r="B76" s="432"/>
      <c r="C76" s="432"/>
      <c r="D76" s="432"/>
      <c r="E76" s="432"/>
      <c r="F76" s="432"/>
      <c r="G76" s="432"/>
      <c r="H76" s="432"/>
      <c r="I76" s="432"/>
      <c r="J76" s="432"/>
      <c r="K76" s="432"/>
      <c r="L76" s="432"/>
      <c r="M76" s="432"/>
      <c r="N76" s="432"/>
      <c r="O76" s="432"/>
      <c r="P76" s="432"/>
      <c r="Q76" s="432"/>
      <c r="R76" s="432"/>
      <c r="S76" s="432"/>
      <c r="T76" s="432"/>
      <c r="U76" s="432"/>
      <c r="V76" s="432"/>
      <c r="W76" s="432"/>
      <c r="X76" s="432"/>
      <c r="Y76" s="432"/>
      <c r="Z76" s="344"/>
      <c r="AA76" s="344"/>
      <c r="AB76" s="344"/>
      <c r="AC76" s="344"/>
      <c r="AD76" s="344"/>
      <c r="AE76" s="344"/>
    </row>
    <row r="77" spans="1:31" ht="222.75" customHeight="1" x14ac:dyDescent="0.2">
      <c r="A77" s="433"/>
      <c r="B77" s="433"/>
      <c r="C77" s="433"/>
      <c r="D77" s="433"/>
      <c r="E77" s="433"/>
      <c r="F77" s="433"/>
      <c r="G77" s="433"/>
      <c r="H77" s="433"/>
      <c r="I77" s="433"/>
      <c r="J77" s="433"/>
      <c r="K77" s="433"/>
      <c r="L77" s="433"/>
      <c r="M77" s="433"/>
      <c r="N77" s="433"/>
      <c r="O77" s="433"/>
      <c r="P77" s="433"/>
      <c r="Q77" s="433"/>
      <c r="R77" s="433"/>
      <c r="S77" s="433"/>
      <c r="T77" s="433"/>
      <c r="U77" s="433"/>
      <c r="V77" s="433"/>
      <c r="W77" s="433"/>
      <c r="X77" s="433"/>
      <c r="Y77" s="433"/>
      <c r="Z77" s="343"/>
      <c r="AA77" s="343"/>
      <c r="AB77" s="343"/>
      <c r="AC77" s="343"/>
      <c r="AD77" s="343"/>
      <c r="AE77" s="343"/>
    </row>
    <row r="78" spans="1:31" ht="109.5" customHeight="1" x14ac:dyDescent="0.2">
      <c r="A78" s="433"/>
      <c r="B78" s="433"/>
      <c r="C78" s="433"/>
      <c r="D78" s="433"/>
      <c r="E78" s="433"/>
      <c r="F78" s="433"/>
      <c r="G78" s="433"/>
      <c r="H78" s="433"/>
      <c r="I78" s="433"/>
      <c r="J78" s="433"/>
      <c r="K78" s="433"/>
      <c r="L78" s="433"/>
      <c r="M78" s="433"/>
      <c r="N78" s="433"/>
      <c r="O78" s="433"/>
      <c r="P78" s="433"/>
      <c r="Q78" s="433"/>
      <c r="R78" s="433"/>
      <c r="S78" s="433"/>
      <c r="T78" s="433"/>
      <c r="U78" s="433"/>
      <c r="V78" s="433"/>
      <c r="W78" s="433"/>
      <c r="X78" s="433"/>
      <c r="Y78" s="433"/>
      <c r="Z78" s="343"/>
      <c r="AA78" s="343"/>
      <c r="AB78" s="343"/>
      <c r="AC78" s="343"/>
      <c r="AD78" s="343"/>
      <c r="AE78" s="343"/>
    </row>
    <row r="79" spans="1:31" ht="148.5" customHeight="1" x14ac:dyDescent="0.2">
      <c r="A79" s="433"/>
      <c r="B79" s="433"/>
      <c r="C79" s="433"/>
      <c r="D79" s="433"/>
      <c r="E79" s="433"/>
      <c r="F79" s="433"/>
      <c r="G79" s="433"/>
      <c r="H79" s="433"/>
      <c r="I79" s="433"/>
      <c r="J79" s="433"/>
      <c r="K79" s="433"/>
      <c r="L79" s="433"/>
      <c r="M79" s="433"/>
      <c r="N79" s="433"/>
      <c r="O79" s="433"/>
      <c r="P79" s="433"/>
      <c r="Q79" s="433"/>
      <c r="R79" s="433"/>
      <c r="S79" s="433"/>
      <c r="T79" s="433"/>
      <c r="U79" s="433"/>
      <c r="V79" s="433"/>
      <c r="W79" s="433"/>
      <c r="X79" s="433"/>
      <c r="Y79" s="433"/>
      <c r="Z79" s="343"/>
      <c r="AA79" s="343"/>
      <c r="AB79" s="343"/>
      <c r="AC79" s="343"/>
      <c r="AD79" s="343"/>
      <c r="AE79" s="343"/>
    </row>
    <row r="80" spans="1:31" ht="90" customHeight="1" x14ac:dyDescent="0.2">
      <c r="A80" s="433"/>
      <c r="B80" s="433"/>
      <c r="C80" s="433"/>
      <c r="D80" s="433"/>
      <c r="E80" s="433"/>
      <c r="F80" s="433"/>
      <c r="G80" s="433"/>
      <c r="H80" s="433"/>
      <c r="I80" s="433"/>
      <c r="J80" s="433"/>
      <c r="K80" s="433"/>
      <c r="L80" s="433"/>
      <c r="M80" s="433"/>
      <c r="N80" s="433"/>
      <c r="O80" s="433"/>
      <c r="P80" s="433"/>
      <c r="Q80" s="433"/>
      <c r="R80" s="433"/>
      <c r="S80" s="433"/>
      <c r="T80" s="433"/>
      <c r="U80" s="433"/>
      <c r="V80" s="433"/>
      <c r="W80" s="433"/>
      <c r="X80" s="433"/>
      <c r="Y80" s="433"/>
      <c r="Z80" s="343"/>
      <c r="AA80" s="343"/>
      <c r="AB80" s="343"/>
      <c r="AC80" s="343"/>
      <c r="AD80" s="343"/>
      <c r="AE80" s="343"/>
    </row>
    <row r="81" spans="1:31" ht="156" customHeight="1" x14ac:dyDescent="0.2">
      <c r="A81" s="433"/>
      <c r="B81" s="433"/>
      <c r="C81" s="433"/>
      <c r="D81" s="433"/>
      <c r="E81" s="433"/>
      <c r="F81" s="433"/>
      <c r="G81" s="433"/>
      <c r="H81" s="433"/>
      <c r="I81" s="433"/>
      <c r="J81" s="433"/>
      <c r="K81" s="433"/>
      <c r="L81" s="433"/>
      <c r="M81" s="433"/>
      <c r="N81" s="433"/>
      <c r="O81" s="433"/>
      <c r="P81" s="433"/>
      <c r="Q81" s="433"/>
      <c r="R81" s="433"/>
      <c r="S81" s="433"/>
      <c r="T81" s="433"/>
      <c r="U81" s="433"/>
      <c r="V81" s="433"/>
      <c r="W81" s="433"/>
      <c r="X81" s="433"/>
      <c r="Y81" s="433"/>
      <c r="Z81" s="343"/>
      <c r="AA81" s="343"/>
      <c r="AB81" s="343"/>
      <c r="AC81" s="343"/>
      <c r="AD81" s="343"/>
      <c r="AE81" s="343"/>
    </row>
    <row r="82" spans="1:31" ht="258" customHeight="1" x14ac:dyDescent="0.2">
      <c r="A82" s="433"/>
      <c r="B82" s="433"/>
      <c r="C82" s="433"/>
      <c r="D82" s="433"/>
      <c r="E82" s="433"/>
      <c r="F82" s="433"/>
      <c r="G82" s="433"/>
      <c r="H82" s="433"/>
      <c r="I82" s="433"/>
      <c r="J82" s="433"/>
      <c r="K82" s="433"/>
      <c r="L82" s="433"/>
      <c r="M82" s="433"/>
      <c r="N82" s="433"/>
      <c r="O82" s="433"/>
      <c r="P82" s="433"/>
      <c r="Q82" s="433"/>
      <c r="R82" s="433"/>
      <c r="S82" s="433"/>
      <c r="T82" s="433"/>
      <c r="U82" s="433"/>
      <c r="V82" s="433"/>
      <c r="W82" s="433"/>
      <c r="X82" s="433"/>
      <c r="Y82" s="433"/>
      <c r="Z82" s="343"/>
      <c r="AA82" s="343"/>
      <c r="AB82" s="343"/>
      <c r="AC82" s="343"/>
      <c r="AD82" s="343"/>
      <c r="AE82" s="343"/>
    </row>
    <row r="83" spans="1:31" ht="18.95" customHeight="1" x14ac:dyDescent="0.2">
      <c r="A83" s="433"/>
      <c r="B83" s="433"/>
      <c r="C83" s="433"/>
      <c r="D83" s="433"/>
      <c r="E83" s="433"/>
      <c r="F83" s="433"/>
      <c r="G83" s="433"/>
      <c r="H83" s="433"/>
      <c r="I83" s="433"/>
      <c r="J83" s="433"/>
      <c r="K83" s="433"/>
      <c r="L83" s="433"/>
      <c r="M83" s="433"/>
      <c r="N83" s="433"/>
      <c r="O83" s="433"/>
      <c r="P83" s="433"/>
      <c r="Q83" s="433"/>
      <c r="R83" s="433"/>
      <c r="S83" s="433"/>
      <c r="T83" s="433"/>
      <c r="U83" s="433"/>
      <c r="V83" s="433"/>
      <c r="W83" s="433"/>
      <c r="X83" s="433"/>
      <c r="Y83" s="433"/>
      <c r="Z83" s="343"/>
      <c r="AA83" s="343"/>
      <c r="AB83" s="343"/>
      <c r="AC83" s="343"/>
      <c r="AD83" s="343"/>
      <c r="AE83" s="343"/>
    </row>
    <row r="84" spans="1:31" ht="18.95" customHeight="1" x14ac:dyDescent="0.2">
      <c r="A84" s="433"/>
      <c r="B84" s="433"/>
      <c r="C84" s="433"/>
      <c r="D84" s="433"/>
      <c r="E84" s="433"/>
      <c r="F84" s="433"/>
      <c r="G84" s="433"/>
      <c r="H84" s="433"/>
      <c r="I84" s="433"/>
      <c r="J84" s="433"/>
      <c r="K84" s="433"/>
      <c r="L84" s="433"/>
      <c r="M84" s="433"/>
      <c r="N84" s="433"/>
      <c r="O84" s="433"/>
      <c r="P84" s="433"/>
      <c r="Q84" s="433"/>
      <c r="R84" s="433"/>
      <c r="S84" s="433"/>
      <c r="T84" s="433"/>
      <c r="U84" s="433"/>
      <c r="V84" s="433"/>
      <c r="W84" s="433"/>
      <c r="X84" s="433"/>
      <c r="Y84" s="433"/>
      <c r="Z84" s="343"/>
      <c r="AA84" s="343"/>
      <c r="AB84" s="343"/>
      <c r="AC84" s="343"/>
      <c r="AD84" s="343"/>
      <c r="AE84" s="343"/>
    </row>
    <row r="85" spans="1:31" ht="18.95" customHeight="1" x14ac:dyDescent="0.2">
      <c r="A85" s="433"/>
      <c r="B85" s="433"/>
      <c r="C85" s="433"/>
      <c r="D85" s="433"/>
      <c r="E85" s="433"/>
      <c r="F85" s="433"/>
      <c r="G85" s="433"/>
      <c r="H85" s="433"/>
      <c r="I85" s="433"/>
      <c r="J85" s="433"/>
      <c r="K85" s="433"/>
      <c r="L85" s="433"/>
      <c r="M85" s="433"/>
      <c r="N85" s="433"/>
      <c r="O85" s="433"/>
      <c r="P85" s="433"/>
      <c r="Q85" s="433"/>
      <c r="R85" s="433"/>
      <c r="S85" s="433"/>
      <c r="T85" s="433"/>
      <c r="U85" s="433"/>
      <c r="V85" s="433"/>
      <c r="W85" s="433"/>
      <c r="X85" s="433"/>
      <c r="Y85" s="433"/>
      <c r="Z85" s="343"/>
      <c r="AA85" s="343"/>
      <c r="AB85" s="343"/>
      <c r="AC85" s="343"/>
      <c r="AD85" s="343"/>
      <c r="AE85" s="343"/>
    </row>
    <row r="86" spans="1:31" ht="18.95" customHeight="1" x14ac:dyDescent="0.2">
      <c r="A86" s="433"/>
      <c r="B86" s="433"/>
      <c r="C86" s="433"/>
      <c r="D86" s="433"/>
      <c r="E86" s="433"/>
      <c r="F86" s="433"/>
      <c r="G86" s="433"/>
      <c r="H86" s="433"/>
      <c r="I86" s="433"/>
      <c r="J86" s="433"/>
      <c r="K86" s="433"/>
      <c r="L86" s="433"/>
      <c r="M86" s="433"/>
      <c r="N86" s="433"/>
      <c r="O86" s="433"/>
      <c r="P86" s="433"/>
      <c r="Q86" s="433"/>
      <c r="R86" s="433"/>
      <c r="S86" s="433"/>
      <c r="T86" s="433"/>
      <c r="U86" s="433"/>
      <c r="V86" s="433"/>
      <c r="W86" s="433"/>
      <c r="X86" s="433"/>
      <c r="Y86" s="433"/>
      <c r="Z86" s="343"/>
      <c r="AA86" s="343"/>
      <c r="AB86" s="343"/>
      <c r="AC86" s="343"/>
      <c r="AD86" s="343"/>
      <c r="AE86" s="343"/>
    </row>
    <row r="87" spans="1:31" ht="18.95" customHeight="1" x14ac:dyDescent="0.2">
      <c r="A87" s="433"/>
      <c r="B87" s="433"/>
      <c r="C87" s="433"/>
      <c r="D87" s="433"/>
      <c r="E87" s="433"/>
      <c r="F87" s="433"/>
      <c r="G87" s="433"/>
      <c r="H87" s="433"/>
      <c r="I87" s="433"/>
      <c r="J87" s="433"/>
      <c r="K87" s="433"/>
      <c r="L87" s="433"/>
      <c r="M87" s="433"/>
      <c r="N87" s="433"/>
      <c r="O87" s="433"/>
      <c r="P87" s="433"/>
      <c r="Q87" s="433"/>
      <c r="R87" s="433"/>
      <c r="S87" s="433"/>
      <c r="T87" s="433"/>
      <c r="U87" s="433"/>
      <c r="V87" s="433"/>
      <c r="W87" s="433"/>
      <c r="X87" s="433"/>
      <c r="Y87" s="433"/>
      <c r="Z87" s="343"/>
      <c r="AA87" s="343"/>
      <c r="AB87" s="343"/>
      <c r="AC87" s="343"/>
      <c r="AD87" s="343"/>
      <c r="AE87" s="343"/>
    </row>
    <row r="88" spans="1:31" ht="18.95" customHeight="1" x14ac:dyDescent="0.2">
      <c r="A88" s="433"/>
      <c r="B88" s="433"/>
      <c r="C88" s="433"/>
      <c r="D88" s="433"/>
      <c r="E88" s="433"/>
      <c r="F88" s="433"/>
      <c r="G88" s="433"/>
      <c r="H88" s="433"/>
      <c r="I88" s="433"/>
      <c r="J88" s="433"/>
      <c r="K88" s="433"/>
      <c r="L88" s="433"/>
      <c r="M88" s="433"/>
      <c r="N88" s="433"/>
      <c r="O88" s="433"/>
      <c r="P88" s="433"/>
      <c r="Q88" s="433"/>
      <c r="R88" s="433"/>
      <c r="S88" s="433"/>
      <c r="T88" s="433"/>
      <c r="U88" s="433"/>
      <c r="V88" s="433"/>
      <c r="W88" s="433"/>
      <c r="X88" s="433"/>
      <c r="Y88" s="433"/>
      <c r="Z88" s="343"/>
      <c r="AA88" s="343"/>
      <c r="AB88" s="343"/>
      <c r="AC88" s="343"/>
      <c r="AD88" s="343"/>
      <c r="AE88" s="343"/>
    </row>
    <row r="89" spans="1:31" ht="18.95" customHeight="1" x14ac:dyDescent="0.2">
      <c r="A89" s="433"/>
      <c r="B89" s="433"/>
      <c r="C89" s="433"/>
      <c r="D89" s="433"/>
      <c r="E89" s="433"/>
      <c r="F89" s="433"/>
      <c r="G89" s="433"/>
      <c r="H89" s="433"/>
      <c r="I89" s="433"/>
      <c r="J89" s="433"/>
      <c r="K89" s="433"/>
      <c r="L89" s="433"/>
      <c r="M89" s="433"/>
      <c r="N89" s="433"/>
      <c r="O89" s="433"/>
      <c r="P89" s="433"/>
      <c r="Q89" s="433"/>
      <c r="R89" s="433"/>
      <c r="S89" s="433"/>
      <c r="T89" s="433"/>
      <c r="U89" s="433"/>
      <c r="V89" s="433"/>
      <c r="W89" s="433"/>
      <c r="X89" s="433"/>
      <c r="Y89" s="433"/>
      <c r="Z89" s="343"/>
      <c r="AA89" s="343"/>
      <c r="AB89" s="343"/>
      <c r="AC89" s="343"/>
      <c r="AD89" s="343"/>
      <c r="AE89" s="343"/>
    </row>
    <row r="90" spans="1:31" ht="18.95" customHeight="1" x14ac:dyDescent="0.2">
      <c r="A90" s="433"/>
      <c r="B90" s="433"/>
      <c r="C90" s="433"/>
      <c r="D90" s="433"/>
      <c r="E90" s="433"/>
      <c r="F90" s="433"/>
      <c r="G90" s="433"/>
      <c r="H90" s="433"/>
      <c r="I90" s="433"/>
      <c r="J90" s="433"/>
      <c r="K90" s="433"/>
      <c r="L90" s="433"/>
      <c r="M90" s="433"/>
      <c r="N90" s="433"/>
      <c r="O90" s="433"/>
      <c r="P90" s="433"/>
      <c r="Q90" s="433"/>
      <c r="R90" s="433"/>
      <c r="S90" s="433"/>
      <c r="T90" s="433"/>
      <c r="U90" s="433"/>
      <c r="V90" s="433"/>
      <c r="W90" s="433"/>
      <c r="X90" s="433"/>
      <c r="Y90" s="433"/>
      <c r="Z90" s="343"/>
      <c r="AA90" s="343"/>
      <c r="AB90" s="343"/>
      <c r="AC90" s="343"/>
      <c r="AD90" s="343"/>
      <c r="AE90" s="343"/>
    </row>
    <row r="91" spans="1:31" ht="18.95" customHeight="1" x14ac:dyDescent="0.2">
      <c r="A91" s="433"/>
      <c r="B91" s="433"/>
      <c r="C91" s="433"/>
      <c r="D91" s="433"/>
      <c r="E91" s="433"/>
      <c r="F91" s="433"/>
      <c r="G91" s="433"/>
      <c r="H91" s="433"/>
      <c r="I91" s="433"/>
      <c r="J91" s="433"/>
      <c r="K91" s="433"/>
      <c r="L91" s="433"/>
      <c r="M91" s="433"/>
      <c r="N91" s="433"/>
      <c r="O91" s="433"/>
      <c r="P91" s="433"/>
      <c r="Q91" s="433"/>
      <c r="R91" s="433"/>
      <c r="S91" s="433"/>
      <c r="T91" s="433"/>
      <c r="U91" s="433"/>
      <c r="V91" s="433"/>
      <c r="W91" s="433"/>
      <c r="X91" s="433"/>
      <c r="Y91" s="433"/>
    </row>
    <row r="92" spans="1:31" ht="18.95" customHeight="1" x14ac:dyDescent="0.2">
      <c r="A92" s="433"/>
      <c r="B92" s="433"/>
      <c r="C92" s="433"/>
      <c r="D92" s="433"/>
      <c r="E92" s="433"/>
      <c r="F92" s="433"/>
      <c r="G92" s="433"/>
      <c r="H92" s="433"/>
      <c r="I92" s="433"/>
      <c r="J92" s="433"/>
      <c r="K92" s="433"/>
      <c r="L92" s="433"/>
      <c r="M92" s="433"/>
      <c r="N92" s="433"/>
      <c r="O92" s="433"/>
      <c r="P92" s="433"/>
      <c r="Q92" s="433"/>
      <c r="R92" s="433"/>
      <c r="S92" s="433"/>
      <c r="T92" s="433"/>
      <c r="U92" s="433"/>
      <c r="V92" s="433"/>
      <c r="W92" s="433"/>
      <c r="X92" s="433"/>
      <c r="Y92" s="433"/>
    </row>
    <row r="93" spans="1:31" ht="18.95" customHeight="1" x14ac:dyDescent="0.2">
      <c r="A93" s="433"/>
      <c r="B93" s="433"/>
      <c r="C93" s="433"/>
      <c r="D93" s="433"/>
      <c r="E93" s="433"/>
      <c r="F93" s="433"/>
      <c r="G93" s="433"/>
      <c r="H93" s="433"/>
      <c r="I93" s="433"/>
      <c r="J93" s="433"/>
      <c r="K93" s="433"/>
      <c r="L93" s="433"/>
      <c r="M93" s="433"/>
      <c r="N93" s="433"/>
      <c r="O93" s="433"/>
      <c r="P93" s="433"/>
      <c r="Q93" s="433"/>
      <c r="R93" s="433"/>
      <c r="S93" s="433"/>
      <c r="T93" s="433"/>
      <c r="U93" s="433"/>
      <c r="V93" s="433"/>
      <c r="W93" s="433"/>
      <c r="X93" s="433"/>
      <c r="Y93" s="433"/>
    </row>
    <row r="94" spans="1:31" ht="18.95" customHeight="1" x14ac:dyDescent="0.2">
      <c r="A94" s="433"/>
      <c r="B94" s="433"/>
      <c r="C94" s="433"/>
      <c r="D94" s="433"/>
      <c r="E94" s="433"/>
      <c r="F94" s="433"/>
      <c r="G94" s="433"/>
      <c r="H94" s="433"/>
      <c r="I94" s="433"/>
      <c r="J94" s="433"/>
      <c r="K94" s="433"/>
      <c r="L94" s="433"/>
      <c r="M94" s="433"/>
      <c r="N94" s="433"/>
      <c r="O94" s="433"/>
      <c r="P94" s="433"/>
      <c r="Q94" s="433"/>
      <c r="R94" s="433"/>
      <c r="S94" s="433"/>
      <c r="T94" s="433"/>
      <c r="U94" s="433"/>
      <c r="V94" s="433"/>
      <c r="W94" s="433"/>
      <c r="X94" s="433"/>
      <c r="Y94" s="433"/>
    </row>
    <row r="95" spans="1:31" ht="12.75" customHeight="1" x14ac:dyDescent="0.25">
      <c r="A95" s="96"/>
    </row>
    <row r="96" spans="1:31" ht="12.75" customHeight="1" x14ac:dyDescent="0.2">
      <c r="A96" s="434" t="s">
        <v>50</v>
      </c>
    </row>
    <row r="97" spans="1:1" ht="12.75" customHeight="1" x14ac:dyDescent="0.2">
      <c r="A97" s="435"/>
    </row>
    <row r="98" spans="1:1" ht="12.75" customHeight="1" x14ac:dyDescent="0.2">
      <c r="A98" s="435"/>
    </row>
    <row r="99" spans="1:1" ht="249.75" customHeight="1" x14ac:dyDescent="0.2">
      <c r="A99" s="97"/>
    </row>
    <row r="100" spans="1:1" x14ac:dyDescent="0.2">
      <c r="A100" s="98"/>
    </row>
    <row r="101" spans="1:1" x14ac:dyDescent="0.2">
      <c r="A101" s="98"/>
    </row>
    <row r="102" spans="1:1" x14ac:dyDescent="0.2">
      <c r="A102" s="98"/>
    </row>
    <row r="103" spans="1:1" x14ac:dyDescent="0.2">
      <c r="A103" s="98"/>
    </row>
    <row r="104" spans="1:1" x14ac:dyDescent="0.2">
      <c r="A104" s="98"/>
    </row>
    <row r="105" spans="1:1" x14ac:dyDescent="0.2">
      <c r="A105" s="98"/>
    </row>
    <row r="106" spans="1:1" x14ac:dyDescent="0.2">
      <c r="A106" s="98"/>
    </row>
    <row r="141" spans="6:15" x14ac:dyDescent="0.2">
      <c r="J141" s="3" t="s">
        <v>51</v>
      </c>
      <c r="K141" s="3" t="s">
        <v>52</v>
      </c>
    </row>
    <row r="142" spans="6:15" s="99" customFormat="1" x14ac:dyDescent="0.2">
      <c r="F142" s="99">
        <v>0</v>
      </c>
      <c r="G142" s="99">
        <v>0</v>
      </c>
      <c r="H142" s="99">
        <v>0</v>
      </c>
      <c r="I142" s="99">
        <v>0</v>
      </c>
      <c r="J142" s="99">
        <v>0</v>
      </c>
      <c r="K142" s="99">
        <v>0</v>
      </c>
      <c r="L142" s="99">
        <v>0</v>
      </c>
      <c r="M142" s="99">
        <v>0</v>
      </c>
      <c r="N142" s="99" t="str">
        <f>+CONCATENATE(G142,"VEHICULO",M142)</f>
        <v>0VEHICULO0</v>
      </c>
      <c r="O142" s="302"/>
    </row>
    <row r="143" spans="6:15" s="99" customFormat="1" x14ac:dyDescent="0.2">
      <c r="F143" s="284" t="s">
        <v>230</v>
      </c>
      <c r="G143" s="284" t="s">
        <v>53</v>
      </c>
      <c r="H143" s="284" t="s">
        <v>351</v>
      </c>
      <c r="I143" s="285">
        <v>1955007</v>
      </c>
      <c r="J143" s="285" t="s">
        <v>54</v>
      </c>
      <c r="K143" s="286">
        <v>4</v>
      </c>
      <c r="L143" s="284" t="s">
        <v>55</v>
      </c>
      <c r="M143" s="284" t="s">
        <v>56</v>
      </c>
      <c r="N143" s="284" t="str">
        <f>+CONCATENATE(G143,F143)</f>
        <v>1.40m³/50m³ -15H-4OP</v>
      </c>
      <c r="O143" s="302"/>
    </row>
    <row r="144" spans="6:15" s="99" customFormat="1" x14ac:dyDescent="0.2">
      <c r="F144" s="284" t="s">
        <v>231</v>
      </c>
      <c r="G144" s="99" t="s">
        <v>57</v>
      </c>
      <c r="H144" s="284" t="s">
        <v>352</v>
      </c>
      <c r="I144" s="100">
        <v>1795972</v>
      </c>
      <c r="J144" s="100" t="s">
        <v>54</v>
      </c>
      <c r="K144" s="101">
        <v>3</v>
      </c>
      <c r="L144" s="99" t="s">
        <v>58</v>
      </c>
      <c r="M144" s="99" t="s">
        <v>56</v>
      </c>
      <c r="N144" s="99" t="str">
        <f t="shared" ref="N144:N219" si="20">+CONCATENATE(G144,F144)</f>
        <v>2.40m³/50m³ -15H-3OP</v>
      </c>
      <c r="O144" s="302"/>
    </row>
    <row r="145" spans="6:15" s="99" customFormat="1" x14ac:dyDescent="0.2">
      <c r="F145" s="99" t="s">
        <v>232</v>
      </c>
      <c r="G145" s="99" t="s">
        <v>59</v>
      </c>
      <c r="H145" s="99" t="s">
        <v>353</v>
      </c>
      <c r="I145" s="100">
        <v>1435144</v>
      </c>
      <c r="J145" s="100" t="s">
        <v>54</v>
      </c>
      <c r="K145" s="101">
        <v>2</v>
      </c>
      <c r="L145" s="99" t="s">
        <v>60</v>
      </c>
      <c r="M145" s="99" t="s">
        <v>56</v>
      </c>
      <c r="N145" s="99" t="str">
        <f t="shared" si="20"/>
        <v>3.40m³/50m³-15H-2OP</v>
      </c>
      <c r="O145" s="302"/>
    </row>
    <row r="146" spans="6:15" s="99" customFormat="1" x14ac:dyDescent="0.2">
      <c r="F146" s="99" t="s">
        <v>233</v>
      </c>
      <c r="G146" s="99" t="s">
        <v>61</v>
      </c>
      <c r="H146" s="99" t="s">
        <v>354</v>
      </c>
      <c r="I146" s="100">
        <v>942678</v>
      </c>
      <c r="J146" s="100" t="s">
        <v>54</v>
      </c>
      <c r="K146" s="101">
        <v>1</v>
      </c>
      <c r="L146" s="99" t="s">
        <v>62</v>
      </c>
      <c r="M146" s="99" t="s">
        <v>56</v>
      </c>
      <c r="N146" s="99" t="str">
        <f t="shared" si="20"/>
        <v>4.40m³/50m³-15H-1OP</v>
      </c>
      <c r="O146" s="302"/>
    </row>
    <row r="147" spans="6:15" s="99" customFormat="1" x14ac:dyDescent="0.2">
      <c r="F147" s="99" t="s">
        <v>234</v>
      </c>
      <c r="G147" s="99" t="s">
        <v>63</v>
      </c>
      <c r="H147" s="99" t="s">
        <v>355</v>
      </c>
      <c r="I147" s="100">
        <v>745988</v>
      </c>
      <c r="J147" s="100" t="s">
        <v>54</v>
      </c>
      <c r="K147" s="101">
        <v>0</v>
      </c>
      <c r="L147" s="99" t="s">
        <v>64</v>
      </c>
      <c r="M147" s="99" t="s">
        <v>56</v>
      </c>
      <c r="N147" s="99" t="str">
        <f t="shared" si="20"/>
        <v>5.40m³/50m³-15H-0OP</v>
      </c>
      <c r="O147" s="302"/>
    </row>
    <row r="148" spans="6:15" s="99" customFormat="1" x14ac:dyDescent="0.2">
      <c r="F148" s="99" t="s">
        <v>235</v>
      </c>
      <c r="G148" s="99" t="s">
        <v>65</v>
      </c>
      <c r="H148" s="99" t="s">
        <v>356</v>
      </c>
      <c r="I148" s="100">
        <v>1665773</v>
      </c>
      <c r="J148" s="100" t="s">
        <v>66</v>
      </c>
      <c r="K148" s="101">
        <v>4</v>
      </c>
      <c r="L148" s="99" t="s">
        <v>67</v>
      </c>
      <c r="M148" s="99" t="s">
        <v>56</v>
      </c>
      <c r="N148" s="99" t="str">
        <f t="shared" si="20"/>
        <v>6.40m³/50m³-9H-4OP</v>
      </c>
      <c r="O148" s="302"/>
    </row>
    <row r="149" spans="6:15" s="99" customFormat="1" x14ac:dyDescent="0.2">
      <c r="F149" s="99" t="s">
        <v>236</v>
      </c>
      <c r="G149" s="99" t="s">
        <v>68</v>
      </c>
      <c r="H149" s="99" t="s">
        <v>357</v>
      </c>
      <c r="I149" s="100">
        <v>1499814</v>
      </c>
      <c r="J149" s="100" t="s">
        <v>66</v>
      </c>
      <c r="K149" s="101">
        <v>3</v>
      </c>
      <c r="L149" s="99" t="s">
        <v>69</v>
      </c>
      <c r="M149" s="99" t="s">
        <v>56</v>
      </c>
      <c r="N149" s="99" t="str">
        <f t="shared" si="20"/>
        <v>7.40m³/50m³-9H-3OP</v>
      </c>
      <c r="O149" s="302"/>
    </row>
    <row r="150" spans="6:15" s="99" customFormat="1" x14ac:dyDescent="0.2">
      <c r="F150" s="99" t="s">
        <v>237</v>
      </c>
      <c r="G150" s="99" t="s">
        <v>70</v>
      </c>
      <c r="H150" s="99" t="s">
        <v>358</v>
      </c>
      <c r="I150" s="100">
        <v>1222505</v>
      </c>
      <c r="J150" s="100" t="s">
        <v>66</v>
      </c>
      <c r="K150" s="101">
        <v>2</v>
      </c>
      <c r="L150" s="99" t="s">
        <v>71</v>
      </c>
      <c r="M150" s="99" t="s">
        <v>56</v>
      </c>
      <c r="N150" s="99" t="str">
        <f t="shared" si="20"/>
        <v>8.40m³/50m³-9H-2OP</v>
      </c>
      <c r="O150" s="302"/>
    </row>
    <row r="151" spans="6:15" s="99" customFormat="1" x14ac:dyDescent="0.2">
      <c r="F151" s="99" t="s">
        <v>238</v>
      </c>
      <c r="G151" s="99" t="s">
        <v>72</v>
      </c>
      <c r="H151" s="99" t="s">
        <v>359</v>
      </c>
      <c r="I151" s="100">
        <v>769092</v>
      </c>
      <c r="J151" s="100" t="s">
        <v>66</v>
      </c>
      <c r="K151" s="101">
        <v>1</v>
      </c>
      <c r="L151" s="99" t="s">
        <v>73</v>
      </c>
      <c r="M151" s="99" t="s">
        <v>56</v>
      </c>
      <c r="N151" s="99" t="str">
        <f t="shared" si="20"/>
        <v>9.40m³/50m³-9H-1OP</v>
      </c>
      <c r="O151" s="302"/>
    </row>
    <row r="152" spans="6:15" s="99" customFormat="1" x14ac:dyDescent="0.2">
      <c r="F152" s="99" t="s">
        <v>239</v>
      </c>
      <c r="G152" s="99" t="s">
        <v>74</v>
      </c>
      <c r="H152" s="99" t="s">
        <v>360</v>
      </c>
      <c r="I152" s="100">
        <v>604794</v>
      </c>
      <c r="J152" s="100" t="s">
        <v>66</v>
      </c>
      <c r="K152" s="101">
        <v>0</v>
      </c>
      <c r="L152" s="99" t="s">
        <v>75</v>
      </c>
      <c r="M152" s="99" t="s">
        <v>56</v>
      </c>
      <c r="N152" s="99" t="str">
        <f t="shared" si="20"/>
        <v>10.40m³/50m³-9H-0OP</v>
      </c>
      <c r="O152" s="302"/>
    </row>
    <row r="153" spans="6:15" s="99" customFormat="1" x14ac:dyDescent="0.2">
      <c r="F153" s="99" t="s">
        <v>240</v>
      </c>
      <c r="G153" s="99" t="s">
        <v>76</v>
      </c>
      <c r="H153" s="99" t="s">
        <v>361</v>
      </c>
      <c r="I153" s="100">
        <v>1382917</v>
      </c>
      <c r="J153" s="100" t="s">
        <v>77</v>
      </c>
      <c r="K153" s="101">
        <v>4</v>
      </c>
      <c r="L153" s="99" t="s">
        <v>78</v>
      </c>
      <c r="M153" s="99" t="s">
        <v>56</v>
      </c>
      <c r="N153" s="99" t="str">
        <f t="shared" si="20"/>
        <v>11.40m³/50m³-4H-4OP</v>
      </c>
      <c r="O153" s="302"/>
    </row>
    <row r="154" spans="6:15" s="99" customFormat="1" x14ac:dyDescent="0.2">
      <c r="F154" s="99" t="s">
        <v>241</v>
      </c>
      <c r="G154" s="99" t="s">
        <v>79</v>
      </c>
      <c r="H154" s="99" t="s">
        <v>362</v>
      </c>
      <c r="I154" s="100">
        <v>1230935</v>
      </c>
      <c r="J154" s="100" t="s">
        <v>77</v>
      </c>
      <c r="K154" s="101">
        <v>3</v>
      </c>
      <c r="L154" s="99" t="s">
        <v>80</v>
      </c>
      <c r="M154" s="99" t="s">
        <v>56</v>
      </c>
      <c r="N154" s="99" t="str">
        <f t="shared" si="20"/>
        <v>12.40m³/50m³-4H-3OP</v>
      </c>
      <c r="O154" s="302"/>
    </row>
    <row r="155" spans="6:15" s="99" customFormat="1" x14ac:dyDescent="0.2">
      <c r="F155" s="99" t="s">
        <v>242</v>
      </c>
      <c r="G155" s="99" t="s">
        <v>81</v>
      </c>
      <c r="H155" s="99" t="s">
        <v>363</v>
      </c>
      <c r="I155" s="100">
        <v>1081630</v>
      </c>
      <c r="J155" s="100" t="s">
        <v>77</v>
      </c>
      <c r="K155" s="101">
        <v>2</v>
      </c>
      <c r="L155" s="99" t="s">
        <v>82</v>
      </c>
      <c r="M155" s="99" t="s">
        <v>56</v>
      </c>
      <c r="N155" s="99" t="str">
        <f t="shared" si="20"/>
        <v>13.40m³/50m³-4H-2OP</v>
      </c>
      <c r="O155" s="302"/>
    </row>
    <row r="156" spans="6:15" s="99" customFormat="1" x14ac:dyDescent="0.2">
      <c r="F156" s="99" t="s">
        <v>243</v>
      </c>
      <c r="G156" s="99" t="s">
        <v>83</v>
      </c>
      <c r="H156" s="99" t="s">
        <v>364</v>
      </c>
      <c r="I156" s="100">
        <v>575460</v>
      </c>
      <c r="J156" s="100" t="s">
        <v>77</v>
      </c>
      <c r="K156" s="101">
        <v>1</v>
      </c>
      <c r="L156" s="99" t="s">
        <v>84</v>
      </c>
      <c r="M156" s="99" t="s">
        <v>56</v>
      </c>
      <c r="N156" s="99" t="str">
        <f t="shared" si="20"/>
        <v>14.40m³/50m³-4H-1OP</v>
      </c>
      <c r="O156" s="302"/>
    </row>
    <row r="157" spans="6:15" s="99" customFormat="1" x14ac:dyDescent="0.2">
      <c r="F157" s="99" t="s">
        <v>244</v>
      </c>
      <c r="G157" s="99" t="s">
        <v>85</v>
      </c>
      <c r="H157" s="99" t="s">
        <v>365</v>
      </c>
      <c r="I157" s="100">
        <v>477806</v>
      </c>
      <c r="J157" s="100" t="s">
        <v>77</v>
      </c>
      <c r="K157" s="101">
        <v>0</v>
      </c>
      <c r="L157" s="99" t="s">
        <v>86</v>
      </c>
      <c r="M157" s="99" t="s">
        <v>56</v>
      </c>
      <c r="N157" s="99" t="str">
        <f t="shared" si="20"/>
        <v>15.40m³50m³-4H-0OP</v>
      </c>
      <c r="O157" s="302"/>
    </row>
    <row r="158" spans="6:15" s="99" customFormat="1" x14ac:dyDescent="0.2">
      <c r="F158" s="99" t="s">
        <v>87</v>
      </c>
      <c r="G158" s="99" t="s">
        <v>88</v>
      </c>
      <c r="H158" s="99" t="s">
        <v>366</v>
      </c>
      <c r="I158" s="100">
        <v>1691890</v>
      </c>
      <c r="J158" s="100" t="s">
        <v>54</v>
      </c>
      <c r="K158" s="101">
        <v>4</v>
      </c>
      <c r="L158" s="99" t="s">
        <v>89</v>
      </c>
      <c r="M158" s="99" t="s">
        <v>56</v>
      </c>
      <c r="N158" s="99" t="str">
        <f t="shared" si="20"/>
        <v>16.25m³-15H-4OP</v>
      </c>
      <c r="O158" s="302"/>
    </row>
    <row r="159" spans="6:15" s="99" customFormat="1" x14ac:dyDescent="0.2">
      <c r="F159" s="99" t="s">
        <v>90</v>
      </c>
      <c r="G159" s="99" t="s">
        <v>91</v>
      </c>
      <c r="H159" s="99" t="s">
        <v>367</v>
      </c>
      <c r="I159" s="100">
        <v>1505234</v>
      </c>
      <c r="J159" s="100" t="s">
        <v>54</v>
      </c>
      <c r="K159" s="101">
        <v>3</v>
      </c>
      <c r="L159" s="99" t="s">
        <v>92</v>
      </c>
      <c r="M159" s="99" t="s">
        <v>56</v>
      </c>
      <c r="N159" s="99" t="str">
        <f t="shared" si="20"/>
        <v>17.25m³-15H-3OP</v>
      </c>
      <c r="O159" s="302"/>
    </row>
    <row r="160" spans="6:15" s="99" customFormat="1" x14ac:dyDescent="0.2">
      <c r="F160" s="99" t="s">
        <v>93</v>
      </c>
      <c r="G160" s="99" t="s">
        <v>94</v>
      </c>
      <c r="H160" s="99" t="s">
        <v>368</v>
      </c>
      <c r="I160" s="100">
        <v>1308251</v>
      </c>
      <c r="J160" s="100" t="s">
        <v>54</v>
      </c>
      <c r="K160" s="101">
        <v>2</v>
      </c>
      <c r="L160" s="99" t="s">
        <v>95</v>
      </c>
      <c r="M160" s="99" t="s">
        <v>56</v>
      </c>
      <c r="N160" s="99" t="str">
        <f t="shared" si="20"/>
        <v>18.25m³-15H-2OP</v>
      </c>
      <c r="O160" s="302"/>
    </row>
    <row r="161" spans="6:15" s="99" customFormat="1" x14ac:dyDescent="0.2">
      <c r="F161" s="99" t="s">
        <v>96</v>
      </c>
      <c r="G161" s="99" t="s">
        <v>97</v>
      </c>
      <c r="H161" s="99" t="s">
        <v>369</v>
      </c>
      <c r="I161" s="100">
        <v>1097977</v>
      </c>
      <c r="J161" s="100" t="s">
        <v>54</v>
      </c>
      <c r="K161" s="101">
        <v>1</v>
      </c>
      <c r="L161" s="99" t="s">
        <v>98</v>
      </c>
      <c r="M161" s="99" t="s">
        <v>56</v>
      </c>
      <c r="N161" s="99" t="str">
        <f t="shared" si="20"/>
        <v>19.25m³-15H-1OP</v>
      </c>
      <c r="O161" s="302"/>
    </row>
    <row r="162" spans="6:15" s="99" customFormat="1" x14ac:dyDescent="0.2">
      <c r="F162" s="99" t="s">
        <v>99</v>
      </c>
      <c r="G162" s="99" t="s">
        <v>100</v>
      </c>
      <c r="H162" s="99" t="s">
        <v>370</v>
      </c>
      <c r="I162" s="100">
        <v>861675</v>
      </c>
      <c r="J162" s="100" t="s">
        <v>54</v>
      </c>
      <c r="K162" s="101">
        <v>0</v>
      </c>
      <c r="L162" s="99" t="s">
        <v>101</v>
      </c>
      <c r="M162" s="99" t="s">
        <v>56</v>
      </c>
      <c r="N162" s="99" t="str">
        <f t="shared" si="20"/>
        <v>20.25m³-15H-0OP</v>
      </c>
      <c r="O162" s="302"/>
    </row>
    <row r="163" spans="6:15" s="99" customFormat="1" x14ac:dyDescent="0.2">
      <c r="F163" s="99" t="s">
        <v>102</v>
      </c>
      <c r="G163" s="99" t="s">
        <v>103</v>
      </c>
      <c r="H163" s="99" t="s">
        <v>371</v>
      </c>
      <c r="I163" s="100">
        <v>1457200</v>
      </c>
      <c r="J163" s="100" t="s">
        <v>66</v>
      </c>
      <c r="K163" s="101">
        <v>4</v>
      </c>
      <c r="L163" s="99" t="s">
        <v>104</v>
      </c>
      <c r="M163" s="99" t="s">
        <v>56</v>
      </c>
      <c r="N163" s="99" t="str">
        <f t="shared" si="20"/>
        <v>21.25m³-9H-4OP</v>
      </c>
      <c r="O163" s="302"/>
    </row>
    <row r="164" spans="6:15" s="99" customFormat="1" x14ac:dyDescent="0.2">
      <c r="F164" s="99" t="s">
        <v>105</v>
      </c>
      <c r="G164" s="99" t="s">
        <v>106</v>
      </c>
      <c r="H164" s="99" t="s">
        <v>372</v>
      </c>
      <c r="I164" s="100">
        <v>1312665</v>
      </c>
      <c r="J164" s="100" t="s">
        <v>66</v>
      </c>
      <c r="K164" s="101">
        <v>3</v>
      </c>
      <c r="L164" s="99" t="s">
        <v>107</v>
      </c>
      <c r="M164" s="99" t="s">
        <v>56</v>
      </c>
      <c r="N164" s="99" t="str">
        <f t="shared" si="20"/>
        <v>22.25m³-9H-3OP</v>
      </c>
      <c r="O164" s="302"/>
    </row>
    <row r="165" spans="6:15" s="99" customFormat="1" x14ac:dyDescent="0.2">
      <c r="F165" s="99" t="s">
        <v>108</v>
      </c>
      <c r="G165" s="99" t="s">
        <v>109</v>
      </c>
      <c r="H165" s="99" t="s">
        <v>373</v>
      </c>
      <c r="I165" s="100">
        <v>1175229</v>
      </c>
      <c r="J165" s="100" t="s">
        <v>66</v>
      </c>
      <c r="K165" s="101">
        <v>2</v>
      </c>
      <c r="L165" s="99" t="s">
        <v>110</v>
      </c>
      <c r="M165" s="99" t="s">
        <v>56</v>
      </c>
      <c r="N165" s="99" t="str">
        <f t="shared" si="20"/>
        <v>23.25m³-9H-2OP</v>
      </c>
      <c r="O165" s="302"/>
    </row>
    <row r="166" spans="6:15" s="99" customFormat="1" x14ac:dyDescent="0.2">
      <c r="F166" s="99" t="s">
        <v>111</v>
      </c>
      <c r="G166" s="99" t="s">
        <v>112</v>
      </c>
      <c r="H166" s="99" t="s">
        <v>374</v>
      </c>
      <c r="I166" s="100">
        <v>873501</v>
      </c>
      <c r="J166" s="100" t="s">
        <v>66</v>
      </c>
      <c r="K166" s="101">
        <v>1</v>
      </c>
      <c r="L166" s="99" t="s">
        <v>113</v>
      </c>
      <c r="M166" s="99" t="s">
        <v>56</v>
      </c>
      <c r="N166" s="99" t="str">
        <f t="shared" si="20"/>
        <v>24.25m³-9H-1OP</v>
      </c>
      <c r="O166" s="302"/>
    </row>
    <row r="167" spans="6:15" s="99" customFormat="1" x14ac:dyDescent="0.2">
      <c r="F167" s="99" t="s">
        <v>114</v>
      </c>
      <c r="G167" s="99" t="s">
        <v>115</v>
      </c>
      <c r="H167" s="99" t="s">
        <v>375</v>
      </c>
      <c r="I167" s="100">
        <v>530672</v>
      </c>
      <c r="J167" s="100" t="s">
        <v>66</v>
      </c>
      <c r="K167" s="101">
        <v>0</v>
      </c>
      <c r="L167" s="99" t="s">
        <v>116</v>
      </c>
      <c r="M167" s="99" t="s">
        <v>56</v>
      </c>
      <c r="N167" s="99" t="str">
        <f t="shared" si="20"/>
        <v>25.25m³-9H-0OP</v>
      </c>
      <c r="O167" s="302"/>
    </row>
    <row r="168" spans="6:15" s="99" customFormat="1" x14ac:dyDescent="0.2">
      <c r="F168" s="99" t="s">
        <v>117</v>
      </c>
      <c r="G168" s="99" t="s">
        <v>118</v>
      </c>
      <c r="H168" s="99" t="s">
        <v>376</v>
      </c>
      <c r="I168" s="100">
        <v>1031685</v>
      </c>
      <c r="J168" s="100" t="s">
        <v>77</v>
      </c>
      <c r="K168" s="101">
        <v>4</v>
      </c>
      <c r="L168" s="99" t="s">
        <v>119</v>
      </c>
      <c r="M168" s="99" t="s">
        <v>56</v>
      </c>
      <c r="N168" s="99" t="str">
        <f t="shared" si="20"/>
        <v>26.25m³-4H-4OP</v>
      </c>
      <c r="O168" s="302"/>
    </row>
    <row r="169" spans="6:15" s="99" customFormat="1" x14ac:dyDescent="0.2">
      <c r="F169" s="99" t="s">
        <v>120</v>
      </c>
      <c r="G169" s="99" t="s">
        <v>121</v>
      </c>
      <c r="H169" s="99" t="s">
        <v>377</v>
      </c>
      <c r="I169" s="100">
        <v>1092868</v>
      </c>
      <c r="J169" s="100" t="s">
        <v>77</v>
      </c>
      <c r="K169" s="101">
        <v>3</v>
      </c>
      <c r="L169" s="99" t="s">
        <v>122</v>
      </c>
      <c r="M169" s="99" t="s">
        <v>56</v>
      </c>
      <c r="N169" s="99" t="str">
        <f t="shared" si="20"/>
        <v>27.25m³-4H-3OP</v>
      </c>
      <c r="O169" s="302"/>
    </row>
    <row r="170" spans="6:15" s="99" customFormat="1" x14ac:dyDescent="0.2">
      <c r="F170" s="99" t="s">
        <v>123</v>
      </c>
      <c r="G170" s="99" t="s">
        <v>124</v>
      </c>
      <c r="H170" s="99" t="s">
        <v>378</v>
      </c>
      <c r="I170" s="100">
        <v>961567</v>
      </c>
      <c r="J170" s="100" t="s">
        <v>77</v>
      </c>
      <c r="K170" s="101">
        <v>2</v>
      </c>
      <c r="L170" s="99" t="s">
        <v>125</v>
      </c>
      <c r="M170" s="99" t="s">
        <v>56</v>
      </c>
      <c r="N170" s="99" t="str">
        <f t="shared" si="20"/>
        <v>28.25m³-4H-2OP</v>
      </c>
      <c r="O170" s="302"/>
    </row>
    <row r="171" spans="6:15" s="99" customFormat="1" x14ac:dyDescent="0.2">
      <c r="F171" s="99" t="s">
        <v>126</v>
      </c>
      <c r="G171" s="99" t="s">
        <v>127</v>
      </c>
      <c r="H171" s="99" t="s">
        <v>379</v>
      </c>
      <c r="I171" s="100">
        <v>463364</v>
      </c>
      <c r="J171" s="100" t="s">
        <v>77</v>
      </c>
      <c r="K171" s="101">
        <v>1</v>
      </c>
      <c r="L171" s="99" t="s">
        <v>128</v>
      </c>
      <c r="M171" s="99" t="s">
        <v>56</v>
      </c>
      <c r="N171" s="99" t="str">
        <f t="shared" si="20"/>
        <v>29.25m³-4H-1OP</v>
      </c>
      <c r="O171" s="302"/>
    </row>
    <row r="172" spans="6:15" s="99" customFormat="1" x14ac:dyDescent="0.2">
      <c r="F172" s="99" t="s">
        <v>129</v>
      </c>
      <c r="G172" s="99" t="s">
        <v>130</v>
      </c>
      <c r="H172" s="99" t="s">
        <v>380</v>
      </c>
      <c r="I172" s="100">
        <v>429635</v>
      </c>
      <c r="J172" s="100" t="s">
        <v>77</v>
      </c>
      <c r="K172" s="101">
        <v>0</v>
      </c>
      <c r="L172" s="99" t="s">
        <v>131</v>
      </c>
      <c r="M172" s="99" t="s">
        <v>56</v>
      </c>
      <c r="N172" s="99" t="str">
        <f t="shared" si="20"/>
        <v>30.25m³-4H-0OP</v>
      </c>
      <c r="O172" s="302"/>
    </row>
    <row r="173" spans="6:15" s="99" customFormat="1" x14ac:dyDescent="0.2">
      <c r="F173" s="99" t="s">
        <v>132</v>
      </c>
      <c r="G173" s="99" t="s">
        <v>133</v>
      </c>
      <c r="H173" s="99" t="s">
        <v>394</v>
      </c>
      <c r="I173" s="100">
        <v>1019917</v>
      </c>
      <c r="J173" s="100" t="s">
        <v>54</v>
      </c>
      <c r="K173" s="101">
        <v>0</v>
      </c>
      <c r="L173" s="99" t="s">
        <v>134</v>
      </c>
      <c r="M173" s="99" t="s">
        <v>56</v>
      </c>
      <c r="N173" s="99" t="str">
        <f t="shared" si="20"/>
        <v>31.FURGON-15H</v>
      </c>
      <c r="O173" s="302"/>
    </row>
    <row r="174" spans="6:15" s="99" customFormat="1" x14ac:dyDescent="0.2">
      <c r="F174" s="99" t="s">
        <v>132</v>
      </c>
      <c r="G174" s="99" t="s">
        <v>136</v>
      </c>
      <c r="H174" s="99" t="s">
        <v>395</v>
      </c>
      <c r="I174" s="100">
        <v>832623</v>
      </c>
      <c r="J174" s="100" t="s">
        <v>54</v>
      </c>
      <c r="K174" s="101">
        <v>0</v>
      </c>
      <c r="L174" s="99" t="s">
        <v>134</v>
      </c>
      <c r="M174" s="99" t="s">
        <v>56</v>
      </c>
      <c r="N174" s="99" t="str">
        <f t="shared" si="20"/>
        <v>32.FURGON-15H</v>
      </c>
      <c r="O174" s="302"/>
    </row>
    <row r="175" spans="6:15" s="99" customFormat="1" x14ac:dyDescent="0.2">
      <c r="F175" s="99" t="s">
        <v>132</v>
      </c>
      <c r="G175" s="99" t="s">
        <v>139</v>
      </c>
      <c r="H175" s="99" t="s">
        <v>396</v>
      </c>
      <c r="I175" s="100">
        <v>557356</v>
      </c>
      <c r="J175" s="100" t="s">
        <v>54</v>
      </c>
      <c r="K175" s="101">
        <v>0</v>
      </c>
      <c r="L175" s="99" t="s">
        <v>134</v>
      </c>
      <c r="M175" s="99" t="s">
        <v>56</v>
      </c>
      <c r="N175" s="99" t="str">
        <f t="shared" si="20"/>
        <v>33.FURGON-15H</v>
      </c>
      <c r="O175" s="302"/>
    </row>
    <row r="176" spans="6:15" s="99" customFormat="1" x14ac:dyDescent="0.2">
      <c r="F176" s="99" t="s">
        <v>135</v>
      </c>
      <c r="G176" s="99" t="s">
        <v>142</v>
      </c>
      <c r="H176" s="99" t="s">
        <v>397</v>
      </c>
      <c r="I176" s="100">
        <v>827118</v>
      </c>
      <c r="J176" s="100" t="s">
        <v>66</v>
      </c>
      <c r="K176" s="101">
        <v>0</v>
      </c>
      <c r="L176" s="99" t="s">
        <v>137</v>
      </c>
      <c r="M176" s="99" t="s">
        <v>56</v>
      </c>
      <c r="N176" s="99" t="str">
        <f t="shared" si="20"/>
        <v>34.FURGON-9H</v>
      </c>
      <c r="O176" s="302"/>
    </row>
    <row r="177" spans="6:15" s="99" customFormat="1" x14ac:dyDescent="0.2">
      <c r="F177" s="99" t="s">
        <v>135</v>
      </c>
      <c r="G177" s="99" t="s">
        <v>145</v>
      </c>
      <c r="H177" s="99" t="s">
        <v>398</v>
      </c>
      <c r="I177" s="100">
        <v>728949</v>
      </c>
      <c r="J177" s="100" t="s">
        <v>66</v>
      </c>
      <c r="K177" s="101">
        <v>0</v>
      </c>
      <c r="L177" s="99" t="s">
        <v>137</v>
      </c>
      <c r="M177" s="99" t="s">
        <v>56</v>
      </c>
      <c r="N177" s="99" t="str">
        <f t="shared" si="20"/>
        <v>35.FURGON-9H</v>
      </c>
      <c r="O177" s="302"/>
    </row>
    <row r="178" spans="6:15" s="99" customFormat="1" x14ac:dyDescent="0.2">
      <c r="F178" s="99" t="s">
        <v>135</v>
      </c>
      <c r="G178" s="99" t="s">
        <v>148</v>
      </c>
      <c r="H178" s="99" t="s">
        <v>399</v>
      </c>
      <c r="I178" s="100">
        <v>481858</v>
      </c>
      <c r="J178" s="100" t="s">
        <v>66</v>
      </c>
      <c r="K178" s="101">
        <v>0</v>
      </c>
      <c r="L178" s="99" t="s">
        <v>137</v>
      </c>
      <c r="M178" s="99" t="s">
        <v>56</v>
      </c>
      <c r="N178" s="99" t="str">
        <f t="shared" si="20"/>
        <v>36.FURGON-9H</v>
      </c>
      <c r="O178" s="302"/>
    </row>
    <row r="179" spans="6:15" s="99" customFormat="1" x14ac:dyDescent="0.2">
      <c r="F179" s="99" t="s">
        <v>138</v>
      </c>
      <c r="G179" s="99" t="s">
        <v>151</v>
      </c>
      <c r="H179" s="99" t="s">
        <v>400</v>
      </c>
      <c r="I179" s="100">
        <v>554324</v>
      </c>
      <c r="J179" s="100" t="s">
        <v>77</v>
      </c>
      <c r="K179" s="101">
        <v>0</v>
      </c>
      <c r="L179" s="99" t="s">
        <v>140</v>
      </c>
      <c r="M179" s="99" t="s">
        <v>56</v>
      </c>
      <c r="N179" s="99" t="str">
        <f t="shared" si="20"/>
        <v>37.FURGON-4H</v>
      </c>
      <c r="O179" s="302"/>
    </row>
    <row r="180" spans="6:15" s="99" customFormat="1" x14ac:dyDescent="0.2">
      <c r="F180" s="99" t="s">
        <v>138</v>
      </c>
      <c r="G180" s="99" t="s">
        <v>154</v>
      </c>
      <c r="H180" s="99" t="s">
        <v>401</v>
      </c>
      <c r="I180" s="100">
        <v>576161</v>
      </c>
      <c r="J180" s="100" t="s">
        <v>77</v>
      </c>
      <c r="K180" s="101">
        <v>0</v>
      </c>
      <c r="L180" s="99" t="s">
        <v>140</v>
      </c>
      <c r="M180" s="99" t="s">
        <v>56</v>
      </c>
      <c r="N180" s="99" t="str">
        <f t="shared" si="20"/>
        <v>38.FURGON-4H</v>
      </c>
      <c r="O180" s="302"/>
    </row>
    <row r="181" spans="6:15" s="99" customFormat="1" x14ac:dyDescent="0.2">
      <c r="F181" s="99" t="s">
        <v>138</v>
      </c>
      <c r="G181" s="99" t="s">
        <v>158</v>
      </c>
      <c r="H181" s="99" t="s">
        <v>402</v>
      </c>
      <c r="I181" s="100">
        <v>345698</v>
      </c>
      <c r="J181" s="100" t="s">
        <v>77</v>
      </c>
      <c r="K181" s="101">
        <v>0</v>
      </c>
      <c r="L181" s="99" t="s">
        <v>140</v>
      </c>
      <c r="M181" s="99" t="s">
        <v>56</v>
      </c>
      <c r="N181" s="99" t="str">
        <f t="shared" si="20"/>
        <v>39.FURGON-4H</v>
      </c>
      <c r="O181" s="302"/>
    </row>
    <row r="182" spans="6:15" s="99" customFormat="1" x14ac:dyDescent="0.2">
      <c r="F182" s="99" t="s">
        <v>141</v>
      </c>
      <c r="G182" s="99" t="s">
        <v>161</v>
      </c>
      <c r="H182" s="99" t="s">
        <v>403</v>
      </c>
      <c r="I182" s="100">
        <v>1128712</v>
      </c>
      <c r="J182" s="100" t="s">
        <v>54</v>
      </c>
      <c r="K182" s="101">
        <v>0</v>
      </c>
      <c r="L182" s="99" t="s">
        <v>143</v>
      </c>
      <c r="M182" s="99" t="s">
        <v>56</v>
      </c>
      <c r="N182" s="99" t="str">
        <f t="shared" si="20"/>
        <v>40.4X4-15H</v>
      </c>
      <c r="O182" s="302"/>
    </row>
    <row r="183" spans="6:15" s="99" customFormat="1" x14ac:dyDescent="0.2">
      <c r="F183" s="99" t="s">
        <v>144</v>
      </c>
      <c r="G183" s="99" t="s">
        <v>163</v>
      </c>
      <c r="H183" s="99" t="s">
        <v>404</v>
      </c>
      <c r="I183" s="100">
        <v>787237</v>
      </c>
      <c r="J183" s="100" t="s">
        <v>66</v>
      </c>
      <c r="K183" s="101">
        <v>0</v>
      </c>
      <c r="L183" s="99" t="s">
        <v>146</v>
      </c>
      <c r="M183" s="99" t="s">
        <v>56</v>
      </c>
      <c r="N183" s="99" t="str">
        <f t="shared" si="20"/>
        <v>41.4X4-9H</v>
      </c>
      <c r="O183" s="302"/>
    </row>
    <row r="184" spans="6:15" s="99" customFormat="1" x14ac:dyDescent="0.2">
      <c r="F184" s="99" t="s">
        <v>147</v>
      </c>
      <c r="G184" s="99" t="s">
        <v>164</v>
      </c>
      <c r="H184" s="99" t="s">
        <v>405</v>
      </c>
      <c r="I184" s="100">
        <v>529232</v>
      </c>
      <c r="J184" s="100" t="s">
        <v>77</v>
      </c>
      <c r="K184" s="101">
        <v>0</v>
      </c>
      <c r="L184" s="99" t="s">
        <v>149</v>
      </c>
      <c r="M184" s="99" t="s">
        <v>56</v>
      </c>
      <c r="N184" s="99" t="str">
        <f t="shared" si="20"/>
        <v>42.4X4-4H</v>
      </c>
      <c r="O184" s="302"/>
    </row>
    <row r="185" spans="6:15" s="99" customFormat="1" x14ac:dyDescent="0.2">
      <c r="F185" s="99" t="s">
        <v>150</v>
      </c>
      <c r="G185" s="99" t="s">
        <v>165</v>
      </c>
      <c r="H185" s="99" t="s">
        <v>406</v>
      </c>
      <c r="I185" s="100">
        <v>939250</v>
      </c>
      <c r="J185" s="100" t="s">
        <v>54</v>
      </c>
      <c r="K185" s="101">
        <v>0</v>
      </c>
      <c r="L185" s="99" t="s">
        <v>152</v>
      </c>
      <c r="M185" s="99" t="s">
        <v>56</v>
      </c>
      <c r="N185" s="99" t="str">
        <f t="shared" si="20"/>
        <v>43.MONTACARGA-15H</v>
      </c>
      <c r="O185" s="302"/>
    </row>
    <row r="186" spans="6:15" s="99" customFormat="1" x14ac:dyDescent="0.2">
      <c r="F186" s="99" t="s">
        <v>153</v>
      </c>
      <c r="G186" s="99" t="s">
        <v>166</v>
      </c>
      <c r="H186" s="99" t="s">
        <v>407</v>
      </c>
      <c r="I186" s="100">
        <v>254150</v>
      </c>
      <c r="J186" s="100" t="s">
        <v>155</v>
      </c>
      <c r="K186" s="101">
        <v>0</v>
      </c>
      <c r="L186" s="99" t="s">
        <v>156</v>
      </c>
      <c r="M186" s="99" t="s">
        <v>56</v>
      </c>
      <c r="N186" s="99" t="str">
        <f t="shared" si="20"/>
        <v>44.MONTACARGA-1H</v>
      </c>
      <c r="O186" s="302"/>
    </row>
    <row r="187" spans="6:15" s="99" customFormat="1" x14ac:dyDescent="0.2">
      <c r="F187" s="99" t="s">
        <v>157</v>
      </c>
      <c r="G187" s="99" t="s">
        <v>167</v>
      </c>
      <c r="H187" s="99" t="s">
        <v>408</v>
      </c>
      <c r="I187" s="100">
        <v>861900</v>
      </c>
      <c r="J187" s="100" t="s">
        <v>54</v>
      </c>
      <c r="K187" s="101">
        <v>0</v>
      </c>
      <c r="L187" s="99" t="s">
        <v>159</v>
      </c>
      <c r="M187" s="99" t="s">
        <v>56</v>
      </c>
      <c r="N187" s="99" t="str">
        <f t="shared" si="20"/>
        <v>45.GRUA-15H-</v>
      </c>
      <c r="O187" s="302"/>
    </row>
    <row r="188" spans="6:15" s="99" customFormat="1" x14ac:dyDescent="0.2">
      <c r="F188" s="99" t="s">
        <v>160</v>
      </c>
      <c r="G188" s="99" t="s">
        <v>168</v>
      </c>
      <c r="H188" s="99" t="s">
        <v>409</v>
      </c>
      <c r="I188" s="100">
        <v>243100</v>
      </c>
      <c r="J188" s="100" t="s">
        <v>155</v>
      </c>
      <c r="K188" s="101">
        <v>0</v>
      </c>
      <c r="L188" s="99" t="s">
        <v>162</v>
      </c>
      <c r="M188" s="99" t="s">
        <v>56</v>
      </c>
      <c r="N188" s="99" t="str">
        <f t="shared" si="20"/>
        <v>46.GRUA-1H</v>
      </c>
      <c r="O188" s="302"/>
    </row>
    <row r="189" spans="6:15" x14ac:dyDescent="0.2">
      <c r="F189" s="99" t="s">
        <v>245</v>
      </c>
      <c r="G189" s="99" t="s">
        <v>258</v>
      </c>
      <c r="H189" s="99" t="s">
        <v>410</v>
      </c>
      <c r="I189" s="100">
        <v>283331</v>
      </c>
      <c r="J189" s="100" t="s">
        <v>155</v>
      </c>
      <c r="K189" s="101">
        <v>0</v>
      </c>
      <c r="L189" s="99" t="s">
        <v>246</v>
      </c>
      <c r="M189" s="99" t="s">
        <v>56</v>
      </c>
      <c r="N189" s="99" t="str">
        <f t="shared" si="20"/>
        <v>47.OPERARIO-15-H</v>
      </c>
    </row>
    <row r="190" spans="6:15" x14ac:dyDescent="0.2">
      <c r="F190" s="99" t="s">
        <v>247</v>
      </c>
      <c r="G190" s="99" t="s">
        <v>259</v>
      </c>
      <c r="H190" s="99" t="s">
        <v>411</v>
      </c>
      <c r="I190" s="100">
        <v>221732</v>
      </c>
      <c r="J190" s="100" t="s">
        <v>66</v>
      </c>
      <c r="K190" s="101">
        <v>0</v>
      </c>
      <c r="L190" s="99" t="s">
        <v>248</v>
      </c>
      <c r="M190" s="99" t="s">
        <v>56</v>
      </c>
      <c r="N190" s="99" t="str">
        <f t="shared" si="20"/>
        <v>48.OPERARIO-9-H</v>
      </c>
    </row>
    <row r="191" spans="6:15" x14ac:dyDescent="0.2">
      <c r="F191" s="99" t="s">
        <v>249</v>
      </c>
      <c r="G191" s="99" t="s">
        <v>260</v>
      </c>
      <c r="H191" s="99" t="s">
        <v>412</v>
      </c>
      <c r="I191" s="100">
        <v>160134</v>
      </c>
      <c r="J191" s="99" t="s">
        <v>77</v>
      </c>
      <c r="K191" s="99"/>
      <c r="L191" s="99" t="s">
        <v>250</v>
      </c>
      <c r="M191" s="99" t="s">
        <v>56</v>
      </c>
      <c r="N191" s="99" t="str">
        <f t="shared" si="20"/>
        <v>49.OPERARIO-4-H</v>
      </c>
    </row>
    <row r="192" spans="6:15" x14ac:dyDescent="0.2">
      <c r="F192" s="99" t="s">
        <v>251</v>
      </c>
      <c r="G192" s="99" t="s">
        <v>261</v>
      </c>
      <c r="H192" s="99" t="s">
        <v>413</v>
      </c>
      <c r="I192" s="100">
        <v>477011</v>
      </c>
      <c r="J192" s="99" t="s">
        <v>54</v>
      </c>
      <c r="K192" s="99"/>
      <c r="L192" s="99" t="s">
        <v>253</v>
      </c>
      <c r="M192" s="99" t="s">
        <v>56</v>
      </c>
      <c r="N192" s="99" t="str">
        <f t="shared" si="20"/>
        <v>50.COORDINADOR X DIA</v>
      </c>
    </row>
    <row r="193" spans="6:14" x14ac:dyDescent="0.2">
      <c r="F193" s="99" t="s">
        <v>252</v>
      </c>
      <c r="G193" s="99" t="s">
        <v>270</v>
      </c>
      <c r="H193" s="99" t="s">
        <v>414</v>
      </c>
      <c r="I193" s="100">
        <v>1370200</v>
      </c>
      <c r="J193" s="99" t="s">
        <v>54</v>
      </c>
      <c r="K193" s="99">
        <v>4</v>
      </c>
      <c r="L193" s="99" t="s">
        <v>254</v>
      </c>
      <c r="M193" s="99" t="s">
        <v>56</v>
      </c>
      <c r="N193" s="99" t="str">
        <f t="shared" si="20"/>
        <v>51.BOGOTA SUMAPAZ 40/50m³ 15H-4OP</v>
      </c>
    </row>
    <row r="194" spans="6:14" x14ac:dyDescent="0.2">
      <c r="F194" s="99" t="s">
        <v>256</v>
      </c>
      <c r="G194" s="99" t="s">
        <v>273</v>
      </c>
      <c r="H194" s="99" t="s">
        <v>415</v>
      </c>
      <c r="I194" s="100">
        <v>1259700</v>
      </c>
      <c r="J194" s="99" t="s">
        <v>54</v>
      </c>
      <c r="K194" s="99">
        <v>4</v>
      </c>
      <c r="L194" s="99" t="s">
        <v>255</v>
      </c>
      <c r="M194" s="99" t="s">
        <v>56</v>
      </c>
      <c r="N194" s="99" t="str">
        <f>+CONCATENATE(G194,F194)</f>
        <v>52.BOGOTA FUNZA 40/50m³ 15H-4OP</v>
      </c>
    </row>
    <row r="195" spans="6:14" x14ac:dyDescent="0.2">
      <c r="F195" s="99" t="s">
        <v>257</v>
      </c>
      <c r="G195" s="99" t="s">
        <v>276</v>
      </c>
      <c r="H195" s="99" t="s">
        <v>416</v>
      </c>
      <c r="I195" s="100">
        <v>1266330</v>
      </c>
      <c r="J195" s="100" t="s">
        <v>54</v>
      </c>
      <c r="K195" s="99">
        <v>4</v>
      </c>
      <c r="L195" s="99" t="s">
        <v>262</v>
      </c>
      <c r="M195" s="99" t="s">
        <v>56</v>
      </c>
      <c r="N195" s="99" t="str">
        <f t="shared" si="20"/>
        <v>53.BOGOTA COTA 40/50m³ 15H-4OP</v>
      </c>
    </row>
    <row r="196" spans="6:14" x14ac:dyDescent="0.2">
      <c r="F196" s="99" t="s">
        <v>263</v>
      </c>
      <c r="G196" s="99" t="s">
        <v>279</v>
      </c>
      <c r="H196" s="99" t="s">
        <v>417</v>
      </c>
      <c r="I196" s="100">
        <v>1450865</v>
      </c>
      <c r="J196" s="100" t="s">
        <v>54</v>
      </c>
      <c r="K196" s="99">
        <v>4</v>
      </c>
      <c r="L196" s="99" t="s">
        <v>264</v>
      </c>
      <c r="M196" s="99" t="s">
        <v>56</v>
      </c>
      <c r="N196" s="99" t="str">
        <f t="shared" si="20"/>
        <v>54.BOGOTA FUSA 40/50m³ 15H-4OP</v>
      </c>
    </row>
    <row r="197" spans="6:14" x14ac:dyDescent="0.2">
      <c r="F197" s="99" t="s">
        <v>265</v>
      </c>
      <c r="G197" s="287" t="s">
        <v>281</v>
      </c>
      <c r="H197" s="99" t="s">
        <v>418</v>
      </c>
      <c r="I197" s="100">
        <v>1328210</v>
      </c>
      <c r="J197" s="100" t="s">
        <v>54</v>
      </c>
      <c r="K197" s="99">
        <v>4</v>
      </c>
      <c r="L197" s="99" t="s">
        <v>266</v>
      </c>
      <c r="M197" s="99" t="s">
        <v>56</v>
      </c>
      <c r="N197" s="99" t="str">
        <f t="shared" si="20"/>
        <v>55.BOGOTA SOACHA 40/50m³ 15H-4OP</v>
      </c>
    </row>
    <row r="198" spans="6:14" x14ac:dyDescent="0.2">
      <c r="F198" s="99" t="s">
        <v>267</v>
      </c>
      <c r="G198" s="99" t="s">
        <v>283</v>
      </c>
      <c r="H198" s="99" t="s">
        <v>419</v>
      </c>
      <c r="I198" s="100">
        <v>933725</v>
      </c>
      <c r="J198" s="100" t="s">
        <v>66</v>
      </c>
      <c r="K198" s="99">
        <v>3</v>
      </c>
      <c r="L198" s="99" t="s">
        <v>268</v>
      </c>
      <c r="M198" s="99" t="s">
        <v>56</v>
      </c>
      <c r="N198" s="99" t="str">
        <f t="shared" si="20"/>
        <v>56.BOGOTA SOACHA 40/50m³ 9H-4OP</v>
      </c>
    </row>
    <row r="199" spans="6:14" x14ac:dyDescent="0.2">
      <c r="F199" s="99" t="s">
        <v>269</v>
      </c>
      <c r="G199" s="99" t="s">
        <v>287</v>
      </c>
      <c r="H199" s="99" t="s">
        <v>420</v>
      </c>
      <c r="I199" s="100">
        <v>1102790</v>
      </c>
      <c r="J199" s="100" t="s">
        <v>54</v>
      </c>
      <c r="K199" s="99">
        <v>4</v>
      </c>
      <c r="L199" s="99" t="s">
        <v>271</v>
      </c>
      <c r="M199" s="99" t="s">
        <v>56</v>
      </c>
      <c r="N199" s="99" t="str">
        <f t="shared" si="20"/>
        <v>57.BOGOTA SUMAPAZ 25m³ 15H-4OP</v>
      </c>
    </row>
    <row r="200" spans="6:14" x14ac:dyDescent="0.2">
      <c r="F200" s="99" t="s">
        <v>272</v>
      </c>
      <c r="G200" s="99" t="s">
        <v>288</v>
      </c>
      <c r="H200" s="99" t="s">
        <v>421</v>
      </c>
      <c r="I200" s="100">
        <v>877370</v>
      </c>
      <c r="J200" s="100" t="s">
        <v>54</v>
      </c>
      <c r="K200" s="99">
        <v>4</v>
      </c>
      <c r="L200" s="99" t="s">
        <v>274</v>
      </c>
      <c r="M200" s="99" t="s">
        <v>56</v>
      </c>
      <c r="N200" s="99" t="str">
        <f t="shared" si="20"/>
        <v>58.BOGOTA FUNZA 25m³ 15H-4OP</v>
      </c>
    </row>
    <row r="201" spans="6:14" x14ac:dyDescent="0.2">
      <c r="F201" s="99" t="s">
        <v>275</v>
      </c>
      <c r="G201" s="99" t="s">
        <v>289</v>
      </c>
      <c r="H201" s="99" t="s">
        <v>422</v>
      </c>
      <c r="I201" s="100">
        <v>876265</v>
      </c>
      <c r="J201" s="100" t="s">
        <v>54</v>
      </c>
      <c r="K201" s="99">
        <v>4</v>
      </c>
      <c r="L201" s="99" t="s">
        <v>277</v>
      </c>
      <c r="M201" s="99" t="s">
        <v>56</v>
      </c>
      <c r="N201" s="99" t="str">
        <f t="shared" si="20"/>
        <v>59.BOGOTA COTA 25m³ 15H-4OP</v>
      </c>
    </row>
    <row r="202" spans="6:14" x14ac:dyDescent="0.2">
      <c r="F202" s="99" t="s">
        <v>278</v>
      </c>
      <c r="G202" s="99" t="s">
        <v>290</v>
      </c>
      <c r="H202" s="99" t="s">
        <v>423</v>
      </c>
      <c r="I202" s="100">
        <v>839800</v>
      </c>
      <c r="J202" s="100" t="s">
        <v>54</v>
      </c>
      <c r="K202" s="99">
        <v>4</v>
      </c>
      <c r="L202" s="99" t="s">
        <v>284</v>
      </c>
      <c r="M202" s="99" t="s">
        <v>56</v>
      </c>
      <c r="N202" s="99" t="str">
        <f t="shared" si="20"/>
        <v>60.BOGOTA FUSA 25m³ 15H-4OP</v>
      </c>
    </row>
    <row r="203" spans="6:14" x14ac:dyDescent="0.2">
      <c r="F203" s="99" t="s">
        <v>280</v>
      </c>
      <c r="G203" s="99" t="s">
        <v>291</v>
      </c>
      <c r="H203" s="99" t="s">
        <v>424</v>
      </c>
      <c r="I203" s="100">
        <v>1014390</v>
      </c>
      <c r="J203" s="100" t="s">
        <v>54</v>
      </c>
      <c r="K203" s="99">
        <v>4</v>
      </c>
      <c r="L203" s="99" t="s">
        <v>285</v>
      </c>
      <c r="M203" s="99" t="s">
        <v>56</v>
      </c>
      <c r="N203" s="99" t="str">
        <f t="shared" si="20"/>
        <v>61.BOGOTA SOACHA 25m³ 15H-4OP</v>
      </c>
    </row>
    <row r="204" spans="6:14" x14ac:dyDescent="0.2">
      <c r="F204" s="99" t="s">
        <v>282</v>
      </c>
      <c r="G204" s="99" t="s">
        <v>292</v>
      </c>
      <c r="H204" s="99" t="s">
        <v>425</v>
      </c>
      <c r="I204" s="100">
        <v>822120</v>
      </c>
      <c r="J204" s="100" t="s">
        <v>66</v>
      </c>
      <c r="K204" s="99">
        <v>4</v>
      </c>
      <c r="L204" s="99" t="s">
        <v>286</v>
      </c>
      <c r="M204" s="99" t="s">
        <v>56</v>
      </c>
      <c r="N204" s="99" t="str">
        <f t="shared" si="20"/>
        <v>62.BOGOTA SOACHA 25m³ 9H-4OP</v>
      </c>
    </row>
    <row r="205" spans="6:14" x14ac:dyDescent="0.2">
      <c r="F205" s="99" t="s">
        <v>293</v>
      </c>
      <c r="G205" s="99" t="s">
        <v>300</v>
      </c>
      <c r="H205" s="99" t="s">
        <v>426</v>
      </c>
      <c r="I205" s="100">
        <v>751400</v>
      </c>
      <c r="J205" s="100" t="s">
        <v>54</v>
      </c>
      <c r="L205" s="99" t="s">
        <v>329</v>
      </c>
      <c r="M205" s="99" t="s">
        <v>56</v>
      </c>
      <c r="N205" s="99" t="str">
        <f t="shared" si="20"/>
        <v>63.BOGOTA SUMAPAZ FURGONADA-15H</v>
      </c>
    </row>
    <row r="206" spans="6:14" x14ac:dyDescent="0.2">
      <c r="F206" s="99" t="s">
        <v>294</v>
      </c>
      <c r="G206" s="99" t="s">
        <v>302</v>
      </c>
      <c r="H206" s="99" t="s">
        <v>427</v>
      </c>
      <c r="I206" s="100">
        <v>552500</v>
      </c>
      <c r="J206" s="100" t="s">
        <v>54</v>
      </c>
      <c r="L206" s="99" t="s">
        <v>330</v>
      </c>
      <c r="M206" s="99" t="s">
        <v>56</v>
      </c>
      <c r="N206" s="99" t="str">
        <f t="shared" si="20"/>
        <v>64.BOGOTA FUNZA FURGONADA-15H</v>
      </c>
    </row>
    <row r="207" spans="6:14" x14ac:dyDescent="0.2">
      <c r="F207" s="99" t="s">
        <v>295</v>
      </c>
      <c r="G207" s="99" t="s">
        <v>304</v>
      </c>
      <c r="H207" s="99" t="s">
        <v>428</v>
      </c>
      <c r="I207" s="100">
        <v>524875</v>
      </c>
      <c r="J207" s="100" t="s">
        <v>54</v>
      </c>
      <c r="L207" s="99" t="s">
        <v>331</v>
      </c>
      <c r="M207" s="99" t="s">
        <v>56</v>
      </c>
      <c r="N207" s="99" t="str">
        <f t="shared" si="20"/>
        <v>65.BOGOTA COTA FURGONADA-15H</v>
      </c>
    </row>
    <row r="208" spans="6:14" x14ac:dyDescent="0.2">
      <c r="F208" s="99" t="s">
        <v>296</v>
      </c>
      <c r="G208" s="99" t="s">
        <v>306</v>
      </c>
      <c r="H208" s="99" t="s">
        <v>429</v>
      </c>
      <c r="I208" s="100">
        <v>524875</v>
      </c>
      <c r="J208" s="100" t="s">
        <v>54</v>
      </c>
      <c r="L208" s="99" t="s">
        <v>332</v>
      </c>
      <c r="M208" s="99" t="s">
        <v>56</v>
      </c>
      <c r="N208" s="99" t="str">
        <f t="shared" si="20"/>
        <v>66.BOGOTA FUSA FURGONADA-15H</v>
      </c>
    </row>
    <row r="209" spans="6:14" x14ac:dyDescent="0.2">
      <c r="F209" s="99" t="s">
        <v>297</v>
      </c>
      <c r="G209" s="99" t="s">
        <v>308</v>
      </c>
      <c r="H209" s="99" t="s">
        <v>430</v>
      </c>
      <c r="I209" s="100">
        <v>585650</v>
      </c>
      <c r="J209" s="100" t="s">
        <v>54</v>
      </c>
      <c r="L209" s="99" t="s">
        <v>333</v>
      </c>
      <c r="M209" s="3" t="s">
        <v>56</v>
      </c>
      <c r="N209" s="99" t="str">
        <f t="shared" si="20"/>
        <v>67.BOGOTA SOACHA FURGONADA-15H</v>
      </c>
    </row>
    <row r="210" spans="6:14" x14ac:dyDescent="0.2">
      <c r="F210" s="99" t="s">
        <v>298</v>
      </c>
      <c r="G210" s="99" t="s">
        <v>310</v>
      </c>
      <c r="H210" s="99" t="s">
        <v>431</v>
      </c>
      <c r="I210" s="100">
        <v>530400</v>
      </c>
      <c r="J210" s="100" t="s">
        <v>54</v>
      </c>
      <c r="L210" s="99" t="s">
        <v>334</v>
      </c>
      <c r="M210" s="99" t="s">
        <v>56</v>
      </c>
      <c r="N210" s="99" t="str">
        <f t="shared" si="20"/>
        <v>68.BOGOTA SOACHA FURGONADA-09H</v>
      </c>
    </row>
    <row r="211" spans="6:14" x14ac:dyDescent="0.2">
      <c r="F211" s="99" t="s">
        <v>299</v>
      </c>
      <c r="G211" s="99" t="s">
        <v>313</v>
      </c>
      <c r="H211" s="99" t="s">
        <v>432</v>
      </c>
      <c r="I211" s="100">
        <v>795600</v>
      </c>
      <c r="J211" s="100" t="s">
        <v>54</v>
      </c>
      <c r="L211" s="99" t="s">
        <v>335</v>
      </c>
      <c r="M211" s="99" t="s">
        <v>56</v>
      </c>
      <c r="N211" s="99" t="str">
        <f t="shared" si="20"/>
        <v>69.BOGOTA SUMAPAPAZ 4X4 15H</v>
      </c>
    </row>
    <row r="212" spans="6:14" x14ac:dyDescent="0.2">
      <c r="F212" s="99" t="s">
        <v>301</v>
      </c>
      <c r="G212" s="99" t="s">
        <v>321</v>
      </c>
      <c r="H212" s="99" t="s">
        <v>433</v>
      </c>
      <c r="I212" s="100">
        <v>591175</v>
      </c>
      <c r="J212" s="100" t="s">
        <v>54</v>
      </c>
      <c r="L212" s="99" t="s">
        <v>336</v>
      </c>
      <c r="M212" s="99" t="s">
        <v>56</v>
      </c>
      <c r="N212" s="99" t="str">
        <f t="shared" si="20"/>
        <v>70.BOGOTA FUNZA 4X4 15H</v>
      </c>
    </row>
    <row r="213" spans="6:14" x14ac:dyDescent="0.2">
      <c r="F213" s="99" t="s">
        <v>303</v>
      </c>
      <c r="G213" s="99" t="s">
        <v>322</v>
      </c>
      <c r="H213" s="99" t="s">
        <v>434</v>
      </c>
      <c r="I213" s="100">
        <v>585650</v>
      </c>
      <c r="J213" s="100" t="s">
        <v>54</v>
      </c>
      <c r="L213" s="99" t="s">
        <v>337</v>
      </c>
      <c r="M213" s="99" t="s">
        <v>56</v>
      </c>
      <c r="N213" s="99" t="str">
        <f t="shared" si="20"/>
        <v>71.BOGOTA COTA 4X4 15H</v>
      </c>
    </row>
    <row r="214" spans="6:14" x14ac:dyDescent="0.2">
      <c r="F214" s="99" t="s">
        <v>305</v>
      </c>
      <c r="G214" s="99" t="s">
        <v>323</v>
      </c>
      <c r="H214" s="99" t="s">
        <v>435</v>
      </c>
      <c r="I214" s="100">
        <v>585650</v>
      </c>
      <c r="J214" s="100" t="s">
        <v>54</v>
      </c>
      <c r="L214" s="99" t="s">
        <v>338</v>
      </c>
      <c r="M214" s="99" t="s">
        <v>56</v>
      </c>
      <c r="N214" s="99" t="str">
        <f t="shared" si="20"/>
        <v>72.BOGOTA FUSA 4X4 15H</v>
      </c>
    </row>
    <row r="215" spans="6:14" x14ac:dyDescent="0.2">
      <c r="F215" s="99" t="s">
        <v>307</v>
      </c>
      <c r="G215" s="99" t="s">
        <v>324</v>
      </c>
      <c r="H215" s="99" t="s">
        <v>436</v>
      </c>
      <c r="I215" s="100">
        <v>607750</v>
      </c>
      <c r="J215" s="100" t="s">
        <v>54</v>
      </c>
      <c r="L215" s="99" t="s">
        <v>339</v>
      </c>
      <c r="M215" s="99" t="s">
        <v>56</v>
      </c>
      <c r="N215" s="99" t="str">
        <f t="shared" si="20"/>
        <v>73.BOGOTA SOACHA 4X4 15H</v>
      </c>
    </row>
    <row r="216" spans="6:14" x14ac:dyDescent="0.2">
      <c r="F216" s="99" t="s">
        <v>309</v>
      </c>
      <c r="G216" s="99" t="s">
        <v>325</v>
      </c>
      <c r="H216" s="99" t="s">
        <v>437</v>
      </c>
      <c r="I216" s="100">
        <v>640900</v>
      </c>
      <c r="J216" s="100" t="s">
        <v>54</v>
      </c>
      <c r="L216" s="99" t="s">
        <v>340</v>
      </c>
      <c r="M216" s="99" t="s">
        <v>56</v>
      </c>
      <c r="N216" s="99" t="str">
        <f t="shared" si="20"/>
        <v>74.BOGOTA SOACHA 4X4 09H</v>
      </c>
    </row>
    <row r="217" spans="6:14" x14ac:dyDescent="0.2">
      <c r="F217" s="99" t="s">
        <v>312</v>
      </c>
      <c r="G217" s="99" t="s">
        <v>326</v>
      </c>
      <c r="H217" s="99" t="s">
        <v>438</v>
      </c>
      <c r="I217" s="100">
        <v>1536000</v>
      </c>
      <c r="J217" s="100" t="s">
        <v>54</v>
      </c>
      <c r="L217" s="99" t="s">
        <v>341</v>
      </c>
      <c r="M217" s="99" t="s">
        <v>56</v>
      </c>
      <c r="N217" s="99" t="str">
        <f t="shared" si="20"/>
        <v xml:space="preserve">75.6 OPERARIOS-15-H </v>
      </c>
    </row>
    <row r="218" spans="6:14" x14ac:dyDescent="0.2">
      <c r="F218" s="99" t="s">
        <v>314</v>
      </c>
      <c r="G218" s="99" t="s">
        <v>327</v>
      </c>
      <c r="H218" s="99" t="s">
        <v>439</v>
      </c>
      <c r="I218" s="100">
        <v>2051264</v>
      </c>
      <c r="J218" s="100" t="s">
        <v>54</v>
      </c>
      <c r="L218" s="99" t="s">
        <v>342</v>
      </c>
      <c r="M218" s="99" t="s">
        <v>56</v>
      </c>
      <c r="N218" s="99" t="str">
        <f t="shared" si="20"/>
        <v xml:space="preserve">76.8 OPERARIOS-15-H </v>
      </c>
    </row>
    <row r="219" spans="6:14" x14ac:dyDescent="0.2">
      <c r="F219" s="99" t="s">
        <v>315</v>
      </c>
      <c r="G219" s="99" t="s">
        <v>328</v>
      </c>
      <c r="H219" s="99" t="s">
        <v>440</v>
      </c>
      <c r="I219" s="100">
        <v>2564080</v>
      </c>
      <c r="J219" s="100" t="s">
        <v>54</v>
      </c>
      <c r="L219" s="99" t="s">
        <v>343</v>
      </c>
      <c r="M219" s="99" t="s">
        <v>56</v>
      </c>
      <c r="N219" s="99" t="str">
        <f t="shared" si="20"/>
        <v xml:space="preserve">77.10 OPERARIOS-15-H </v>
      </c>
    </row>
    <row r="220" spans="6:14" x14ac:dyDescent="0.2">
      <c r="F220" s="99" t="s">
        <v>316</v>
      </c>
      <c r="G220" s="99" t="s">
        <v>441</v>
      </c>
      <c r="H220" s="99" t="s">
        <v>442</v>
      </c>
      <c r="I220" s="100">
        <v>1203972</v>
      </c>
      <c r="J220" s="100" t="s">
        <v>66</v>
      </c>
      <c r="L220" s="99" t="s">
        <v>344</v>
      </c>
      <c r="M220" s="99" t="s">
        <v>56</v>
      </c>
      <c r="N220" s="99" t="str">
        <f t="shared" ref="N220:N224" si="21">+CONCATENATE(G220,F220)</f>
        <v xml:space="preserve">78.6 OPERARIOS-09-H </v>
      </c>
    </row>
    <row r="221" spans="6:14" x14ac:dyDescent="0.2">
      <c r="F221" s="99" t="s">
        <v>317</v>
      </c>
      <c r="G221" s="99" t="s">
        <v>443</v>
      </c>
      <c r="H221" s="99" t="s">
        <v>444</v>
      </c>
      <c r="I221" s="100">
        <v>1605296</v>
      </c>
      <c r="J221" s="100" t="s">
        <v>66</v>
      </c>
      <c r="L221" s="99" t="s">
        <v>345</v>
      </c>
      <c r="M221" s="99" t="s">
        <v>56</v>
      </c>
      <c r="N221" s="99" t="str">
        <f t="shared" si="21"/>
        <v xml:space="preserve">79.8 OPERARIOS-09-H </v>
      </c>
    </row>
    <row r="222" spans="6:14" x14ac:dyDescent="0.2">
      <c r="F222" s="99" t="s">
        <v>318</v>
      </c>
      <c r="G222" s="99" t="s">
        <v>445</v>
      </c>
      <c r="H222" s="99" t="s">
        <v>446</v>
      </c>
      <c r="I222" s="100">
        <v>2006620</v>
      </c>
      <c r="J222" s="294" t="s">
        <v>66</v>
      </c>
      <c r="L222" s="99" t="s">
        <v>346</v>
      </c>
      <c r="M222" s="99" t="s">
        <v>56</v>
      </c>
      <c r="N222" s="99" t="str">
        <f t="shared" si="21"/>
        <v xml:space="preserve">80.10 OPERARIOS-09-H </v>
      </c>
    </row>
    <row r="223" spans="6:14" x14ac:dyDescent="0.2">
      <c r="F223" s="99" t="s">
        <v>319</v>
      </c>
      <c r="G223" s="99" t="s">
        <v>447</v>
      </c>
      <c r="H223" s="99" t="s">
        <v>448</v>
      </c>
      <c r="I223" s="100">
        <v>869508</v>
      </c>
      <c r="J223" s="294" t="s">
        <v>77</v>
      </c>
      <c r="L223" s="99" t="s">
        <v>347</v>
      </c>
      <c r="M223" s="99" t="s">
        <v>56</v>
      </c>
      <c r="N223" s="99" t="str">
        <f t="shared" si="21"/>
        <v xml:space="preserve">81.6 OPERARIOS-04-H </v>
      </c>
    </row>
    <row r="224" spans="6:14" x14ac:dyDescent="0.2">
      <c r="F224" s="99" t="s">
        <v>320</v>
      </c>
      <c r="G224" s="99" t="s">
        <v>449</v>
      </c>
      <c r="H224" s="99" t="s">
        <v>450</v>
      </c>
      <c r="I224" s="100">
        <v>1159344</v>
      </c>
      <c r="J224" s="294" t="s">
        <v>77</v>
      </c>
      <c r="L224" s="99" t="s">
        <v>348</v>
      </c>
      <c r="M224" s="99" t="s">
        <v>56</v>
      </c>
      <c r="N224" s="99" t="str">
        <f t="shared" si="21"/>
        <v xml:space="preserve">82.8 OPERARIOS-04-H </v>
      </c>
    </row>
    <row r="225" spans="6:14" x14ac:dyDescent="0.2">
      <c r="F225" s="99" t="s">
        <v>349</v>
      </c>
      <c r="G225" s="99" t="s">
        <v>451</v>
      </c>
      <c r="H225" s="99" t="s">
        <v>452</v>
      </c>
      <c r="I225" s="100">
        <v>1449180</v>
      </c>
      <c r="J225" s="294" t="s">
        <v>77</v>
      </c>
      <c r="L225" s="99" t="s">
        <v>350</v>
      </c>
      <c r="M225" s="99" t="s">
        <v>56</v>
      </c>
      <c r="N225" s="99" t="str">
        <f>+CONCATENATE(G225,F225)</f>
        <v xml:space="preserve">83.10 OPERARIOS-04H-10OP </v>
      </c>
    </row>
  </sheetData>
  <sheetProtection selectLockedCells="1" selectUnlockedCells="1"/>
  <mergeCells count="20">
    <mergeCell ref="AA2:AE2"/>
    <mergeCell ref="R16:Y16"/>
    <mergeCell ref="A35:G35"/>
    <mergeCell ref="A1:G1"/>
    <mergeCell ref="A2:G2"/>
    <mergeCell ref="I2:P2"/>
    <mergeCell ref="R2:Y2"/>
    <mergeCell ref="A17:G17"/>
    <mergeCell ref="I19:P19"/>
    <mergeCell ref="R21:Y21"/>
    <mergeCell ref="A26:G26"/>
    <mergeCell ref="A27:G27"/>
    <mergeCell ref="A76:Y94"/>
    <mergeCell ref="A96:A98"/>
    <mergeCell ref="A44:G44"/>
    <mergeCell ref="A45:G45"/>
    <mergeCell ref="J49:P68"/>
    <mergeCell ref="A55:G55"/>
    <mergeCell ref="K73:L73"/>
    <mergeCell ref="A75:AE75"/>
  </mergeCells>
  <dataValidations count="3">
    <dataValidation type="list" allowBlank="1" showInputMessage="1" showErrorMessage="1" sqref="F15:F16" xr:uid="{69266D7D-A38E-0040-9AC9-2DBE4FB297ED}">
      <formula1>$H$143:$H$188</formula1>
    </dataValidation>
    <dataValidation type="list" allowBlank="1" showInputMessage="1" showErrorMessage="1" sqref="F34 O10:O18 O26:O27 F67" xr:uid="{2E04F446-0B59-7347-826B-1C6893EF34C2}">
      <formula1>$H$142:$H$188</formula1>
    </dataValidation>
    <dataValidation type="list" allowBlank="1" showInputMessage="1" showErrorMessage="1" sqref="F4:F14 X23:X33 X18:X19 X4:X6 O21:O25 O4:O9 F57:F66 F49:F54 F37:F42 F29:F33 F19:F24" xr:uid="{A3CD7F00-25BC-484B-BC04-4EAAD2DC3AFB}">
      <formula1>$H$142:$H$219</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5E69909-782A-7246-A988-9E55967058A4}">
  <sheetPr>
    <tabColor theme="0"/>
  </sheetPr>
  <dimension ref="B1:DN65619"/>
  <sheetViews>
    <sheetView tabSelected="1" view="pageBreakPreview" zoomScale="55" zoomScaleNormal="55" zoomScaleSheetLayoutView="55" workbookViewId="0">
      <pane ySplit="4" topLeftCell="A62" activePane="bottomLeft" state="frozen"/>
      <selection activeCell="D15" activeCellId="2" sqref="D12 D13 D15"/>
      <selection pane="bottomLeft" activeCell="F161" sqref="F161"/>
    </sheetView>
  </sheetViews>
  <sheetFormatPr baseColWidth="10" defaultColWidth="11.42578125" defaultRowHeight="26.1" customHeight="1" x14ac:dyDescent="0.2"/>
  <cols>
    <col min="1" max="1" width="2.42578125" style="3" customWidth="1"/>
    <col min="2" max="2" width="56.140625" style="3" customWidth="1"/>
    <col min="3" max="3" width="14.140625" style="3" customWidth="1"/>
    <col min="4" max="4" width="14.42578125" style="3" customWidth="1"/>
    <col min="5" max="5" width="58.140625" style="3" bestFit="1" customWidth="1"/>
    <col min="6" max="6" width="87.42578125" style="3" customWidth="1"/>
    <col min="7" max="7" width="26.7109375" style="3" customWidth="1"/>
    <col min="8" max="8" width="41.7109375" style="3" bestFit="1" customWidth="1"/>
    <col min="9" max="9" width="23" style="3" bestFit="1" customWidth="1"/>
    <col min="10" max="10" width="29.28515625" style="3" customWidth="1"/>
    <col min="11" max="11" width="39" style="3" customWidth="1"/>
    <col min="12" max="12" width="37" style="112" customWidth="1"/>
    <col min="13" max="13" width="39.140625" style="3" customWidth="1"/>
    <col min="14" max="14" width="30.42578125" style="3" customWidth="1"/>
    <col min="15" max="15" width="33.140625" style="3" customWidth="1"/>
    <col min="16" max="16" width="20.140625" style="3" customWidth="1"/>
    <col min="17" max="17" width="25.7109375" style="3" customWidth="1"/>
    <col min="18" max="18" width="11.42578125" style="3"/>
    <col min="19" max="19" width="35.28515625" style="3" customWidth="1"/>
    <col min="20" max="20" width="34.140625" style="3" bestFit="1" customWidth="1"/>
    <col min="21" max="25" width="11.42578125" style="3"/>
    <col min="26" max="26" width="14.28515625" style="3" bestFit="1" customWidth="1"/>
    <col min="27" max="257" width="11.42578125" style="3"/>
    <col min="258" max="258" width="2.42578125" style="3" customWidth="1"/>
    <col min="259" max="259" width="30.42578125" style="3" customWidth="1"/>
    <col min="260" max="260" width="22.140625" style="3" customWidth="1"/>
    <col min="261" max="261" width="31.42578125" style="3" customWidth="1"/>
    <col min="262" max="262" width="29.7109375" style="3" customWidth="1"/>
    <col min="263" max="263" width="70.42578125" style="3" customWidth="1"/>
    <col min="264" max="264" width="62.28515625" style="3" customWidth="1"/>
    <col min="265" max="265" width="25.140625" style="3" customWidth="1"/>
    <col min="266" max="266" width="31.42578125" style="3" customWidth="1"/>
    <col min="267" max="267" width="31" style="3" customWidth="1"/>
    <col min="268" max="268" width="37" style="3" customWidth="1"/>
    <col min="269" max="269" width="30.140625" style="3" customWidth="1"/>
    <col min="270" max="270" width="30.42578125" style="3" customWidth="1"/>
    <col min="271" max="271" width="20.85546875" style="3" customWidth="1"/>
    <col min="272" max="274" width="11.42578125" style="3"/>
    <col min="275" max="275" width="14.42578125" style="3" customWidth="1"/>
    <col min="276" max="513" width="11.42578125" style="3"/>
    <col min="514" max="514" width="2.42578125" style="3" customWidth="1"/>
    <col min="515" max="515" width="30.42578125" style="3" customWidth="1"/>
    <col min="516" max="516" width="22.140625" style="3" customWidth="1"/>
    <col min="517" max="517" width="31.42578125" style="3" customWidth="1"/>
    <col min="518" max="518" width="29.7109375" style="3" customWidth="1"/>
    <col min="519" max="519" width="70.42578125" style="3" customWidth="1"/>
    <col min="520" max="520" width="62.28515625" style="3" customWidth="1"/>
    <col min="521" max="521" width="25.140625" style="3" customWidth="1"/>
    <col min="522" max="522" width="31.42578125" style="3" customWidth="1"/>
    <col min="523" max="523" width="31" style="3" customWidth="1"/>
    <col min="524" max="524" width="37" style="3" customWidth="1"/>
    <col min="525" max="525" width="30.140625" style="3" customWidth="1"/>
    <col min="526" max="526" width="30.42578125" style="3" customWidth="1"/>
    <col min="527" max="527" width="20.85546875" style="3" customWidth="1"/>
    <col min="528" max="530" width="11.42578125" style="3"/>
    <col min="531" max="531" width="14.42578125" style="3" customWidth="1"/>
    <col min="532" max="769" width="11.42578125" style="3"/>
    <col min="770" max="770" width="2.42578125" style="3" customWidth="1"/>
    <col min="771" max="771" width="30.42578125" style="3" customWidth="1"/>
    <col min="772" max="772" width="22.140625" style="3" customWidth="1"/>
    <col min="773" max="773" width="31.42578125" style="3" customWidth="1"/>
    <col min="774" max="774" width="29.7109375" style="3" customWidth="1"/>
    <col min="775" max="775" width="70.42578125" style="3" customWidth="1"/>
    <col min="776" max="776" width="62.28515625" style="3" customWidth="1"/>
    <col min="777" max="777" width="25.140625" style="3" customWidth="1"/>
    <col min="778" max="778" width="31.42578125" style="3" customWidth="1"/>
    <col min="779" max="779" width="31" style="3" customWidth="1"/>
    <col min="780" max="780" width="37" style="3" customWidth="1"/>
    <col min="781" max="781" width="30.140625" style="3" customWidth="1"/>
    <col min="782" max="782" width="30.42578125" style="3" customWidth="1"/>
    <col min="783" max="783" width="20.85546875" style="3" customWidth="1"/>
    <col min="784" max="786" width="11.42578125" style="3"/>
    <col min="787" max="787" width="14.42578125" style="3" customWidth="1"/>
    <col min="788" max="1025" width="11.42578125" style="3"/>
    <col min="1026" max="1026" width="2.42578125" style="3" customWidth="1"/>
    <col min="1027" max="1027" width="30.42578125" style="3" customWidth="1"/>
    <col min="1028" max="1028" width="22.140625" style="3" customWidth="1"/>
    <col min="1029" max="1029" width="31.42578125" style="3" customWidth="1"/>
    <col min="1030" max="1030" width="29.7109375" style="3" customWidth="1"/>
    <col min="1031" max="1031" width="70.42578125" style="3" customWidth="1"/>
    <col min="1032" max="1032" width="62.28515625" style="3" customWidth="1"/>
    <col min="1033" max="1033" width="25.140625" style="3" customWidth="1"/>
    <col min="1034" max="1034" width="31.42578125" style="3" customWidth="1"/>
    <col min="1035" max="1035" width="31" style="3" customWidth="1"/>
    <col min="1036" max="1036" width="37" style="3" customWidth="1"/>
    <col min="1037" max="1037" width="30.140625" style="3" customWidth="1"/>
    <col min="1038" max="1038" width="30.42578125" style="3" customWidth="1"/>
    <col min="1039" max="1039" width="20.85546875" style="3" customWidth="1"/>
    <col min="1040" max="1042" width="11.42578125" style="3"/>
    <col min="1043" max="1043" width="14.42578125" style="3" customWidth="1"/>
    <col min="1044" max="1281" width="11.42578125" style="3"/>
    <col min="1282" max="1282" width="2.42578125" style="3" customWidth="1"/>
    <col min="1283" max="1283" width="30.42578125" style="3" customWidth="1"/>
    <col min="1284" max="1284" width="22.140625" style="3" customWidth="1"/>
    <col min="1285" max="1285" width="31.42578125" style="3" customWidth="1"/>
    <col min="1286" max="1286" width="29.7109375" style="3" customWidth="1"/>
    <col min="1287" max="1287" width="70.42578125" style="3" customWidth="1"/>
    <col min="1288" max="1288" width="62.28515625" style="3" customWidth="1"/>
    <col min="1289" max="1289" width="25.140625" style="3" customWidth="1"/>
    <col min="1290" max="1290" width="31.42578125" style="3" customWidth="1"/>
    <col min="1291" max="1291" width="31" style="3" customWidth="1"/>
    <col min="1292" max="1292" width="37" style="3" customWidth="1"/>
    <col min="1293" max="1293" width="30.140625" style="3" customWidth="1"/>
    <col min="1294" max="1294" width="30.42578125" style="3" customWidth="1"/>
    <col min="1295" max="1295" width="20.85546875" style="3" customWidth="1"/>
    <col min="1296" max="1298" width="11.42578125" style="3"/>
    <col min="1299" max="1299" width="14.42578125" style="3" customWidth="1"/>
    <col min="1300" max="1537" width="11.42578125" style="3"/>
    <col min="1538" max="1538" width="2.42578125" style="3" customWidth="1"/>
    <col min="1539" max="1539" width="30.42578125" style="3" customWidth="1"/>
    <col min="1540" max="1540" width="22.140625" style="3" customWidth="1"/>
    <col min="1541" max="1541" width="31.42578125" style="3" customWidth="1"/>
    <col min="1542" max="1542" width="29.7109375" style="3" customWidth="1"/>
    <col min="1543" max="1543" width="70.42578125" style="3" customWidth="1"/>
    <col min="1544" max="1544" width="62.28515625" style="3" customWidth="1"/>
    <col min="1545" max="1545" width="25.140625" style="3" customWidth="1"/>
    <col min="1546" max="1546" width="31.42578125" style="3" customWidth="1"/>
    <col min="1547" max="1547" width="31" style="3" customWidth="1"/>
    <col min="1548" max="1548" width="37" style="3" customWidth="1"/>
    <col min="1549" max="1549" width="30.140625" style="3" customWidth="1"/>
    <col min="1550" max="1550" width="30.42578125" style="3" customWidth="1"/>
    <col min="1551" max="1551" width="20.85546875" style="3" customWidth="1"/>
    <col min="1552" max="1554" width="11.42578125" style="3"/>
    <col min="1555" max="1555" width="14.42578125" style="3" customWidth="1"/>
    <col min="1556" max="1793" width="11.42578125" style="3"/>
    <col min="1794" max="1794" width="2.42578125" style="3" customWidth="1"/>
    <col min="1795" max="1795" width="30.42578125" style="3" customWidth="1"/>
    <col min="1796" max="1796" width="22.140625" style="3" customWidth="1"/>
    <col min="1797" max="1797" width="31.42578125" style="3" customWidth="1"/>
    <col min="1798" max="1798" width="29.7109375" style="3" customWidth="1"/>
    <col min="1799" max="1799" width="70.42578125" style="3" customWidth="1"/>
    <col min="1800" max="1800" width="62.28515625" style="3" customWidth="1"/>
    <col min="1801" max="1801" width="25.140625" style="3" customWidth="1"/>
    <col min="1802" max="1802" width="31.42578125" style="3" customWidth="1"/>
    <col min="1803" max="1803" width="31" style="3" customWidth="1"/>
    <col min="1804" max="1804" width="37" style="3" customWidth="1"/>
    <col min="1805" max="1805" width="30.140625" style="3" customWidth="1"/>
    <col min="1806" max="1806" width="30.42578125" style="3" customWidth="1"/>
    <col min="1807" max="1807" width="20.85546875" style="3" customWidth="1"/>
    <col min="1808" max="1810" width="11.42578125" style="3"/>
    <col min="1811" max="1811" width="14.42578125" style="3" customWidth="1"/>
    <col min="1812" max="2049" width="11.42578125" style="3"/>
    <col min="2050" max="2050" width="2.42578125" style="3" customWidth="1"/>
    <col min="2051" max="2051" width="30.42578125" style="3" customWidth="1"/>
    <col min="2052" max="2052" width="22.140625" style="3" customWidth="1"/>
    <col min="2053" max="2053" width="31.42578125" style="3" customWidth="1"/>
    <col min="2054" max="2054" width="29.7109375" style="3" customWidth="1"/>
    <col min="2055" max="2055" width="70.42578125" style="3" customWidth="1"/>
    <col min="2056" max="2056" width="62.28515625" style="3" customWidth="1"/>
    <col min="2057" max="2057" width="25.140625" style="3" customWidth="1"/>
    <col min="2058" max="2058" width="31.42578125" style="3" customWidth="1"/>
    <col min="2059" max="2059" width="31" style="3" customWidth="1"/>
    <col min="2060" max="2060" width="37" style="3" customWidth="1"/>
    <col min="2061" max="2061" width="30.140625" style="3" customWidth="1"/>
    <col min="2062" max="2062" width="30.42578125" style="3" customWidth="1"/>
    <col min="2063" max="2063" width="20.85546875" style="3" customWidth="1"/>
    <col min="2064" max="2066" width="11.42578125" style="3"/>
    <col min="2067" max="2067" width="14.42578125" style="3" customWidth="1"/>
    <col min="2068" max="2305" width="11.42578125" style="3"/>
    <col min="2306" max="2306" width="2.42578125" style="3" customWidth="1"/>
    <col min="2307" max="2307" width="30.42578125" style="3" customWidth="1"/>
    <col min="2308" max="2308" width="22.140625" style="3" customWidth="1"/>
    <col min="2309" max="2309" width="31.42578125" style="3" customWidth="1"/>
    <col min="2310" max="2310" width="29.7109375" style="3" customWidth="1"/>
    <col min="2311" max="2311" width="70.42578125" style="3" customWidth="1"/>
    <col min="2312" max="2312" width="62.28515625" style="3" customWidth="1"/>
    <col min="2313" max="2313" width="25.140625" style="3" customWidth="1"/>
    <col min="2314" max="2314" width="31.42578125" style="3" customWidth="1"/>
    <col min="2315" max="2315" width="31" style="3" customWidth="1"/>
    <col min="2316" max="2316" width="37" style="3" customWidth="1"/>
    <col min="2317" max="2317" width="30.140625" style="3" customWidth="1"/>
    <col min="2318" max="2318" width="30.42578125" style="3" customWidth="1"/>
    <col min="2319" max="2319" width="20.85546875" style="3" customWidth="1"/>
    <col min="2320" max="2322" width="11.42578125" style="3"/>
    <col min="2323" max="2323" width="14.42578125" style="3" customWidth="1"/>
    <col min="2324" max="2561" width="11.42578125" style="3"/>
    <col min="2562" max="2562" width="2.42578125" style="3" customWidth="1"/>
    <col min="2563" max="2563" width="30.42578125" style="3" customWidth="1"/>
    <col min="2564" max="2564" width="22.140625" style="3" customWidth="1"/>
    <col min="2565" max="2565" width="31.42578125" style="3" customWidth="1"/>
    <col min="2566" max="2566" width="29.7109375" style="3" customWidth="1"/>
    <col min="2567" max="2567" width="70.42578125" style="3" customWidth="1"/>
    <col min="2568" max="2568" width="62.28515625" style="3" customWidth="1"/>
    <col min="2569" max="2569" width="25.140625" style="3" customWidth="1"/>
    <col min="2570" max="2570" width="31.42578125" style="3" customWidth="1"/>
    <col min="2571" max="2571" width="31" style="3" customWidth="1"/>
    <col min="2572" max="2572" width="37" style="3" customWidth="1"/>
    <col min="2573" max="2573" width="30.140625" style="3" customWidth="1"/>
    <col min="2574" max="2574" width="30.42578125" style="3" customWidth="1"/>
    <col min="2575" max="2575" width="20.85546875" style="3" customWidth="1"/>
    <col min="2576" max="2578" width="11.42578125" style="3"/>
    <col min="2579" max="2579" width="14.42578125" style="3" customWidth="1"/>
    <col min="2580" max="2817" width="11.42578125" style="3"/>
    <col min="2818" max="2818" width="2.42578125" style="3" customWidth="1"/>
    <col min="2819" max="2819" width="30.42578125" style="3" customWidth="1"/>
    <col min="2820" max="2820" width="22.140625" style="3" customWidth="1"/>
    <col min="2821" max="2821" width="31.42578125" style="3" customWidth="1"/>
    <col min="2822" max="2822" width="29.7109375" style="3" customWidth="1"/>
    <col min="2823" max="2823" width="70.42578125" style="3" customWidth="1"/>
    <col min="2824" max="2824" width="62.28515625" style="3" customWidth="1"/>
    <col min="2825" max="2825" width="25.140625" style="3" customWidth="1"/>
    <col min="2826" max="2826" width="31.42578125" style="3" customWidth="1"/>
    <col min="2827" max="2827" width="31" style="3" customWidth="1"/>
    <col min="2828" max="2828" width="37" style="3" customWidth="1"/>
    <col min="2829" max="2829" width="30.140625" style="3" customWidth="1"/>
    <col min="2830" max="2830" width="30.42578125" style="3" customWidth="1"/>
    <col min="2831" max="2831" width="20.85546875" style="3" customWidth="1"/>
    <col min="2832" max="2834" width="11.42578125" style="3"/>
    <col min="2835" max="2835" width="14.42578125" style="3" customWidth="1"/>
    <col min="2836" max="3073" width="11.42578125" style="3"/>
    <col min="3074" max="3074" width="2.42578125" style="3" customWidth="1"/>
    <col min="3075" max="3075" width="30.42578125" style="3" customWidth="1"/>
    <col min="3076" max="3076" width="22.140625" style="3" customWidth="1"/>
    <col min="3077" max="3077" width="31.42578125" style="3" customWidth="1"/>
    <col min="3078" max="3078" width="29.7109375" style="3" customWidth="1"/>
    <col min="3079" max="3079" width="70.42578125" style="3" customWidth="1"/>
    <col min="3080" max="3080" width="62.28515625" style="3" customWidth="1"/>
    <col min="3081" max="3081" width="25.140625" style="3" customWidth="1"/>
    <col min="3082" max="3082" width="31.42578125" style="3" customWidth="1"/>
    <col min="3083" max="3083" width="31" style="3" customWidth="1"/>
    <col min="3084" max="3084" width="37" style="3" customWidth="1"/>
    <col min="3085" max="3085" width="30.140625" style="3" customWidth="1"/>
    <col min="3086" max="3086" width="30.42578125" style="3" customWidth="1"/>
    <col min="3087" max="3087" width="20.85546875" style="3" customWidth="1"/>
    <col min="3088" max="3090" width="11.42578125" style="3"/>
    <col min="3091" max="3091" width="14.42578125" style="3" customWidth="1"/>
    <col min="3092" max="3329" width="11.42578125" style="3"/>
    <col min="3330" max="3330" width="2.42578125" style="3" customWidth="1"/>
    <col min="3331" max="3331" width="30.42578125" style="3" customWidth="1"/>
    <col min="3332" max="3332" width="22.140625" style="3" customWidth="1"/>
    <col min="3333" max="3333" width="31.42578125" style="3" customWidth="1"/>
    <col min="3334" max="3334" width="29.7109375" style="3" customWidth="1"/>
    <col min="3335" max="3335" width="70.42578125" style="3" customWidth="1"/>
    <col min="3336" max="3336" width="62.28515625" style="3" customWidth="1"/>
    <col min="3337" max="3337" width="25.140625" style="3" customWidth="1"/>
    <col min="3338" max="3338" width="31.42578125" style="3" customWidth="1"/>
    <col min="3339" max="3339" width="31" style="3" customWidth="1"/>
    <col min="3340" max="3340" width="37" style="3" customWidth="1"/>
    <col min="3341" max="3341" width="30.140625" style="3" customWidth="1"/>
    <col min="3342" max="3342" width="30.42578125" style="3" customWidth="1"/>
    <col min="3343" max="3343" width="20.85546875" style="3" customWidth="1"/>
    <col min="3344" max="3346" width="11.42578125" style="3"/>
    <col min="3347" max="3347" width="14.42578125" style="3" customWidth="1"/>
    <col min="3348" max="3585" width="11.42578125" style="3"/>
    <col min="3586" max="3586" width="2.42578125" style="3" customWidth="1"/>
    <col min="3587" max="3587" width="30.42578125" style="3" customWidth="1"/>
    <col min="3588" max="3588" width="22.140625" style="3" customWidth="1"/>
    <col min="3589" max="3589" width="31.42578125" style="3" customWidth="1"/>
    <col min="3590" max="3590" width="29.7109375" style="3" customWidth="1"/>
    <col min="3591" max="3591" width="70.42578125" style="3" customWidth="1"/>
    <col min="3592" max="3592" width="62.28515625" style="3" customWidth="1"/>
    <col min="3593" max="3593" width="25.140625" style="3" customWidth="1"/>
    <col min="3594" max="3594" width="31.42578125" style="3" customWidth="1"/>
    <col min="3595" max="3595" width="31" style="3" customWidth="1"/>
    <col min="3596" max="3596" width="37" style="3" customWidth="1"/>
    <col min="3597" max="3597" width="30.140625" style="3" customWidth="1"/>
    <col min="3598" max="3598" width="30.42578125" style="3" customWidth="1"/>
    <col min="3599" max="3599" width="20.85546875" style="3" customWidth="1"/>
    <col min="3600" max="3602" width="11.42578125" style="3"/>
    <col min="3603" max="3603" width="14.42578125" style="3" customWidth="1"/>
    <col min="3604" max="3841" width="11.42578125" style="3"/>
    <col min="3842" max="3842" width="2.42578125" style="3" customWidth="1"/>
    <col min="3843" max="3843" width="30.42578125" style="3" customWidth="1"/>
    <col min="3844" max="3844" width="22.140625" style="3" customWidth="1"/>
    <col min="3845" max="3845" width="31.42578125" style="3" customWidth="1"/>
    <col min="3846" max="3846" width="29.7109375" style="3" customWidth="1"/>
    <col min="3847" max="3847" width="70.42578125" style="3" customWidth="1"/>
    <col min="3848" max="3848" width="62.28515625" style="3" customWidth="1"/>
    <col min="3849" max="3849" width="25.140625" style="3" customWidth="1"/>
    <col min="3850" max="3850" width="31.42578125" style="3" customWidth="1"/>
    <col min="3851" max="3851" width="31" style="3" customWidth="1"/>
    <col min="3852" max="3852" width="37" style="3" customWidth="1"/>
    <col min="3853" max="3853" width="30.140625" style="3" customWidth="1"/>
    <col min="3854" max="3854" width="30.42578125" style="3" customWidth="1"/>
    <col min="3855" max="3855" width="20.85546875" style="3" customWidth="1"/>
    <col min="3856" max="3858" width="11.42578125" style="3"/>
    <col min="3859" max="3859" width="14.42578125" style="3" customWidth="1"/>
    <col min="3860" max="4097" width="11.42578125" style="3"/>
    <col min="4098" max="4098" width="2.42578125" style="3" customWidth="1"/>
    <col min="4099" max="4099" width="30.42578125" style="3" customWidth="1"/>
    <col min="4100" max="4100" width="22.140625" style="3" customWidth="1"/>
    <col min="4101" max="4101" width="31.42578125" style="3" customWidth="1"/>
    <col min="4102" max="4102" width="29.7109375" style="3" customWidth="1"/>
    <col min="4103" max="4103" width="70.42578125" style="3" customWidth="1"/>
    <col min="4104" max="4104" width="62.28515625" style="3" customWidth="1"/>
    <col min="4105" max="4105" width="25.140625" style="3" customWidth="1"/>
    <col min="4106" max="4106" width="31.42578125" style="3" customWidth="1"/>
    <col min="4107" max="4107" width="31" style="3" customWidth="1"/>
    <col min="4108" max="4108" width="37" style="3" customWidth="1"/>
    <col min="4109" max="4109" width="30.140625" style="3" customWidth="1"/>
    <col min="4110" max="4110" width="30.42578125" style="3" customWidth="1"/>
    <col min="4111" max="4111" width="20.85546875" style="3" customWidth="1"/>
    <col min="4112" max="4114" width="11.42578125" style="3"/>
    <col min="4115" max="4115" width="14.42578125" style="3" customWidth="1"/>
    <col min="4116" max="4353" width="11.42578125" style="3"/>
    <col min="4354" max="4354" width="2.42578125" style="3" customWidth="1"/>
    <col min="4355" max="4355" width="30.42578125" style="3" customWidth="1"/>
    <col min="4356" max="4356" width="22.140625" style="3" customWidth="1"/>
    <col min="4357" max="4357" width="31.42578125" style="3" customWidth="1"/>
    <col min="4358" max="4358" width="29.7109375" style="3" customWidth="1"/>
    <col min="4359" max="4359" width="70.42578125" style="3" customWidth="1"/>
    <col min="4360" max="4360" width="62.28515625" style="3" customWidth="1"/>
    <col min="4361" max="4361" width="25.140625" style="3" customWidth="1"/>
    <col min="4362" max="4362" width="31.42578125" style="3" customWidth="1"/>
    <col min="4363" max="4363" width="31" style="3" customWidth="1"/>
    <col min="4364" max="4364" width="37" style="3" customWidth="1"/>
    <col min="4365" max="4365" width="30.140625" style="3" customWidth="1"/>
    <col min="4366" max="4366" width="30.42578125" style="3" customWidth="1"/>
    <col min="4367" max="4367" width="20.85546875" style="3" customWidth="1"/>
    <col min="4368" max="4370" width="11.42578125" style="3"/>
    <col min="4371" max="4371" width="14.42578125" style="3" customWidth="1"/>
    <col min="4372" max="4609" width="11.42578125" style="3"/>
    <col min="4610" max="4610" width="2.42578125" style="3" customWidth="1"/>
    <col min="4611" max="4611" width="30.42578125" style="3" customWidth="1"/>
    <col min="4612" max="4612" width="22.140625" style="3" customWidth="1"/>
    <col min="4613" max="4613" width="31.42578125" style="3" customWidth="1"/>
    <col min="4614" max="4614" width="29.7109375" style="3" customWidth="1"/>
    <col min="4615" max="4615" width="70.42578125" style="3" customWidth="1"/>
    <col min="4616" max="4616" width="62.28515625" style="3" customWidth="1"/>
    <col min="4617" max="4617" width="25.140625" style="3" customWidth="1"/>
    <col min="4618" max="4618" width="31.42578125" style="3" customWidth="1"/>
    <col min="4619" max="4619" width="31" style="3" customWidth="1"/>
    <col min="4620" max="4620" width="37" style="3" customWidth="1"/>
    <col min="4621" max="4621" width="30.140625" style="3" customWidth="1"/>
    <col min="4622" max="4622" width="30.42578125" style="3" customWidth="1"/>
    <col min="4623" max="4623" width="20.85546875" style="3" customWidth="1"/>
    <col min="4624" max="4626" width="11.42578125" style="3"/>
    <col min="4627" max="4627" width="14.42578125" style="3" customWidth="1"/>
    <col min="4628" max="4865" width="11.42578125" style="3"/>
    <col min="4866" max="4866" width="2.42578125" style="3" customWidth="1"/>
    <col min="4867" max="4867" width="30.42578125" style="3" customWidth="1"/>
    <col min="4868" max="4868" width="22.140625" style="3" customWidth="1"/>
    <col min="4869" max="4869" width="31.42578125" style="3" customWidth="1"/>
    <col min="4870" max="4870" width="29.7109375" style="3" customWidth="1"/>
    <col min="4871" max="4871" width="70.42578125" style="3" customWidth="1"/>
    <col min="4872" max="4872" width="62.28515625" style="3" customWidth="1"/>
    <col min="4873" max="4873" width="25.140625" style="3" customWidth="1"/>
    <col min="4874" max="4874" width="31.42578125" style="3" customWidth="1"/>
    <col min="4875" max="4875" width="31" style="3" customWidth="1"/>
    <col min="4876" max="4876" width="37" style="3" customWidth="1"/>
    <col min="4877" max="4877" width="30.140625" style="3" customWidth="1"/>
    <col min="4878" max="4878" width="30.42578125" style="3" customWidth="1"/>
    <col min="4879" max="4879" width="20.85546875" style="3" customWidth="1"/>
    <col min="4880" max="4882" width="11.42578125" style="3"/>
    <col min="4883" max="4883" width="14.42578125" style="3" customWidth="1"/>
    <col min="4884" max="5121" width="11.42578125" style="3"/>
    <col min="5122" max="5122" width="2.42578125" style="3" customWidth="1"/>
    <col min="5123" max="5123" width="30.42578125" style="3" customWidth="1"/>
    <col min="5124" max="5124" width="22.140625" style="3" customWidth="1"/>
    <col min="5125" max="5125" width="31.42578125" style="3" customWidth="1"/>
    <col min="5126" max="5126" width="29.7109375" style="3" customWidth="1"/>
    <col min="5127" max="5127" width="70.42578125" style="3" customWidth="1"/>
    <col min="5128" max="5128" width="62.28515625" style="3" customWidth="1"/>
    <col min="5129" max="5129" width="25.140625" style="3" customWidth="1"/>
    <col min="5130" max="5130" width="31.42578125" style="3" customWidth="1"/>
    <col min="5131" max="5131" width="31" style="3" customWidth="1"/>
    <col min="5132" max="5132" width="37" style="3" customWidth="1"/>
    <col min="5133" max="5133" width="30.140625" style="3" customWidth="1"/>
    <col min="5134" max="5134" width="30.42578125" style="3" customWidth="1"/>
    <col min="5135" max="5135" width="20.85546875" style="3" customWidth="1"/>
    <col min="5136" max="5138" width="11.42578125" style="3"/>
    <col min="5139" max="5139" width="14.42578125" style="3" customWidth="1"/>
    <col min="5140" max="5377" width="11.42578125" style="3"/>
    <col min="5378" max="5378" width="2.42578125" style="3" customWidth="1"/>
    <col min="5379" max="5379" width="30.42578125" style="3" customWidth="1"/>
    <col min="5380" max="5380" width="22.140625" style="3" customWidth="1"/>
    <col min="5381" max="5381" width="31.42578125" style="3" customWidth="1"/>
    <col min="5382" max="5382" width="29.7109375" style="3" customWidth="1"/>
    <col min="5383" max="5383" width="70.42578125" style="3" customWidth="1"/>
    <col min="5384" max="5384" width="62.28515625" style="3" customWidth="1"/>
    <col min="5385" max="5385" width="25.140625" style="3" customWidth="1"/>
    <col min="5386" max="5386" width="31.42578125" style="3" customWidth="1"/>
    <col min="5387" max="5387" width="31" style="3" customWidth="1"/>
    <col min="5388" max="5388" width="37" style="3" customWidth="1"/>
    <col min="5389" max="5389" width="30.140625" style="3" customWidth="1"/>
    <col min="5390" max="5390" width="30.42578125" style="3" customWidth="1"/>
    <col min="5391" max="5391" width="20.85546875" style="3" customWidth="1"/>
    <col min="5392" max="5394" width="11.42578125" style="3"/>
    <col min="5395" max="5395" width="14.42578125" style="3" customWidth="1"/>
    <col min="5396" max="5633" width="11.42578125" style="3"/>
    <col min="5634" max="5634" width="2.42578125" style="3" customWidth="1"/>
    <col min="5635" max="5635" width="30.42578125" style="3" customWidth="1"/>
    <col min="5636" max="5636" width="22.140625" style="3" customWidth="1"/>
    <col min="5637" max="5637" width="31.42578125" style="3" customWidth="1"/>
    <col min="5638" max="5638" width="29.7109375" style="3" customWidth="1"/>
    <col min="5639" max="5639" width="70.42578125" style="3" customWidth="1"/>
    <col min="5640" max="5640" width="62.28515625" style="3" customWidth="1"/>
    <col min="5641" max="5641" width="25.140625" style="3" customWidth="1"/>
    <col min="5642" max="5642" width="31.42578125" style="3" customWidth="1"/>
    <col min="5643" max="5643" width="31" style="3" customWidth="1"/>
    <col min="5644" max="5644" width="37" style="3" customWidth="1"/>
    <col min="5645" max="5645" width="30.140625" style="3" customWidth="1"/>
    <col min="5646" max="5646" width="30.42578125" style="3" customWidth="1"/>
    <col min="5647" max="5647" width="20.85546875" style="3" customWidth="1"/>
    <col min="5648" max="5650" width="11.42578125" style="3"/>
    <col min="5651" max="5651" width="14.42578125" style="3" customWidth="1"/>
    <col min="5652" max="5889" width="11.42578125" style="3"/>
    <col min="5890" max="5890" width="2.42578125" style="3" customWidth="1"/>
    <col min="5891" max="5891" width="30.42578125" style="3" customWidth="1"/>
    <col min="5892" max="5892" width="22.140625" style="3" customWidth="1"/>
    <col min="5893" max="5893" width="31.42578125" style="3" customWidth="1"/>
    <col min="5894" max="5894" width="29.7109375" style="3" customWidth="1"/>
    <col min="5895" max="5895" width="70.42578125" style="3" customWidth="1"/>
    <col min="5896" max="5896" width="62.28515625" style="3" customWidth="1"/>
    <col min="5897" max="5897" width="25.140625" style="3" customWidth="1"/>
    <col min="5898" max="5898" width="31.42578125" style="3" customWidth="1"/>
    <col min="5899" max="5899" width="31" style="3" customWidth="1"/>
    <col min="5900" max="5900" width="37" style="3" customWidth="1"/>
    <col min="5901" max="5901" width="30.140625" style="3" customWidth="1"/>
    <col min="5902" max="5902" width="30.42578125" style="3" customWidth="1"/>
    <col min="5903" max="5903" width="20.85546875" style="3" customWidth="1"/>
    <col min="5904" max="5906" width="11.42578125" style="3"/>
    <col min="5907" max="5907" width="14.42578125" style="3" customWidth="1"/>
    <col min="5908" max="6145" width="11.42578125" style="3"/>
    <col min="6146" max="6146" width="2.42578125" style="3" customWidth="1"/>
    <col min="6147" max="6147" width="30.42578125" style="3" customWidth="1"/>
    <col min="6148" max="6148" width="22.140625" style="3" customWidth="1"/>
    <col min="6149" max="6149" width="31.42578125" style="3" customWidth="1"/>
    <col min="6150" max="6150" width="29.7109375" style="3" customWidth="1"/>
    <col min="6151" max="6151" width="70.42578125" style="3" customWidth="1"/>
    <col min="6152" max="6152" width="62.28515625" style="3" customWidth="1"/>
    <col min="6153" max="6153" width="25.140625" style="3" customWidth="1"/>
    <col min="6154" max="6154" width="31.42578125" style="3" customWidth="1"/>
    <col min="6155" max="6155" width="31" style="3" customWidth="1"/>
    <col min="6156" max="6156" width="37" style="3" customWidth="1"/>
    <col min="6157" max="6157" width="30.140625" style="3" customWidth="1"/>
    <col min="6158" max="6158" width="30.42578125" style="3" customWidth="1"/>
    <col min="6159" max="6159" width="20.85546875" style="3" customWidth="1"/>
    <col min="6160" max="6162" width="11.42578125" style="3"/>
    <col min="6163" max="6163" width="14.42578125" style="3" customWidth="1"/>
    <col min="6164" max="6401" width="11.42578125" style="3"/>
    <col min="6402" max="6402" width="2.42578125" style="3" customWidth="1"/>
    <col min="6403" max="6403" width="30.42578125" style="3" customWidth="1"/>
    <col min="6404" max="6404" width="22.140625" style="3" customWidth="1"/>
    <col min="6405" max="6405" width="31.42578125" style="3" customWidth="1"/>
    <col min="6406" max="6406" width="29.7109375" style="3" customWidth="1"/>
    <col min="6407" max="6407" width="70.42578125" style="3" customWidth="1"/>
    <col min="6408" max="6408" width="62.28515625" style="3" customWidth="1"/>
    <col min="6409" max="6409" width="25.140625" style="3" customWidth="1"/>
    <col min="6410" max="6410" width="31.42578125" style="3" customWidth="1"/>
    <col min="6411" max="6411" width="31" style="3" customWidth="1"/>
    <col min="6412" max="6412" width="37" style="3" customWidth="1"/>
    <col min="6413" max="6413" width="30.140625" style="3" customWidth="1"/>
    <col min="6414" max="6414" width="30.42578125" style="3" customWidth="1"/>
    <col min="6415" max="6415" width="20.85546875" style="3" customWidth="1"/>
    <col min="6416" max="6418" width="11.42578125" style="3"/>
    <col min="6419" max="6419" width="14.42578125" style="3" customWidth="1"/>
    <col min="6420" max="6657" width="11.42578125" style="3"/>
    <col min="6658" max="6658" width="2.42578125" style="3" customWidth="1"/>
    <col min="6659" max="6659" width="30.42578125" style="3" customWidth="1"/>
    <col min="6660" max="6660" width="22.140625" style="3" customWidth="1"/>
    <col min="6661" max="6661" width="31.42578125" style="3" customWidth="1"/>
    <col min="6662" max="6662" width="29.7109375" style="3" customWidth="1"/>
    <col min="6663" max="6663" width="70.42578125" style="3" customWidth="1"/>
    <col min="6664" max="6664" width="62.28515625" style="3" customWidth="1"/>
    <col min="6665" max="6665" width="25.140625" style="3" customWidth="1"/>
    <col min="6666" max="6666" width="31.42578125" style="3" customWidth="1"/>
    <col min="6667" max="6667" width="31" style="3" customWidth="1"/>
    <col min="6668" max="6668" width="37" style="3" customWidth="1"/>
    <col min="6669" max="6669" width="30.140625" style="3" customWidth="1"/>
    <col min="6670" max="6670" width="30.42578125" style="3" customWidth="1"/>
    <col min="6671" max="6671" width="20.85546875" style="3" customWidth="1"/>
    <col min="6672" max="6674" width="11.42578125" style="3"/>
    <col min="6675" max="6675" width="14.42578125" style="3" customWidth="1"/>
    <col min="6676" max="6913" width="11.42578125" style="3"/>
    <col min="6914" max="6914" width="2.42578125" style="3" customWidth="1"/>
    <col min="6915" max="6915" width="30.42578125" style="3" customWidth="1"/>
    <col min="6916" max="6916" width="22.140625" style="3" customWidth="1"/>
    <col min="6917" max="6917" width="31.42578125" style="3" customWidth="1"/>
    <col min="6918" max="6918" width="29.7109375" style="3" customWidth="1"/>
    <col min="6919" max="6919" width="70.42578125" style="3" customWidth="1"/>
    <col min="6920" max="6920" width="62.28515625" style="3" customWidth="1"/>
    <col min="6921" max="6921" width="25.140625" style="3" customWidth="1"/>
    <col min="6922" max="6922" width="31.42578125" style="3" customWidth="1"/>
    <col min="6923" max="6923" width="31" style="3" customWidth="1"/>
    <col min="6924" max="6924" width="37" style="3" customWidth="1"/>
    <col min="6925" max="6925" width="30.140625" style="3" customWidth="1"/>
    <col min="6926" max="6926" width="30.42578125" style="3" customWidth="1"/>
    <col min="6927" max="6927" width="20.85546875" style="3" customWidth="1"/>
    <col min="6928" max="6930" width="11.42578125" style="3"/>
    <col min="6931" max="6931" width="14.42578125" style="3" customWidth="1"/>
    <col min="6932" max="7169" width="11.42578125" style="3"/>
    <col min="7170" max="7170" width="2.42578125" style="3" customWidth="1"/>
    <col min="7171" max="7171" width="30.42578125" style="3" customWidth="1"/>
    <col min="7172" max="7172" width="22.140625" style="3" customWidth="1"/>
    <col min="7173" max="7173" width="31.42578125" style="3" customWidth="1"/>
    <col min="7174" max="7174" width="29.7109375" style="3" customWidth="1"/>
    <col min="7175" max="7175" width="70.42578125" style="3" customWidth="1"/>
    <col min="7176" max="7176" width="62.28515625" style="3" customWidth="1"/>
    <col min="7177" max="7177" width="25.140625" style="3" customWidth="1"/>
    <col min="7178" max="7178" width="31.42578125" style="3" customWidth="1"/>
    <col min="7179" max="7179" width="31" style="3" customWidth="1"/>
    <col min="7180" max="7180" width="37" style="3" customWidth="1"/>
    <col min="7181" max="7181" width="30.140625" style="3" customWidth="1"/>
    <col min="7182" max="7182" width="30.42578125" style="3" customWidth="1"/>
    <col min="7183" max="7183" width="20.85546875" style="3" customWidth="1"/>
    <col min="7184" max="7186" width="11.42578125" style="3"/>
    <col min="7187" max="7187" width="14.42578125" style="3" customWidth="1"/>
    <col min="7188" max="7425" width="11.42578125" style="3"/>
    <col min="7426" max="7426" width="2.42578125" style="3" customWidth="1"/>
    <col min="7427" max="7427" width="30.42578125" style="3" customWidth="1"/>
    <col min="7428" max="7428" width="22.140625" style="3" customWidth="1"/>
    <col min="7429" max="7429" width="31.42578125" style="3" customWidth="1"/>
    <col min="7430" max="7430" width="29.7109375" style="3" customWidth="1"/>
    <col min="7431" max="7431" width="70.42578125" style="3" customWidth="1"/>
    <col min="7432" max="7432" width="62.28515625" style="3" customWidth="1"/>
    <col min="7433" max="7433" width="25.140625" style="3" customWidth="1"/>
    <col min="7434" max="7434" width="31.42578125" style="3" customWidth="1"/>
    <col min="7435" max="7435" width="31" style="3" customWidth="1"/>
    <col min="7436" max="7436" width="37" style="3" customWidth="1"/>
    <col min="7437" max="7437" width="30.140625" style="3" customWidth="1"/>
    <col min="7438" max="7438" width="30.42578125" style="3" customWidth="1"/>
    <col min="7439" max="7439" width="20.85546875" style="3" customWidth="1"/>
    <col min="7440" max="7442" width="11.42578125" style="3"/>
    <col min="7443" max="7443" width="14.42578125" style="3" customWidth="1"/>
    <col min="7444" max="7681" width="11.42578125" style="3"/>
    <col min="7682" max="7682" width="2.42578125" style="3" customWidth="1"/>
    <col min="7683" max="7683" width="30.42578125" style="3" customWidth="1"/>
    <col min="7684" max="7684" width="22.140625" style="3" customWidth="1"/>
    <col min="7685" max="7685" width="31.42578125" style="3" customWidth="1"/>
    <col min="7686" max="7686" width="29.7109375" style="3" customWidth="1"/>
    <col min="7687" max="7687" width="70.42578125" style="3" customWidth="1"/>
    <col min="7688" max="7688" width="62.28515625" style="3" customWidth="1"/>
    <col min="7689" max="7689" width="25.140625" style="3" customWidth="1"/>
    <col min="7690" max="7690" width="31.42578125" style="3" customWidth="1"/>
    <col min="7691" max="7691" width="31" style="3" customWidth="1"/>
    <col min="7692" max="7692" width="37" style="3" customWidth="1"/>
    <col min="7693" max="7693" width="30.140625" style="3" customWidth="1"/>
    <col min="7694" max="7694" width="30.42578125" style="3" customWidth="1"/>
    <col min="7695" max="7695" width="20.85546875" style="3" customWidth="1"/>
    <col min="7696" max="7698" width="11.42578125" style="3"/>
    <col min="7699" max="7699" width="14.42578125" style="3" customWidth="1"/>
    <col min="7700" max="7937" width="11.42578125" style="3"/>
    <col min="7938" max="7938" width="2.42578125" style="3" customWidth="1"/>
    <col min="7939" max="7939" width="30.42578125" style="3" customWidth="1"/>
    <col min="7940" max="7940" width="22.140625" style="3" customWidth="1"/>
    <col min="7941" max="7941" width="31.42578125" style="3" customWidth="1"/>
    <col min="7942" max="7942" width="29.7109375" style="3" customWidth="1"/>
    <col min="7943" max="7943" width="70.42578125" style="3" customWidth="1"/>
    <col min="7944" max="7944" width="62.28515625" style="3" customWidth="1"/>
    <col min="7945" max="7945" width="25.140625" style="3" customWidth="1"/>
    <col min="7946" max="7946" width="31.42578125" style="3" customWidth="1"/>
    <col min="7947" max="7947" width="31" style="3" customWidth="1"/>
    <col min="7948" max="7948" width="37" style="3" customWidth="1"/>
    <col min="7949" max="7949" width="30.140625" style="3" customWidth="1"/>
    <col min="7950" max="7950" width="30.42578125" style="3" customWidth="1"/>
    <col min="7951" max="7951" width="20.85546875" style="3" customWidth="1"/>
    <col min="7952" max="7954" width="11.42578125" style="3"/>
    <col min="7955" max="7955" width="14.42578125" style="3" customWidth="1"/>
    <col min="7956" max="8193" width="11.42578125" style="3"/>
    <col min="8194" max="8194" width="2.42578125" style="3" customWidth="1"/>
    <col min="8195" max="8195" width="30.42578125" style="3" customWidth="1"/>
    <col min="8196" max="8196" width="22.140625" style="3" customWidth="1"/>
    <col min="8197" max="8197" width="31.42578125" style="3" customWidth="1"/>
    <col min="8198" max="8198" width="29.7109375" style="3" customWidth="1"/>
    <col min="8199" max="8199" width="70.42578125" style="3" customWidth="1"/>
    <col min="8200" max="8200" width="62.28515625" style="3" customWidth="1"/>
    <col min="8201" max="8201" width="25.140625" style="3" customWidth="1"/>
    <col min="8202" max="8202" width="31.42578125" style="3" customWidth="1"/>
    <col min="8203" max="8203" width="31" style="3" customWidth="1"/>
    <col min="8204" max="8204" width="37" style="3" customWidth="1"/>
    <col min="8205" max="8205" width="30.140625" style="3" customWidth="1"/>
    <col min="8206" max="8206" width="30.42578125" style="3" customWidth="1"/>
    <col min="8207" max="8207" width="20.85546875" style="3" customWidth="1"/>
    <col min="8208" max="8210" width="11.42578125" style="3"/>
    <col min="8211" max="8211" width="14.42578125" style="3" customWidth="1"/>
    <col min="8212" max="8449" width="11.42578125" style="3"/>
    <col min="8450" max="8450" width="2.42578125" style="3" customWidth="1"/>
    <col min="8451" max="8451" width="30.42578125" style="3" customWidth="1"/>
    <col min="8452" max="8452" width="22.140625" style="3" customWidth="1"/>
    <col min="8453" max="8453" width="31.42578125" style="3" customWidth="1"/>
    <col min="8454" max="8454" width="29.7109375" style="3" customWidth="1"/>
    <col min="8455" max="8455" width="70.42578125" style="3" customWidth="1"/>
    <col min="8456" max="8456" width="62.28515625" style="3" customWidth="1"/>
    <col min="8457" max="8457" width="25.140625" style="3" customWidth="1"/>
    <col min="8458" max="8458" width="31.42578125" style="3" customWidth="1"/>
    <col min="8459" max="8459" width="31" style="3" customWidth="1"/>
    <col min="8460" max="8460" width="37" style="3" customWidth="1"/>
    <col min="8461" max="8461" width="30.140625" style="3" customWidth="1"/>
    <col min="8462" max="8462" width="30.42578125" style="3" customWidth="1"/>
    <col min="8463" max="8463" width="20.85546875" style="3" customWidth="1"/>
    <col min="8464" max="8466" width="11.42578125" style="3"/>
    <col min="8467" max="8467" width="14.42578125" style="3" customWidth="1"/>
    <col min="8468" max="8705" width="11.42578125" style="3"/>
    <col min="8706" max="8706" width="2.42578125" style="3" customWidth="1"/>
    <col min="8707" max="8707" width="30.42578125" style="3" customWidth="1"/>
    <col min="8708" max="8708" width="22.140625" style="3" customWidth="1"/>
    <col min="8709" max="8709" width="31.42578125" style="3" customWidth="1"/>
    <col min="8710" max="8710" width="29.7109375" style="3" customWidth="1"/>
    <col min="8711" max="8711" width="70.42578125" style="3" customWidth="1"/>
    <col min="8712" max="8712" width="62.28515625" style="3" customWidth="1"/>
    <col min="8713" max="8713" width="25.140625" style="3" customWidth="1"/>
    <col min="8714" max="8714" width="31.42578125" style="3" customWidth="1"/>
    <col min="8715" max="8715" width="31" style="3" customWidth="1"/>
    <col min="8716" max="8716" width="37" style="3" customWidth="1"/>
    <col min="8717" max="8717" width="30.140625" style="3" customWidth="1"/>
    <col min="8718" max="8718" width="30.42578125" style="3" customWidth="1"/>
    <col min="8719" max="8719" width="20.85546875" style="3" customWidth="1"/>
    <col min="8720" max="8722" width="11.42578125" style="3"/>
    <col min="8723" max="8723" width="14.42578125" style="3" customWidth="1"/>
    <col min="8724" max="8961" width="11.42578125" style="3"/>
    <col min="8962" max="8962" width="2.42578125" style="3" customWidth="1"/>
    <col min="8963" max="8963" width="30.42578125" style="3" customWidth="1"/>
    <col min="8964" max="8964" width="22.140625" style="3" customWidth="1"/>
    <col min="8965" max="8965" width="31.42578125" style="3" customWidth="1"/>
    <col min="8966" max="8966" width="29.7109375" style="3" customWidth="1"/>
    <col min="8967" max="8967" width="70.42578125" style="3" customWidth="1"/>
    <col min="8968" max="8968" width="62.28515625" style="3" customWidth="1"/>
    <col min="8969" max="8969" width="25.140625" style="3" customWidth="1"/>
    <col min="8970" max="8970" width="31.42578125" style="3" customWidth="1"/>
    <col min="8971" max="8971" width="31" style="3" customWidth="1"/>
    <col min="8972" max="8972" width="37" style="3" customWidth="1"/>
    <col min="8973" max="8973" width="30.140625" style="3" customWidth="1"/>
    <col min="8974" max="8974" width="30.42578125" style="3" customWidth="1"/>
    <col min="8975" max="8975" width="20.85546875" style="3" customWidth="1"/>
    <col min="8976" max="8978" width="11.42578125" style="3"/>
    <col min="8979" max="8979" width="14.42578125" style="3" customWidth="1"/>
    <col min="8980" max="9217" width="11.42578125" style="3"/>
    <col min="9218" max="9218" width="2.42578125" style="3" customWidth="1"/>
    <col min="9219" max="9219" width="30.42578125" style="3" customWidth="1"/>
    <col min="9220" max="9220" width="22.140625" style="3" customWidth="1"/>
    <col min="9221" max="9221" width="31.42578125" style="3" customWidth="1"/>
    <col min="9222" max="9222" width="29.7109375" style="3" customWidth="1"/>
    <col min="9223" max="9223" width="70.42578125" style="3" customWidth="1"/>
    <col min="9224" max="9224" width="62.28515625" style="3" customWidth="1"/>
    <col min="9225" max="9225" width="25.140625" style="3" customWidth="1"/>
    <col min="9226" max="9226" width="31.42578125" style="3" customWidth="1"/>
    <col min="9227" max="9227" width="31" style="3" customWidth="1"/>
    <col min="9228" max="9228" width="37" style="3" customWidth="1"/>
    <col min="9229" max="9229" width="30.140625" style="3" customWidth="1"/>
    <col min="9230" max="9230" width="30.42578125" style="3" customWidth="1"/>
    <col min="9231" max="9231" width="20.85546875" style="3" customWidth="1"/>
    <col min="9232" max="9234" width="11.42578125" style="3"/>
    <col min="9235" max="9235" width="14.42578125" style="3" customWidth="1"/>
    <col min="9236" max="9473" width="11.42578125" style="3"/>
    <col min="9474" max="9474" width="2.42578125" style="3" customWidth="1"/>
    <col min="9475" max="9475" width="30.42578125" style="3" customWidth="1"/>
    <col min="9476" max="9476" width="22.140625" style="3" customWidth="1"/>
    <col min="9477" max="9477" width="31.42578125" style="3" customWidth="1"/>
    <col min="9478" max="9478" width="29.7109375" style="3" customWidth="1"/>
    <col min="9479" max="9479" width="70.42578125" style="3" customWidth="1"/>
    <col min="9480" max="9480" width="62.28515625" style="3" customWidth="1"/>
    <col min="9481" max="9481" width="25.140625" style="3" customWidth="1"/>
    <col min="9482" max="9482" width="31.42578125" style="3" customWidth="1"/>
    <col min="9483" max="9483" width="31" style="3" customWidth="1"/>
    <col min="9484" max="9484" width="37" style="3" customWidth="1"/>
    <col min="9485" max="9485" width="30.140625" style="3" customWidth="1"/>
    <col min="9486" max="9486" width="30.42578125" style="3" customWidth="1"/>
    <col min="9487" max="9487" width="20.85546875" style="3" customWidth="1"/>
    <col min="9488" max="9490" width="11.42578125" style="3"/>
    <col min="9491" max="9491" width="14.42578125" style="3" customWidth="1"/>
    <col min="9492" max="9729" width="11.42578125" style="3"/>
    <col min="9730" max="9730" width="2.42578125" style="3" customWidth="1"/>
    <col min="9731" max="9731" width="30.42578125" style="3" customWidth="1"/>
    <col min="9732" max="9732" width="22.140625" style="3" customWidth="1"/>
    <col min="9733" max="9733" width="31.42578125" style="3" customWidth="1"/>
    <col min="9734" max="9734" width="29.7109375" style="3" customWidth="1"/>
    <col min="9735" max="9735" width="70.42578125" style="3" customWidth="1"/>
    <col min="9736" max="9736" width="62.28515625" style="3" customWidth="1"/>
    <col min="9737" max="9737" width="25.140625" style="3" customWidth="1"/>
    <col min="9738" max="9738" width="31.42578125" style="3" customWidth="1"/>
    <col min="9739" max="9739" width="31" style="3" customWidth="1"/>
    <col min="9740" max="9740" width="37" style="3" customWidth="1"/>
    <col min="9741" max="9741" width="30.140625" style="3" customWidth="1"/>
    <col min="9742" max="9742" width="30.42578125" style="3" customWidth="1"/>
    <col min="9743" max="9743" width="20.85546875" style="3" customWidth="1"/>
    <col min="9744" max="9746" width="11.42578125" style="3"/>
    <col min="9747" max="9747" width="14.42578125" style="3" customWidth="1"/>
    <col min="9748" max="9985" width="11.42578125" style="3"/>
    <col min="9986" max="9986" width="2.42578125" style="3" customWidth="1"/>
    <col min="9987" max="9987" width="30.42578125" style="3" customWidth="1"/>
    <col min="9988" max="9988" width="22.140625" style="3" customWidth="1"/>
    <col min="9989" max="9989" width="31.42578125" style="3" customWidth="1"/>
    <col min="9990" max="9990" width="29.7109375" style="3" customWidth="1"/>
    <col min="9991" max="9991" width="70.42578125" style="3" customWidth="1"/>
    <col min="9992" max="9992" width="62.28515625" style="3" customWidth="1"/>
    <col min="9993" max="9993" width="25.140625" style="3" customWidth="1"/>
    <col min="9994" max="9994" width="31.42578125" style="3" customWidth="1"/>
    <col min="9995" max="9995" width="31" style="3" customWidth="1"/>
    <col min="9996" max="9996" width="37" style="3" customWidth="1"/>
    <col min="9997" max="9997" width="30.140625" style="3" customWidth="1"/>
    <col min="9998" max="9998" width="30.42578125" style="3" customWidth="1"/>
    <col min="9999" max="9999" width="20.85546875" style="3" customWidth="1"/>
    <col min="10000" max="10002" width="11.42578125" style="3"/>
    <col min="10003" max="10003" width="14.42578125" style="3" customWidth="1"/>
    <col min="10004" max="10241" width="11.42578125" style="3"/>
    <col min="10242" max="10242" width="2.42578125" style="3" customWidth="1"/>
    <col min="10243" max="10243" width="30.42578125" style="3" customWidth="1"/>
    <col min="10244" max="10244" width="22.140625" style="3" customWidth="1"/>
    <col min="10245" max="10245" width="31.42578125" style="3" customWidth="1"/>
    <col min="10246" max="10246" width="29.7109375" style="3" customWidth="1"/>
    <col min="10247" max="10247" width="70.42578125" style="3" customWidth="1"/>
    <col min="10248" max="10248" width="62.28515625" style="3" customWidth="1"/>
    <col min="10249" max="10249" width="25.140625" style="3" customWidth="1"/>
    <col min="10250" max="10250" width="31.42578125" style="3" customWidth="1"/>
    <col min="10251" max="10251" width="31" style="3" customWidth="1"/>
    <col min="10252" max="10252" width="37" style="3" customWidth="1"/>
    <col min="10253" max="10253" width="30.140625" style="3" customWidth="1"/>
    <col min="10254" max="10254" width="30.42578125" style="3" customWidth="1"/>
    <col min="10255" max="10255" width="20.85546875" style="3" customWidth="1"/>
    <col min="10256" max="10258" width="11.42578125" style="3"/>
    <col min="10259" max="10259" width="14.42578125" style="3" customWidth="1"/>
    <col min="10260" max="10497" width="11.42578125" style="3"/>
    <col min="10498" max="10498" width="2.42578125" style="3" customWidth="1"/>
    <col min="10499" max="10499" width="30.42578125" style="3" customWidth="1"/>
    <col min="10500" max="10500" width="22.140625" style="3" customWidth="1"/>
    <col min="10501" max="10501" width="31.42578125" style="3" customWidth="1"/>
    <col min="10502" max="10502" width="29.7109375" style="3" customWidth="1"/>
    <col min="10503" max="10503" width="70.42578125" style="3" customWidth="1"/>
    <col min="10504" max="10504" width="62.28515625" style="3" customWidth="1"/>
    <col min="10505" max="10505" width="25.140625" style="3" customWidth="1"/>
    <col min="10506" max="10506" width="31.42578125" style="3" customWidth="1"/>
    <col min="10507" max="10507" width="31" style="3" customWidth="1"/>
    <col min="10508" max="10508" width="37" style="3" customWidth="1"/>
    <col min="10509" max="10509" width="30.140625" style="3" customWidth="1"/>
    <col min="10510" max="10510" width="30.42578125" style="3" customWidth="1"/>
    <col min="10511" max="10511" width="20.85546875" style="3" customWidth="1"/>
    <col min="10512" max="10514" width="11.42578125" style="3"/>
    <col min="10515" max="10515" width="14.42578125" style="3" customWidth="1"/>
    <col min="10516" max="10753" width="11.42578125" style="3"/>
    <col min="10754" max="10754" width="2.42578125" style="3" customWidth="1"/>
    <col min="10755" max="10755" width="30.42578125" style="3" customWidth="1"/>
    <col min="10756" max="10756" width="22.140625" style="3" customWidth="1"/>
    <col min="10757" max="10757" width="31.42578125" style="3" customWidth="1"/>
    <col min="10758" max="10758" width="29.7109375" style="3" customWidth="1"/>
    <col min="10759" max="10759" width="70.42578125" style="3" customWidth="1"/>
    <col min="10760" max="10760" width="62.28515625" style="3" customWidth="1"/>
    <col min="10761" max="10761" width="25.140625" style="3" customWidth="1"/>
    <col min="10762" max="10762" width="31.42578125" style="3" customWidth="1"/>
    <col min="10763" max="10763" width="31" style="3" customWidth="1"/>
    <col min="10764" max="10764" width="37" style="3" customWidth="1"/>
    <col min="10765" max="10765" width="30.140625" style="3" customWidth="1"/>
    <col min="10766" max="10766" width="30.42578125" style="3" customWidth="1"/>
    <col min="10767" max="10767" width="20.85546875" style="3" customWidth="1"/>
    <col min="10768" max="10770" width="11.42578125" style="3"/>
    <col min="10771" max="10771" width="14.42578125" style="3" customWidth="1"/>
    <col min="10772" max="11009" width="11.42578125" style="3"/>
    <col min="11010" max="11010" width="2.42578125" style="3" customWidth="1"/>
    <col min="11011" max="11011" width="30.42578125" style="3" customWidth="1"/>
    <col min="11012" max="11012" width="22.140625" style="3" customWidth="1"/>
    <col min="11013" max="11013" width="31.42578125" style="3" customWidth="1"/>
    <col min="11014" max="11014" width="29.7109375" style="3" customWidth="1"/>
    <col min="11015" max="11015" width="70.42578125" style="3" customWidth="1"/>
    <col min="11016" max="11016" width="62.28515625" style="3" customWidth="1"/>
    <col min="11017" max="11017" width="25.140625" style="3" customWidth="1"/>
    <col min="11018" max="11018" width="31.42578125" style="3" customWidth="1"/>
    <col min="11019" max="11019" width="31" style="3" customWidth="1"/>
    <col min="11020" max="11020" width="37" style="3" customWidth="1"/>
    <col min="11021" max="11021" width="30.140625" style="3" customWidth="1"/>
    <col min="11022" max="11022" width="30.42578125" style="3" customWidth="1"/>
    <col min="11023" max="11023" width="20.85546875" style="3" customWidth="1"/>
    <col min="11024" max="11026" width="11.42578125" style="3"/>
    <col min="11027" max="11027" width="14.42578125" style="3" customWidth="1"/>
    <col min="11028" max="11265" width="11.42578125" style="3"/>
    <col min="11266" max="11266" width="2.42578125" style="3" customWidth="1"/>
    <col min="11267" max="11267" width="30.42578125" style="3" customWidth="1"/>
    <col min="11268" max="11268" width="22.140625" style="3" customWidth="1"/>
    <col min="11269" max="11269" width="31.42578125" style="3" customWidth="1"/>
    <col min="11270" max="11270" width="29.7109375" style="3" customWidth="1"/>
    <col min="11271" max="11271" width="70.42578125" style="3" customWidth="1"/>
    <col min="11272" max="11272" width="62.28515625" style="3" customWidth="1"/>
    <col min="11273" max="11273" width="25.140625" style="3" customWidth="1"/>
    <col min="11274" max="11274" width="31.42578125" style="3" customWidth="1"/>
    <col min="11275" max="11275" width="31" style="3" customWidth="1"/>
    <col min="11276" max="11276" width="37" style="3" customWidth="1"/>
    <col min="11277" max="11277" width="30.140625" style="3" customWidth="1"/>
    <col min="11278" max="11278" width="30.42578125" style="3" customWidth="1"/>
    <col min="11279" max="11279" width="20.85546875" style="3" customWidth="1"/>
    <col min="11280" max="11282" width="11.42578125" style="3"/>
    <col min="11283" max="11283" width="14.42578125" style="3" customWidth="1"/>
    <col min="11284" max="11521" width="11.42578125" style="3"/>
    <col min="11522" max="11522" width="2.42578125" style="3" customWidth="1"/>
    <col min="11523" max="11523" width="30.42578125" style="3" customWidth="1"/>
    <col min="11524" max="11524" width="22.140625" style="3" customWidth="1"/>
    <col min="11525" max="11525" width="31.42578125" style="3" customWidth="1"/>
    <col min="11526" max="11526" width="29.7109375" style="3" customWidth="1"/>
    <col min="11527" max="11527" width="70.42578125" style="3" customWidth="1"/>
    <col min="11528" max="11528" width="62.28515625" style="3" customWidth="1"/>
    <col min="11529" max="11529" width="25.140625" style="3" customWidth="1"/>
    <col min="11530" max="11530" width="31.42578125" style="3" customWidth="1"/>
    <col min="11531" max="11531" width="31" style="3" customWidth="1"/>
    <col min="11532" max="11532" width="37" style="3" customWidth="1"/>
    <col min="11533" max="11533" width="30.140625" style="3" customWidth="1"/>
    <col min="11534" max="11534" width="30.42578125" style="3" customWidth="1"/>
    <col min="11535" max="11535" width="20.85546875" style="3" customWidth="1"/>
    <col min="11536" max="11538" width="11.42578125" style="3"/>
    <col min="11539" max="11539" width="14.42578125" style="3" customWidth="1"/>
    <col min="11540" max="11777" width="11.42578125" style="3"/>
    <col min="11778" max="11778" width="2.42578125" style="3" customWidth="1"/>
    <col min="11779" max="11779" width="30.42578125" style="3" customWidth="1"/>
    <col min="11780" max="11780" width="22.140625" style="3" customWidth="1"/>
    <col min="11781" max="11781" width="31.42578125" style="3" customWidth="1"/>
    <col min="11782" max="11782" width="29.7109375" style="3" customWidth="1"/>
    <col min="11783" max="11783" width="70.42578125" style="3" customWidth="1"/>
    <col min="11784" max="11784" width="62.28515625" style="3" customWidth="1"/>
    <col min="11785" max="11785" width="25.140625" style="3" customWidth="1"/>
    <col min="11786" max="11786" width="31.42578125" style="3" customWidth="1"/>
    <col min="11787" max="11787" width="31" style="3" customWidth="1"/>
    <col min="11788" max="11788" width="37" style="3" customWidth="1"/>
    <col min="11789" max="11789" width="30.140625" style="3" customWidth="1"/>
    <col min="11790" max="11790" width="30.42578125" style="3" customWidth="1"/>
    <col min="11791" max="11791" width="20.85546875" style="3" customWidth="1"/>
    <col min="11792" max="11794" width="11.42578125" style="3"/>
    <col min="11795" max="11795" width="14.42578125" style="3" customWidth="1"/>
    <col min="11796" max="12033" width="11.42578125" style="3"/>
    <col min="12034" max="12034" width="2.42578125" style="3" customWidth="1"/>
    <col min="12035" max="12035" width="30.42578125" style="3" customWidth="1"/>
    <col min="12036" max="12036" width="22.140625" style="3" customWidth="1"/>
    <col min="12037" max="12037" width="31.42578125" style="3" customWidth="1"/>
    <col min="12038" max="12038" width="29.7109375" style="3" customWidth="1"/>
    <col min="12039" max="12039" width="70.42578125" style="3" customWidth="1"/>
    <col min="12040" max="12040" width="62.28515625" style="3" customWidth="1"/>
    <col min="12041" max="12041" width="25.140625" style="3" customWidth="1"/>
    <col min="12042" max="12042" width="31.42578125" style="3" customWidth="1"/>
    <col min="12043" max="12043" width="31" style="3" customWidth="1"/>
    <col min="12044" max="12044" width="37" style="3" customWidth="1"/>
    <col min="12045" max="12045" width="30.140625" style="3" customWidth="1"/>
    <col min="12046" max="12046" width="30.42578125" style="3" customWidth="1"/>
    <col min="12047" max="12047" width="20.85546875" style="3" customWidth="1"/>
    <col min="12048" max="12050" width="11.42578125" style="3"/>
    <col min="12051" max="12051" width="14.42578125" style="3" customWidth="1"/>
    <col min="12052" max="12289" width="11.42578125" style="3"/>
    <col min="12290" max="12290" width="2.42578125" style="3" customWidth="1"/>
    <col min="12291" max="12291" width="30.42578125" style="3" customWidth="1"/>
    <col min="12292" max="12292" width="22.140625" style="3" customWidth="1"/>
    <col min="12293" max="12293" width="31.42578125" style="3" customWidth="1"/>
    <col min="12294" max="12294" width="29.7109375" style="3" customWidth="1"/>
    <col min="12295" max="12295" width="70.42578125" style="3" customWidth="1"/>
    <col min="12296" max="12296" width="62.28515625" style="3" customWidth="1"/>
    <col min="12297" max="12297" width="25.140625" style="3" customWidth="1"/>
    <col min="12298" max="12298" width="31.42578125" style="3" customWidth="1"/>
    <col min="12299" max="12299" width="31" style="3" customWidth="1"/>
    <col min="12300" max="12300" width="37" style="3" customWidth="1"/>
    <col min="12301" max="12301" width="30.140625" style="3" customWidth="1"/>
    <col min="12302" max="12302" width="30.42578125" style="3" customWidth="1"/>
    <col min="12303" max="12303" width="20.85546875" style="3" customWidth="1"/>
    <col min="12304" max="12306" width="11.42578125" style="3"/>
    <col min="12307" max="12307" width="14.42578125" style="3" customWidth="1"/>
    <col min="12308" max="12545" width="11.42578125" style="3"/>
    <col min="12546" max="12546" width="2.42578125" style="3" customWidth="1"/>
    <col min="12547" max="12547" width="30.42578125" style="3" customWidth="1"/>
    <col min="12548" max="12548" width="22.140625" style="3" customWidth="1"/>
    <col min="12549" max="12549" width="31.42578125" style="3" customWidth="1"/>
    <col min="12550" max="12550" width="29.7109375" style="3" customWidth="1"/>
    <col min="12551" max="12551" width="70.42578125" style="3" customWidth="1"/>
    <col min="12552" max="12552" width="62.28515625" style="3" customWidth="1"/>
    <col min="12553" max="12553" width="25.140625" style="3" customWidth="1"/>
    <col min="12554" max="12554" width="31.42578125" style="3" customWidth="1"/>
    <col min="12555" max="12555" width="31" style="3" customWidth="1"/>
    <col min="12556" max="12556" width="37" style="3" customWidth="1"/>
    <col min="12557" max="12557" width="30.140625" style="3" customWidth="1"/>
    <col min="12558" max="12558" width="30.42578125" style="3" customWidth="1"/>
    <col min="12559" max="12559" width="20.85546875" style="3" customWidth="1"/>
    <col min="12560" max="12562" width="11.42578125" style="3"/>
    <col min="12563" max="12563" width="14.42578125" style="3" customWidth="1"/>
    <col min="12564" max="12801" width="11.42578125" style="3"/>
    <col min="12802" max="12802" width="2.42578125" style="3" customWidth="1"/>
    <col min="12803" max="12803" width="30.42578125" style="3" customWidth="1"/>
    <col min="12804" max="12804" width="22.140625" style="3" customWidth="1"/>
    <col min="12805" max="12805" width="31.42578125" style="3" customWidth="1"/>
    <col min="12806" max="12806" width="29.7109375" style="3" customWidth="1"/>
    <col min="12807" max="12807" width="70.42578125" style="3" customWidth="1"/>
    <col min="12808" max="12808" width="62.28515625" style="3" customWidth="1"/>
    <col min="12809" max="12809" width="25.140625" style="3" customWidth="1"/>
    <col min="12810" max="12810" width="31.42578125" style="3" customWidth="1"/>
    <col min="12811" max="12811" width="31" style="3" customWidth="1"/>
    <col min="12812" max="12812" width="37" style="3" customWidth="1"/>
    <col min="12813" max="12813" width="30.140625" style="3" customWidth="1"/>
    <col min="12814" max="12814" width="30.42578125" style="3" customWidth="1"/>
    <col min="12815" max="12815" width="20.85546875" style="3" customWidth="1"/>
    <col min="12816" max="12818" width="11.42578125" style="3"/>
    <col min="12819" max="12819" width="14.42578125" style="3" customWidth="1"/>
    <col min="12820" max="13057" width="11.42578125" style="3"/>
    <col min="13058" max="13058" width="2.42578125" style="3" customWidth="1"/>
    <col min="13059" max="13059" width="30.42578125" style="3" customWidth="1"/>
    <col min="13060" max="13060" width="22.140625" style="3" customWidth="1"/>
    <col min="13061" max="13061" width="31.42578125" style="3" customWidth="1"/>
    <col min="13062" max="13062" width="29.7109375" style="3" customWidth="1"/>
    <col min="13063" max="13063" width="70.42578125" style="3" customWidth="1"/>
    <col min="13064" max="13064" width="62.28515625" style="3" customWidth="1"/>
    <col min="13065" max="13065" width="25.140625" style="3" customWidth="1"/>
    <col min="13066" max="13066" width="31.42578125" style="3" customWidth="1"/>
    <col min="13067" max="13067" width="31" style="3" customWidth="1"/>
    <col min="13068" max="13068" width="37" style="3" customWidth="1"/>
    <col min="13069" max="13069" width="30.140625" style="3" customWidth="1"/>
    <col min="13070" max="13070" width="30.42578125" style="3" customWidth="1"/>
    <col min="13071" max="13071" width="20.85546875" style="3" customWidth="1"/>
    <col min="13072" max="13074" width="11.42578125" style="3"/>
    <col min="13075" max="13075" width="14.42578125" style="3" customWidth="1"/>
    <col min="13076" max="13313" width="11.42578125" style="3"/>
    <col min="13314" max="13314" width="2.42578125" style="3" customWidth="1"/>
    <col min="13315" max="13315" width="30.42578125" style="3" customWidth="1"/>
    <col min="13316" max="13316" width="22.140625" style="3" customWidth="1"/>
    <col min="13317" max="13317" width="31.42578125" style="3" customWidth="1"/>
    <col min="13318" max="13318" width="29.7109375" style="3" customWidth="1"/>
    <col min="13319" max="13319" width="70.42578125" style="3" customWidth="1"/>
    <col min="13320" max="13320" width="62.28515625" style="3" customWidth="1"/>
    <col min="13321" max="13321" width="25.140625" style="3" customWidth="1"/>
    <col min="13322" max="13322" width="31.42578125" style="3" customWidth="1"/>
    <col min="13323" max="13323" width="31" style="3" customWidth="1"/>
    <col min="13324" max="13324" width="37" style="3" customWidth="1"/>
    <col min="13325" max="13325" width="30.140625" style="3" customWidth="1"/>
    <col min="13326" max="13326" width="30.42578125" style="3" customWidth="1"/>
    <col min="13327" max="13327" width="20.85546875" style="3" customWidth="1"/>
    <col min="13328" max="13330" width="11.42578125" style="3"/>
    <col min="13331" max="13331" width="14.42578125" style="3" customWidth="1"/>
    <col min="13332" max="13569" width="11.42578125" style="3"/>
    <col min="13570" max="13570" width="2.42578125" style="3" customWidth="1"/>
    <col min="13571" max="13571" width="30.42578125" style="3" customWidth="1"/>
    <col min="13572" max="13572" width="22.140625" style="3" customWidth="1"/>
    <col min="13573" max="13573" width="31.42578125" style="3" customWidth="1"/>
    <col min="13574" max="13574" width="29.7109375" style="3" customWidth="1"/>
    <col min="13575" max="13575" width="70.42578125" style="3" customWidth="1"/>
    <col min="13576" max="13576" width="62.28515625" style="3" customWidth="1"/>
    <col min="13577" max="13577" width="25.140625" style="3" customWidth="1"/>
    <col min="13578" max="13578" width="31.42578125" style="3" customWidth="1"/>
    <col min="13579" max="13579" width="31" style="3" customWidth="1"/>
    <col min="13580" max="13580" width="37" style="3" customWidth="1"/>
    <col min="13581" max="13581" width="30.140625" style="3" customWidth="1"/>
    <col min="13582" max="13582" width="30.42578125" style="3" customWidth="1"/>
    <col min="13583" max="13583" width="20.85546875" style="3" customWidth="1"/>
    <col min="13584" max="13586" width="11.42578125" style="3"/>
    <col min="13587" max="13587" width="14.42578125" style="3" customWidth="1"/>
    <col min="13588" max="13825" width="11.42578125" style="3"/>
    <col min="13826" max="13826" width="2.42578125" style="3" customWidth="1"/>
    <col min="13827" max="13827" width="30.42578125" style="3" customWidth="1"/>
    <col min="13828" max="13828" width="22.140625" style="3" customWidth="1"/>
    <col min="13829" max="13829" width="31.42578125" style="3" customWidth="1"/>
    <col min="13830" max="13830" width="29.7109375" style="3" customWidth="1"/>
    <col min="13831" max="13831" width="70.42578125" style="3" customWidth="1"/>
    <col min="13832" max="13832" width="62.28515625" style="3" customWidth="1"/>
    <col min="13833" max="13833" width="25.140625" style="3" customWidth="1"/>
    <col min="13834" max="13834" width="31.42578125" style="3" customWidth="1"/>
    <col min="13835" max="13835" width="31" style="3" customWidth="1"/>
    <col min="13836" max="13836" width="37" style="3" customWidth="1"/>
    <col min="13837" max="13837" width="30.140625" style="3" customWidth="1"/>
    <col min="13838" max="13838" width="30.42578125" style="3" customWidth="1"/>
    <col min="13839" max="13839" width="20.85546875" style="3" customWidth="1"/>
    <col min="13840" max="13842" width="11.42578125" style="3"/>
    <col min="13843" max="13843" width="14.42578125" style="3" customWidth="1"/>
    <col min="13844" max="14081" width="11.42578125" style="3"/>
    <col min="14082" max="14082" width="2.42578125" style="3" customWidth="1"/>
    <col min="14083" max="14083" width="30.42578125" style="3" customWidth="1"/>
    <col min="14084" max="14084" width="22.140625" style="3" customWidth="1"/>
    <col min="14085" max="14085" width="31.42578125" style="3" customWidth="1"/>
    <col min="14086" max="14086" width="29.7109375" style="3" customWidth="1"/>
    <col min="14087" max="14087" width="70.42578125" style="3" customWidth="1"/>
    <col min="14088" max="14088" width="62.28515625" style="3" customWidth="1"/>
    <col min="14089" max="14089" width="25.140625" style="3" customWidth="1"/>
    <col min="14090" max="14090" width="31.42578125" style="3" customWidth="1"/>
    <col min="14091" max="14091" width="31" style="3" customWidth="1"/>
    <col min="14092" max="14092" width="37" style="3" customWidth="1"/>
    <col min="14093" max="14093" width="30.140625" style="3" customWidth="1"/>
    <col min="14094" max="14094" width="30.42578125" style="3" customWidth="1"/>
    <col min="14095" max="14095" width="20.85546875" style="3" customWidth="1"/>
    <col min="14096" max="14098" width="11.42578125" style="3"/>
    <col min="14099" max="14099" width="14.42578125" style="3" customWidth="1"/>
    <col min="14100" max="14337" width="11.42578125" style="3"/>
    <col min="14338" max="14338" width="2.42578125" style="3" customWidth="1"/>
    <col min="14339" max="14339" width="30.42578125" style="3" customWidth="1"/>
    <col min="14340" max="14340" width="22.140625" style="3" customWidth="1"/>
    <col min="14341" max="14341" width="31.42578125" style="3" customWidth="1"/>
    <col min="14342" max="14342" width="29.7109375" style="3" customWidth="1"/>
    <col min="14343" max="14343" width="70.42578125" style="3" customWidth="1"/>
    <col min="14344" max="14344" width="62.28515625" style="3" customWidth="1"/>
    <col min="14345" max="14345" width="25.140625" style="3" customWidth="1"/>
    <col min="14346" max="14346" width="31.42578125" style="3" customWidth="1"/>
    <col min="14347" max="14347" width="31" style="3" customWidth="1"/>
    <col min="14348" max="14348" width="37" style="3" customWidth="1"/>
    <col min="14349" max="14349" width="30.140625" style="3" customWidth="1"/>
    <col min="14350" max="14350" width="30.42578125" style="3" customWidth="1"/>
    <col min="14351" max="14351" width="20.85546875" style="3" customWidth="1"/>
    <col min="14352" max="14354" width="11.42578125" style="3"/>
    <col min="14355" max="14355" width="14.42578125" style="3" customWidth="1"/>
    <col min="14356" max="14593" width="11.42578125" style="3"/>
    <col min="14594" max="14594" width="2.42578125" style="3" customWidth="1"/>
    <col min="14595" max="14595" width="30.42578125" style="3" customWidth="1"/>
    <col min="14596" max="14596" width="22.140625" style="3" customWidth="1"/>
    <col min="14597" max="14597" width="31.42578125" style="3" customWidth="1"/>
    <col min="14598" max="14598" width="29.7109375" style="3" customWidth="1"/>
    <col min="14599" max="14599" width="70.42578125" style="3" customWidth="1"/>
    <col min="14600" max="14600" width="62.28515625" style="3" customWidth="1"/>
    <col min="14601" max="14601" width="25.140625" style="3" customWidth="1"/>
    <col min="14602" max="14602" width="31.42578125" style="3" customWidth="1"/>
    <col min="14603" max="14603" width="31" style="3" customWidth="1"/>
    <col min="14604" max="14604" width="37" style="3" customWidth="1"/>
    <col min="14605" max="14605" width="30.140625" style="3" customWidth="1"/>
    <col min="14606" max="14606" width="30.42578125" style="3" customWidth="1"/>
    <col min="14607" max="14607" width="20.85546875" style="3" customWidth="1"/>
    <col min="14608" max="14610" width="11.42578125" style="3"/>
    <col min="14611" max="14611" width="14.42578125" style="3" customWidth="1"/>
    <col min="14612" max="14849" width="11.42578125" style="3"/>
    <col min="14850" max="14850" width="2.42578125" style="3" customWidth="1"/>
    <col min="14851" max="14851" width="30.42578125" style="3" customWidth="1"/>
    <col min="14852" max="14852" width="22.140625" style="3" customWidth="1"/>
    <col min="14853" max="14853" width="31.42578125" style="3" customWidth="1"/>
    <col min="14854" max="14854" width="29.7109375" style="3" customWidth="1"/>
    <col min="14855" max="14855" width="70.42578125" style="3" customWidth="1"/>
    <col min="14856" max="14856" width="62.28515625" style="3" customWidth="1"/>
    <col min="14857" max="14857" width="25.140625" style="3" customWidth="1"/>
    <col min="14858" max="14858" width="31.42578125" style="3" customWidth="1"/>
    <col min="14859" max="14859" width="31" style="3" customWidth="1"/>
    <col min="14860" max="14860" width="37" style="3" customWidth="1"/>
    <col min="14861" max="14861" width="30.140625" style="3" customWidth="1"/>
    <col min="14862" max="14862" width="30.42578125" style="3" customWidth="1"/>
    <col min="14863" max="14863" width="20.85546875" style="3" customWidth="1"/>
    <col min="14864" max="14866" width="11.42578125" style="3"/>
    <col min="14867" max="14867" width="14.42578125" style="3" customWidth="1"/>
    <col min="14868" max="15105" width="11.42578125" style="3"/>
    <col min="15106" max="15106" width="2.42578125" style="3" customWidth="1"/>
    <col min="15107" max="15107" width="30.42578125" style="3" customWidth="1"/>
    <col min="15108" max="15108" width="22.140625" style="3" customWidth="1"/>
    <col min="15109" max="15109" width="31.42578125" style="3" customWidth="1"/>
    <col min="15110" max="15110" width="29.7109375" style="3" customWidth="1"/>
    <col min="15111" max="15111" width="70.42578125" style="3" customWidth="1"/>
    <col min="15112" max="15112" width="62.28515625" style="3" customWidth="1"/>
    <col min="15113" max="15113" width="25.140625" style="3" customWidth="1"/>
    <col min="15114" max="15114" width="31.42578125" style="3" customWidth="1"/>
    <col min="15115" max="15115" width="31" style="3" customWidth="1"/>
    <col min="15116" max="15116" width="37" style="3" customWidth="1"/>
    <col min="15117" max="15117" width="30.140625" style="3" customWidth="1"/>
    <col min="15118" max="15118" width="30.42578125" style="3" customWidth="1"/>
    <col min="15119" max="15119" width="20.85546875" style="3" customWidth="1"/>
    <col min="15120" max="15122" width="11.42578125" style="3"/>
    <col min="15123" max="15123" width="14.42578125" style="3" customWidth="1"/>
    <col min="15124" max="15361" width="11.42578125" style="3"/>
    <col min="15362" max="15362" width="2.42578125" style="3" customWidth="1"/>
    <col min="15363" max="15363" width="30.42578125" style="3" customWidth="1"/>
    <col min="15364" max="15364" width="22.140625" style="3" customWidth="1"/>
    <col min="15365" max="15365" width="31.42578125" style="3" customWidth="1"/>
    <col min="15366" max="15366" width="29.7109375" style="3" customWidth="1"/>
    <col min="15367" max="15367" width="70.42578125" style="3" customWidth="1"/>
    <col min="15368" max="15368" width="62.28515625" style="3" customWidth="1"/>
    <col min="15369" max="15369" width="25.140625" style="3" customWidth="1"/>
    <col min="15370" max="15370" width="31.42578125" style="3" customWidth="1"/>
    <col min="15371" max="15371" width="31" style="3" customWidth="1"/>
    <col min="15372" max="15372" width="37" style="3" customWidth="1"/>
    <col min="15373" max="15373" width="30.140625" style="3" customWidth="1"/>
    <col min="15374" max="15374" width="30.42578125" style="3" customWidth="1"/>
    <col min="15375" max="15375" width="20.85546875" style="3" customWidth="1"/>
    <col min="15376" max="15378" width="11.42578125" style="3"/>
    <col min="15379" max="15379" width="14.42578125" style="3" customWidth="1"/>
    <col min="15380" max="15617" width="11.42578125" style="3"/>
    <col min="15618" max="15618" width="2.42578125" style="3" customWidth="1"/>
    <col min="15619" max="15619" width="30.42578125" style="3" customWidth="1"/>
    <col min="15620" max="15620" width="22.140625" style="3" customWidth="1"/>
    <col min="15621" max="15621" width="31.42578125" style="3" customWidth="1"/>
    <col min="15622" max="15622" width="29.7109375" style="3" customWidth="1"/>
    <col min="15623" max="15623" width="70.42578125" style="3" customWidth="1"/>
    <col min="15624" max="15624" width="62.28515625" style="3" customWidth="1"/>
    <col min="15625" max="15625" width="25.140625" style="3" customWidth="1"/>
    <col min="15626" max="15626" width="31.42578125" style="3" customWidth="1"/>
    <col min="15627" max="15627" width="31" style="3" customWidth="1"/>
    <col min="15628" max="15628" width="37" style="3" customWidth="1"/>
    <col min="15629" max="15629" width="30.140625" style="3" customWidth="1"/>
    <col min="15630" max="15630" width="30.42578125" style="3" customWidth="1"/>
    <col min="15631" max="15631" width="20.85546875" style="3" customWidth="1"/>
    <col min="15632" max="15634" width="11.42578125" style="3"/>
    <col min="15635" max="15635" width="14.42578125" style="3" customWidth="1"/>
    <col min="15636" max="15873" width="11.42578125" style="3"/>
    <col min="15874" max="15874" width="2.42578125" style="3" customWidth="1"/>
    <col min="15875" max="15875" width="30.42578125" style="3" customWidth="1"/>
    <col min="15876" max="15876" width="22.140625" style="3" customWidth="1"/>
    <col min="15877" max="15877" width="31.42578125" style="3" customWidth="1"/>
    <col min="15878" max="15878" width="29.7109375" style="3" customWidth="1"/>
    <col min="15879" max="15879" width="70.42578125" style="3" customWidth="1"/>
    <col min="15880" max="15880" width="62.28515625" style="3" customWidth="1"/>
    <col min="15881" max="15881" width="25.140625" style="3" customWidth="1"/>
    <col min="15882" max="15882" width="31.42578125" style="3" customWidth="1"/>
    <col min="15883" max="15883" width="31" style="3" customWidth="1"/>
    <col min="15884" max="15884" width="37" style="3" customWidth="1"/>
    <col min="15885" max="15885" width="30.140625" style="3" customWidth="1"/>
    <col min="15886" max="15886" width="30.42578125" style="3" customWidth="1"/>
    <col min="15887" max="15887" width="20.85546875" style="3" customWidth="1"/>
    <col min="15888" max="15890" width="11.42578125" style="3"/>
    <col min="15891" max="15891" width="14.42578125" style="3" customWidth="1"/>
    <col min="15892" max="16129" width="11.42578125" style="3"/>
    <col min="16130" max="16130" width="2.42578125" style="3" customWidth="1"/>
    <col min="16131" max="16131" width="30.42578125" style="3" customWidth="1"/>
    <col min="16132" max="16132" width="22.140625" style="3" customWidth="1"/>
    <col min="16133" max="16133" width="31.42578125" style="3" customWidth="1"/>
    <col min="16134" max="16134" width="29.7109375" style="3" customWidth="1"/>
    <col min="16135" max="16135" width="70.42578125" style="3" customWidth="1"/>
    <col min="16136" max="16136" width="62.28515625" style="3" customWidth="1"/>
    <col min="16137" max="16137" width="25.140625" style="3" customWidth="1"/>
    <col min="16138" max="16138" width="31.42578125" style="3" customWidth="1"/>
    <col min="16139" max="16139" width="31" style="3" customWidth="1"/>
    <col min="16140" max="16140" width="37" style="3" customWidth="1"/>
    <col min="16141" max="16141" width="30.140625" style="3" customWidth="1"/>
    <col min="16142" max="16142" width="30.42578125" style="3" customWidth="1"/>
    <col min="16143" max="16143" width="20.85546875" style="3" customWidth="1"/>
    <col min="16144" max="16146" width="11.42578125" style="3"/>
    <col min="16147" max="16147" width="14.42578125" style="3" customWidth="1"/>
    <col min="16148" max="16384" width="11.42578125" style="3"/>
  </cols>
  <sheetData>
    <row r="1" spans="2:26" ht="62.25" thickBot="1" x14ac:dyDescent="0.25">
      <c r="B1" s="380" t="s">
        <v>311</v>
      </c>
      <c r="C1" s="380"/>
      <c r="D1" s="380"/>
      <c r="E1" s="380"/>
      <c r="F1" s="380"/>
      <c r="G1" s="380"/>
      <c r="H1" s="380"/>
      <c r="I1" s="380"/>
      <c r="J1" s="380"/>
      <c r="K1" s="102"/>
      <c r="L1" s="103"/>
      <c r="Z1" s="24"/>
    </row>
    <row r="2" spans="2:26" ht="32.25" thickBot="1" x14ac:dyDescent="0.25">
      <c r="B2" s="381" t="s">
        <v>500</v>
      </c>
      <c r="C2" s="381"/>
      <c r="D2" s="381"/>
      <c r="E2" s="381"/>
      <c r="F2" s="381"/>
      <c r="G2" s="381"/>
      <c r="H2" s="381"/>
      <c r="I2" s="381"/>
      <c r="J2" s="381"/>
      <c r="K2" s="104"/>
      <c r="L2" s="105"/>
      <c r="Z2" s="24"/>
    </row>
    <row r="3" spans="2:26" ht="33" thickTop="1" thickBot="1" x14ac:dyDescent="0.25">
      <c r="B3" s="106" t="s">
        <v>174</v>
      </c>
      <c r="C3" s="107" t="s">
        <v>175</v>
      </c>
      <c r="D3" s="107" t="s">
        <v>52</v>
      </c>
      <c r="E3" s="108" t="s">
        <v>176</v>
      </c>
      <c r="F3" s="109" t="s">
        <v>177</v>
      </c>
      <c r="G3" s="109" t="s">
        <v>178</v>
      </c>
      <c r="H3" s="110" t="s">
        <v>179</v>
      </c>
      <c r="I3" s="110" t="s">
        <v>180</v>
      </c>
      <c r="J3" s="110" t="s">
        <v>181</v>
      </c>
      <c r="K3" s="111" t="s">
        <v>182</v>
      </c>
      <c r="L3" s="112" t="s">
        <v>56</v>
      </c>
    </row>
    <row r="4" spans="2:26" ht="11.45" customHeight="1" thickTop="1" thickBot="1" x14ac:dyDescent="0.25">
      <c r="B4" s="113"/>
      <c r="C4" s="114"/>
      <c r="D4" s="114"/>
      <c r="E4" s="114"/>
      <c r="F4" s="115"/>
      <c r="G4" s="116"/>
      <c r="H4" s="117"/>
      <c r="I4" s="117"/>
      <c r="J4" s="117"/>
      <c r="K4" s="118"/>
    </row>
    <row r="5" spans="2:26" ht="22.5" thickTop="1" thickBot="1" x14ac:dyDescent="0.25">
      <c r="B5" s="377" t="s">
        <v>183</v>
      </c>
      <c r="C5" s="377"/>
      <c r="D5" s="377"/>
      <c r="E5" s="377"/>
      <c r="F5" s="377"/>
      <c r="G5" s="377"/>
      <c r="H5" s="377"/>
      <c r="I5" s="377"/>
      <c r="J5" s="378"/>
      <c r="K5" s="382" t="s">
        <v>489</v>
      </c>
    </row>
    <row r="6" spans="2:26" ht="111.95" customHeight="1" thickTop="1" thickBot="1" x14ac:dyDescent="0.25">
      <c r="B6" s="119">
        <v>46114</v>
      </c>
      <c r="C6" s="120">
        <f>'02 DE ABRIL'!C67</f>
        <v>27</v>
      </c>
      <c r="D6" s="120">
        <f>'02 DE ABRIL'!B67</f>
        <v>85</v>
      </c>
      <c r="E6" s="121" t="s">
        <v>184</v>
      </c>
      <c r="F6" s="351" t="s">
        <v>185</v>
      </c>
      <c r="G6" s="352"/>
      <c r="H6" s="124">
        <f>'02 DE ABRIL'!G67</f>
        <v>47489164</v>
      </c>
      <c r="I6" s="125"/>
      <c r="J6" s="126"/>
      <c r="K6" s="382"/>
    </row>
    <row r="7" spans="2:26" ht="23.25" customHeight="1" thickTop="1" thickBot="1" x14ac:dyDescent="0.35">
      <c r="B7" s="119">
        <v>46114</v>
      </c>
      <c r="C7" s="120">
        <f>'02 DE ABRIL'!U33</f>
        <v>4</v>
      </c>
      <c r="D7" s="120">
        <f>'02 DE ABRIL'!T33</f>
        <v>23</v>
      </c>
      <c r="E7" s="127"/>
      <c r="F7" s="128" t="s">
        <v>186</v>
      </c>
      <c r="G7" s="123"/>
      <c r="H7" s="124">
        <f>'02 DE ABRIL'!Y33</f>
        <v>13842103</v>
      </c>
      <c r="I7" s="125"/>
      <c r="J7" s="126"/>
      <c r="K7" s="382"/>
      <c r="L7" s="129"/>
      <c r="P7" s="130"/>
    </row>
    <row r="8" spans="2:26" ht="129.94999999999999" customHeight="1" thickTop="1" thickBot="1" x14ac:dyDescent="0.35">
      <c r="B8" s="119">
        <v>46114</v>
      </c>
      <c r="C8" s="120">
        <f>'02 DE ABRIL'!L25</f>
        <v>2</v>
      </c>
      <c r="D8" s="120">
        <f>'02 DE ABRIL'!K25</f>
        <v>4</v>
      </c>
      <c r="E8" s="120"/>
      <c r="F8" s="128" t="s">
        <v>187</v>
      </c>
      <c r="G8" s="123"/>
      <c r="H8" s="124">
        <f>'02 DE ABRIL'!P25</f>
        <v>1501775</v>
      </c>
      <c r="I8" s="125"/>
      <c r="J8" s="126"/>
      <c r="K8" s="382"/>
      <c r="L8" s="129"/>
    </row>
    <row r="9" spans="2:26" ht="21.95" customHeight="1" thickTop="1" thickBot="1" x14ac:dyDescent="0.35">
      <c r="B9" s="119"/>
      <c r="C9" s="131"/>
      <c r="D9" s="131"/>
      <c r="E9" s="127"/>
      <c r="F9" s="128"/>
      <c r="G9" s="123"/>
      <c r="H9" s="124"/>
      <c r="I9" s="125"/>
      <c r="J9" s="126"/>
      <c r="K9" s="383">
        <v>132114057</v>
      </c>
      <c r="L9" s="3"/>
    </row>
    <row r="10" spans="2:26" ht="21.95" customHeight="1" thickTop="1" thickBot="1" x14ac:dyDescent="0.35">
      <c r="B10" s="119"/>
      <c r="C10" s="131"/>
      <c r="D10" s="131"/>
      <c r="E10" s="127"/>
      <c r="F10" s="128"/>
      <c r="G10" s="123"/>
      <c r="H10" s="124"/>
      <c r="I10" s="125"/>
      <c r="J10" s="126"/>
      <c r="K10" s="383"/>
      <c r="L10" s="132" t="s">
        <v>188</v>
      </c>
      <c r="M10" s="133" t="s">
        <v>189</v>
      </c>
    </row>
    <row r="11" spans="2:26" ht="24.75" thickTop="1" thickBot="1" x14ac:dyDescent="0.4">
      <c r="B11" s="119"/>
      <c r="C11" s="131"/>
      <c r="D11" s="131"/>
      <c r="E11" s="127"/>
      <c r="G11" s="123"/>
      <c r="H11" s="124"/>
      <c r="I11" s="125"/>
      <c r="J11" s="134"/>
      <c r="K11" s="383"/>
      <c r="L11" s="135">
        <f>SUM(H6:I11)</f>
        <v>62833042</v>
      </c>
      <c r="M11" s="136">
        <f>L11+K9+L19+L28+L55+L37+L46+L64</f>
        <v>450734974</v>
      </c>
      <c r="N11" s="95"/>
      <c r="O11" s="95"/>
      <c r="Q11" s="67"/>
    </row>
    <row r="12" spans="2:26" ht="22.5" thickTop="1" thickBot="1" x14ac:dyDescent="0.35">
      <c r="B12" s="119" t="s">
        <v>32</v>
      </c>
      <c r="C12" s="120">
        <f>SUM(C6:C8)</f>
        <v>33</v>
      </c>
      <c r="D12" s="120">
        <f>SUM(D6:D8)</f>
        <v>112</v>
      </c>
      <c r="E12" s="120">
        <f>SUM(E6:E11)</f>
        <v>0</v>
      </c>
      <c r="F12" s="128"/>
      <c r="G12" s="123"/>
      <c r="H12" s="353">
        <f>SUM(H6:H11)</f>
        <v>62833042</v>
      </c>
      <c r="I12" s="138">
        <f>SUM(I11)</f>
        <v>0</v>
      </c>
      <c r="J12" s="139">
        <v>0</v>
      </c>
      <c r="K12" s="383"/>
      <c r="L12" s="140"/>
      <c r="M12" s="20"/>
      <c r="N12" s="20"/>
      <c r="O12" s="20"/>
      <c r="P12" s="20"/>
    </row>
    <row r="13" spans="2:26" ht="12.75" customHeight="1" thickTop="1" thickBot="1" x14ac:dyDescent="0.4">
      <c r="B13" s="141"/>
      <c r="C13" s="142"/>
      <c r="D13" s="142"/>
      <c r="E13" s="142"/>
      <c r="F13" s="143"/>
      <c r="G13" s="143"/>
      <c r="H13" s="144"/>
      <c r="I13" s="144"/>
      <c r="J13" s="145" t="s">
        <v>190</v>
      </c>
      <c r="K13" s="146"/>
      <c r="L13" s="140"/>
      <c r="M13" s="20"/>
      <c r="N13" s="20"/>
      <c r="O13" s="20"/>
      <c r="P13" s="20"/>
    </row>
    <row r="14" spans="2:26" ht="21.95" customHeight="1" thickTop="1" thickBot="1" x14ac:dyDescent="0.25">
      <c r="B14" s="377" t="s">
        <v>183</v>
      </c>
      <c r="C14" s="377"/>
      <c r="D14" s="377"/>
      <c r="E14" s="377"/>
      <c r="F14" s="377"/>
      <c r="G14" s="377"/>
      <c r="H14" s="377"/>
      <c r="I14" s="377"/>
      <c r="J14" s="378"/>
      <c r="K14" s="379"/>
      <c r="L14" s="147"/>
      <c r="N14" s="20"/>
      <c r="O14" s="20"/>
      <c r="P14" s="20"/>
      <c r="Q14" s="148"/>
    </row>
    <row r="15" spans="2:26" ht="22.5" thickTop="1" thickBot="1" x14ac:dyDescent="0.35">
      <c r="B15" s="119">
        <v>46117</v>
      </c>
      <c r="C15" s="120">
        <f>'05 DE ABRIL'!C67</f>
        <v>22</v>
      </c>
      <c r="D15" s="120">
        <f>'05 DE ABRIL'!B67</f>
        <v>70</v>
      </c>
      <c r="E15" s="127"/>
      <c r="F15" s="122" t="s">
        <v>185</v>
      </c>
      <c r="G15" s="123"/>
      <c r="H15" s="124">
        <f>'05 DE ABRIL'!G67</f>
        <v>39962994</v>
      </c>
      <c r="I15" s="125"/>
      <c r="J15" s="126"/>
      <c r="K15" s="379"/>
    </row>
    <row r="16" spans="2:26" ht="22.5" thickTop="1" thickBot="1" x14ac:dyDescent="0.35">
      <c r="B16" s="119">
        <v>46117</v>
      </c>
      <c r="C16" s="120">
        <f>'05 DE ABRIL'!U33</f>
        <v>4</v>
      </c>
      <c r="D16" s="120">
        <f>'05 DE ABRIL'!T33</f>
        <v>12</v>
      </c>
      <c r="E16" s="127"/>
      <c r="F16" s="128" t="s">
        <v>186</v>
      </c>
      <c r="G16" s="123"/>
      <c r="H16" s="124">
        <f>'05 DE ABRIL'!Y33</f>
        <v>10725462</v>
      </c>
      <c r="I16" s="125"/>
      <c r="J16" s="126"/>
      <c r="K16" s="379"/>
      <c r="L16" s="129"/>
      <c r="P16" s="95"/>
    </row>
    <row r="17" spans="2:20" ht="47.1" customHeight="1" thickTop="1" thickBot="1" x14ac:dyDescent="0.4">
      <c r="B17" s="119">
        <v>46117</v>
      </c>
      <c r="C17" s="120">
        <f>'05 DE ABRIL'!L25</f>
        <v>4</v>
      </c>
      <c r="D17" s="120">
        <f>'05 DE ABRIL'!K25</f>
        <v>13</v>
      </c>
      <c r="E17" s="127"/>
      <c r="F17" s="128" t="s">
        <v>187</v>
      </c>
      <c r="G17" s="123"/>
      <c r="H17" s="124">
        <f>'05 DE ABRIL'!P25</f>
        <v>6075841</v>
      </c>
      <c r="I17" s="125"/>
      <c r="J17" s="126"/>
      <c r="K17" s="379"/>
      <c r="L17" s="129"/>
      <c r="S17" s="149"/>
    </row>
    <row r="18" spans="2:20" ht="27" thickTop="1" thickBot="1" x14ac:dyDescent="0.4">
      <c r="B18" s="119"/>
      <c r="C18" s="120"/>
      <c r="D18" s="120"/>
      <c r="E18" s="127"/>
      <c r="F18" s="128"/>
      <c r="G18" s="123"/>
      <c r="H18" s="124"/>
      <c r="I18" s="125"/>
      <c r="J18" s="126"/>
      <c r="K18" s="384"/>
      <c r="L18" s="132" t="s">
        <v>188</v>
      </c>
      <c r="M18" s="133" t="s">
        <v>189</v>
      </c>
      <c r="S18" s="149"/>
    </row>
    <row r="19" spans="2:20" ht="27" thickTop="1" thickBot="1" x14ac:dyDescent="0.4">
      <c r="B19" s="119"/>
      <c r="C19" s="120"/>
      <c r="D19" s="120"/>
      <c r="E19" s="127"/>
      <c r="F19" s="128"/>
      <c r="G19" s="123"/>
      <c r="H19" s="124"/>
      <c r="I19" s="125"/>
      <c r="J19" s="126"/>
      <c r="K19" s="384"/>
      <c r="L19" s="385">
        <f>SUM(H15:I20)</f>
        <v>56764297</v>
      </c>
      <c r="M19" s="387"/>
      <c r="P19" s="130"/>
      <c r="S19" s="149"/>
    </row>
    <row r="20" spans="2:20" ht="27" thickTop="1" thickBot="1" x14ac:dyDescent="0.4">
      <c r="B20" s="119"/>
      <c r="C20" s="120"/>
      <c r="D20" s="120"/>
      <c r="E20" s="127"/>
      <c r="F20" s="128"/>
      <c r="G20" s="123"/>
      <c r="H20" s="124"/>
      <c r="I20" s="125"/>
      <c r="J20" s="150"/>
      <c r="K20" s="384"/>
      <c r="L20" s="386"/>
      <c r="M20" s="388"/>
      <c r="N20" s="95"/>
      <c r="O20" s="67"/>
      <c r="P20" s="95"/>
      <c r="S20" s="149"/>
    </row>
    <row r="21" spans="2:20" ht="27" thickTop="1" thickBot="1" x14ac:dyDescent="0.4">
      <c r="B21" s="119" t="s">
        <v>191</v>
      </c>
      <c r="C21" s="120">
        <f>SUM(C15:C20)</f>
        <v>30</v>
      </c>
      <c r="D21" s="120">
        <f>SUM(D15:D20)</f>
        <v>95</v>
      </c>
      <c r="E21" s="127">
        <f>SUM(E15:E20)</f>
        <v>0</v>
      </c>
      <c r="F21" s="128"/>
      <c r="G21" s="123"/>
      <c r="H21" s="354">
        <f>SUM(H15:H20)</f>
        <v>56764297</v>
      </c>
      <c r="I21" s="137"/>
      <c r="J21" s="151">
        <v>0</v>
      </c>
      <c r="K21" s="384"/>
      <c r="L21" s="140"/>
      <c r="M21" s="20" t="s">
        <v>184</v>
      </c>
      <c r="N21" s="95"/>
      <c r="S21" s="149"/>
    </row>
    <row r="22" spans="2:20" ht="6.75" customHeight="1" thickTop="1" thickBot="1" x14ac:dyDescent="0.4">
      <c r="B22" s="113"/>
      <c r="C22" s="120"/>
      <c r="D22" s="120"/>
      <c r="E22" s="114"/>
      <c r="F22" s="115"/>
      <c r="G22" s="116"/>
      <c r="H22" s="152"/>
      <c r="I22" s="152"/>
      <c r="J22" s="153"/>
      <c r="K22" s="153"/>
      <c r="L22" s="140"/>
      <c r="M22" s="20"/>
      <c r="S22" s="154"/>
    </row>
    <row r="23" spans="2:20" ht="21.95" customHeight="1" thickTop="1" thickBot="1" x14ac:dyDescent="0.4">
      <c r="B23" s="377" t="s">
        <v>183</v>
      </c>
      <c r="C23" s="377"/>
      <c r="D23" s="377"/>
      <c r="E23" s="377"/>
      <c r="F23" s="377"/>
      <c r="G23" s="377"/>
      <c r="H23" s="377"/>
      <c r="I23" s="377"/>
      <c r="J23" s="378"/>
      <c r="K23" s="379"/>
      <c r="L23" s="147"/>
      <c r="N23" s="20"/>
      <c r="O23" s="20"/>
      <c r="P23" s="20"/>
      <c r="Q23" s="148"/>
      <c r="S23" s="155"/>
    </row>
    <row r="24" spans="2:20" ht="27" thickTop="1" thickBot="1" x14ac:dyDescent="0.4">
      <c r="B24" s="119">
        <v>46124</v>
      </c>
      <c r="C24" s="156">
        <f>'12 DE ABRIL'!C67</f>
        <v>27</v>
      </c>
      <c r="D24" s="121">
        <f>'12 DE ABRIL'!B67</f>
        <v>84</v>
      </c>
      <c r="E24" s="127"/>
      <c r="F24" s="122" t="s">
        <v>185</v>
      </c>
      <c r="G24" s="123"/>
      <c r="H24" s="124">
        <f>'12 DE ABRIL'!G67</f>
        <v>47292181</v>
      </c>
      <c r="I24" s="125"/>
      <c r="J24" s="126"/>
      <c r="K24" s="379"/>
      <c r="S24" s="154"/>
    </row>
    <row r="25" spans="2:20" ht="31.5" thickTop="1" thickBot="1" x14ac:dyDescent="0.45">
      <c r="B25" s="119">
        <v>46124</v>
      </c>
      <c r="C25" s="121">
        <f>'12 DE ABRIL'!U33</f>
        <v>4</v>
      </c>
      <c r="D25" s="131">
        <f>'12 DE ABRIL'!T33</f>
        <v>12</v>
      </c>
      <c r="E25" s="127"/>
      <c r="F25" s="128" t="s">
        <v>186</v>
      </c>
      <c r="G25" s="123"/>
      <c r="H25" s="124">
        <f>'12 DE ABRIL'!Y33</f>
        <v>10725462</v>
      </c>
      <c r="I25" s="125"/>
      <c r="J25" s="126"/>
      <c r="K25" s="379"/>
      <c r="L25" s="129"/>
      <c r="P25" s="95"/>
      <c r="S25" s="154"/>
      <c r="T25" s="157"/>
    </row>
    <row r="26" spans="2:20" ht="42.6" customHeight="1" thickTop="1" thickBot="1" x14ac:dyDescent="0.5">
      <c r="B26" s="119">
        <v>46124</v>
      </c>
      <c r="C26" s="131">
        <f>'12 DE ABRIL'!L25</f>
        <v>8</v>
      </c>
      <c r="D26" s="121">
        <f>'12 DE ABRIL'!K25</f>
        <v>20</v>
      </c>
      <c r="E26" s="127"/>
      <c r="F26" s="128" t="s">
        <v>187</v>
      </c>
      <c r="G26" s="123"/>
      <c r="H26" s="124">
        <f>'12 DE ABRIL'!P25</f>
        <v>9069796</v>
      </c>
      <c r="I26" s="125"/>
      <c r="J26" s="126"/>
      <c r="K26" s="379"/>
      <c r="L26" s="129"/>
      <c r="T26" s="158"/>
    </row>
    <row r="27" spans="2:20" ht="27" thickTop="1" thickBot="1" x14ac:dyDescent="0.4">
      <c r="B27" s="159"/>
      <c r="C27" s="131"/>
      <c r="D27" s="131"/>
      <c r="E27" s="127"/>
      <c r="F27" s="128"/>
      <c r="G27" s="123"/>
      <c r="H27" s="124"/>
      <c r="I27" s="125"/>
      <c r="J27" s="126"/>
      <c r="K27" s="384"/>
      <c r="L27" s="132" t="s">
        <v>188</v>
      </c>
      <c r="M27" s="133" t="s">
        <v>189</v>
      </c>
      <c r="S27" s="154"/>
    </row>
    <row r="28" spans="2:20" ht="22.5" thickTop="1" thickBot="1" x14ac:dyDescent="0.35">
      <c r="B28" s="159"/>
      <c r="C28" s="131"/>
      <c r="D28" s="131"/>
      <c r="E28" s="127"/>
      <c r="F28" s="128"/>
      <c r="G28" s="123"/>
      <c r="H28" s="124"/>
      <c r="I28" s="125"/>
      <c r="J28" s="126"/>
      <c r="K28" s="384"/>
      <c r="L28" s="385">
        <f>SUM(H24:I29)</f>
        <v>67087439</v>
      </c>
      <c r="M28" s="387"/>
      <c r="P28" s="130"/>
    </row>
    <row r="29" spans="2:20" ht="22.5" thickTop="1" thickBot="1" x14ac:dyDescent="0.35">
      <c r="B29" s="159"/>
      <c r="C29" s="131"/>
      <c r="D29" s="131"/>
      <c r="E29" s="127"/>
      <c r="F29" s="128"/>
      <c r="G29" s="123"/>
      <c r="H29" s="124"/>
      <c r="I29" s="125"/>
      <c r="J29" s="150"/>
      <c r="K29" s="384"/>
      <c r="L29" s="386"/>
      <c r="M29" s="388"/>
      <c r="N29" s="95"/>
      <c r="O29" s="67"/>
      <c r="P29" s="95"/>
    </row>
    <row r="30" spans="2:20" ht="24.75" thickTop="1" thickBot="1" x14ac:dyDescent="0.35">
      <c r="B30" s="119" t="s">
        <v>32</v>
      </c>
      <c r="C30" s="131">
        <f>SUM(C24:C29)</f>
        <v>39</v>
      </c>
      <c r="D30" s="131">
        <f>SUM(D24:D29)</f>
        <v>116</v>
      </c>
      <c r="E30" s="127">
        <f>SUM(E24:E29)</f>
        <v>0</v>
      </c>
      <c r="F30" s="128"/>
      <c r="G30" s="123"/>
      <c r="H30" s="354">
        <f>SUM(H24:H29)</f>
        <v>67087439</v>
      </c>
      <c r="I30" s="137">
        <f>SUM(I24:I29)</f>
        <v>0</v>
      </c>
      <c r="J30" s="151">
        <v>0</v>
      </c>
      <c r="K30" s="384"/>
      <c r="L30" s="140"/>
      <c r="M30" s="20" t="s">
        <v>184</v>
      </c>
      <c r="N30" s="95"/>
    </row>
    <row r="31" spans="2:20" ht="18.600000000000001" customHeight="1" thickTop="1" thickBot="1" x14ac:dyDescent="0.35">
      <c r="B31" s="160"/>
      <c r="C31" s="161"/>
      <c r="D31" s="161"/>
      <c r="E31" s="162"/>
      <c r="F31" s="163"/>
      <c r="G31" s="164"/>
      <c r="H31" s="165"/>
      <c r="I31" s="165"/>
      <c r="J31" s="166"/>
      <c r="K31" s="167"/>
      <c r="L31" s="140"/>
      <c r="M31" s="20"/>
      <c r="N31" s="95"/>
    </row>
    <row r="32" spans="2:20" ht="21.95" customHeight="1" thickTop="1" thickBot="1" x14ac:dyDescent="0.4">
      <c r="B32" s="377" t="s">
        <v>183</v>
      </c>
      <c r="C32" s="377"/>
      <c r="D32" s="377"/>
      <c r="E32" s="377"/>
      <c r="F32" s="377"/>
      <c r="G32" s="377"/>
      <c r="H32" s="377"/>
      <c r="I32" s="377"/>
      <c r="J32" s="378"/>
      <c r="K32" s="379"/>
      <c r="L32" s="147"/>
      <c r="N32" s="20"/>
      <c r="O32" s="20"/>
      <c r="P32" s="20"/>
      <c r="Q32" s="148"/>
      <c r="S32" s="155"/>
    </row>
    <row r="33" spans="2:20" ht="27" thickTop="1" thickBot="1" x14ac:dyDescent="0.4">
      <c r="B33" s="119">
        <v>46131</v>
      </c>
      <c r="C33" s="121">
        <f>'19 DE ABRIL'!C70</f>
        <v>26</v>
      </c>
      <c r="D33" s="121">
        <f>'19 DE ABRIL'!B70</f>
        <v>91</v>
      </c>
      <c r="E33" s="127"/>
      <c r="F33" s="122" t="s">
        <v>185</v>
      </c>
      <c r="G33" s="123"/>
      <c r="H33" s="124">
        <f>'19 DE ABRIL'!G70</f>
        <v>47873657</v>
      </c>
      <c r="I33" s="125"/>
      <c r="J33" s="126"/>
      <c r="K33" s="379"/>
      <c r="S33" s="154"/>
    </row>
    <row r="34" spans="2:20" ht="31.5" thickTop="1" thickBot="1" x14ac:dyDescent="0.45">
      <c r="B34" s="119">
        <v>46131</v>
      </c>
      <c r="C34" s="121">
        <f>'19 DE ABRIL'!U36</f>
        <v>4</v>
      </c>
      <c r="D34" s="121">
        <f>'19 DE ABRIL'!T36</f>
        <v>12</v>
      </c>
      <c r="E34" s="127"/>
      <c r="F34" s="128" t="s">
        <v>186</v>
      </c>
      <c r="G34" s="123"/>
      <c r="H34" s="124">
        <f>'19 DE ABRIL'!Y36</f>
        <v>10352150</v>
      </c>
      <c r="I34" s="125"/>
      <c r="J34" s="126"/>
      <c r="K34" s="379"/>
      <c r="L34" s="129"/>
      <c r="P34" s="95"/>
      <c r="S34" s="154"/>
      <c r="T34" s="157"/>
    </row>
    <row r="35" spans="2:20" ht="42.6" customHeight="1" thickTop="1" thickBot="1" x14ac:dyDescent="0.5">
      <c r="B35" s="119">
        <v>46131</v>
      </c>
      <c r="C35" s="121">
        <f>'19 DE ABRIL'!L28</f>
        <v>6</v>
      </c>
      <c r="D35" s="121">
        <f>'19 DE ABRIL'!K28</f>
        <v>15</v>
      </c>
      <c r="E35" s="127"/>
      <c r="F35" s="128" t="s">
        <v>187</v>
      </c>
      <c r="G35" s="123"/>
      <c r="H35" s="124">
        <f>'19 DE ABRIL'!P28</f>
        <v>8961590</v>
      </c>
      <c r="I35" s="125"/>
      <c r="J35" s="126"/>
      <c r="K35" s="379"/>
      <c r="L35" s="129"/>
      <c r="T35" s="158"/>
    </row>
    <row r="36" spans="2:20" ht="27" thickTop="1" thickBot="1" x14ac:dyDescent="0.4">
      <c r="B36" s="119"/>
      <c r="C36" s="131"/>
      <c r="D36" s="131"/>
      <c r="E36" s="127"/>
      <c r="F36" s="128"/>
      <c r="G36" s="123"/>
      <c r="H36" s="124"/>
      <c r="I36" s="125"/>
      <c r="J36" s="126"/>
      <c r="K36" s="384"/>
      <c r="L36" s="132" t="s">
        <v>188</v>
      </c>
      <c r="M36" s="133" t="s">
        <v>189</v>
      </c>
      <c r="S36" s="154"/>
    </row>
    <row r="37" spans="2:20" ht="22.5" thickTop="1" thickBot="1" x14ac:dyDescent="0.35">
      <c r="B37" s="119"/>
      <c r="C37" s="131"/>
      <c r="D37" s="131"/>
      <c r="E37" s="127"/>
      <c r="F37" s="128"/>
      <c r="G37" s="123"/>
      <c r="H37" s="124"/>
      <c r="I37" s="125"/>
      <c r="J37" s="126"/>
      <c r="K37" s="384"/>
      <c r="L37" s="385">
        <f>SUM(H33:I38)</f>
        <v>67187397</v>
      </c>
      <c r="M37" s="387"/>
      <c r="P37" s="130"/>
    </row>
    <row r="38" spans="2:20" ht="22.5" thickTop="1" thickBot="1" x14ac:dyDescent="0.35">
      <c r="B38" s="119"/>
      <c r="C38" s="131"/>
      <c r="D38" s="131"/>
      <c r="E38" s="127"/>
      <c r="F38" s="128"/>
      <c r="G38" s="123"/>
      <c r="H38" s="124"/>
      <c r="I38" s="125"/>
      <c r="J38" s="150"/>
      <c r="K38" s="384"/>
      <c r="L38" s="386"/>
      <c r="M38" s="388"/>
      <c r="N38" s="95"/>
      <c r="O38" s="67"/>
      <c r="P38" s="95"/>
    </row>
    <row r="39" spans="2:20" ht="24.75" thickTop="1" thickBot="1" x14ac:dyDescent="0.35">
      <c r="B39" s="119" t="s">
        <v>32</v>
      </c>
      <c r="C39" s="131">
        <f>SUM(C33:C38)</f>
        <v>36</v>
      </c>
      <c r="D39" s="131">
        <f>SUM(D33:D38)</f>
        <v>118</v>
      </c>
      <c r="E39" s="127">
        <f>SUM(E33:E38)</f>
        <v>0</v>
      </c>
      <c r="F39" s="128"/>
      <c r="G39" s="123"/>
      <c r="H39" s="354">
        <f>SUM(H33:H38)</f>
        <v>67187397</v>
      </c>
      <c r="I39" s="137">
        <f>SUM(I33:I38)</f>
        <v>0</v>
      </c>
      <c r="J39" s="151">
        <v>0</v>
      </c>
      <c r="K39" s="384"/>
      <c r="L39" s="140"/>
      <c r="M39" s="20" t="s">
        <v>184</v>
      </c>
      <c r="N39" s="95"/>
    </row>
    <row r="40" spans="2:20" ht="18.600000000000001" customHeight="1" thickTop="1" thickBot="1" x14ac:dyDescent="0.35">
      <c r="B40" s="160"/>
      <c r="C40" s="161"/>
      <c r="D40" s="161"/>
      <c r="E40" s="162"/>
      <c r="F40" s="163"/>
      <c r="G40" s="164"/>
      <c r="H40" s="165"/>
      <c r="I40" s="165"/>
      <c r="J40" s="166"/>
      <c r="K40" s="167"/>
      <c r="L40" s="140"/>
      <c r="M40" s="20"/>
      <c r="N40" s="95"/>
    </row>
    <row r="41" spans="2:20" ht="21.95" customHeight="1" thickTop="1" thickBot="1" x14ac:dyDescent="0.4">
      <c r="B41" s="377" t="s">
        <v>183</v>
      </c>
      <c r="C41" s="377"/>
      <c r="D41" s="377"/>
      <c r="E41" s="377"/>
      <c r="F41" s="377"/>
      <c r="G41" s="377"/>
      <c r="H41" s="377"/>
      <c r="I41" s="377"/>
      <c r="J41" s="378"/>
      <c r="K41" s="379"/>
      <c r="L41" s="147"/>
      <c r="N41" s="20"/>
      <c r="O41" s="20"/>
      <c r="P41" s="20"/>
      <c r="Q41" s="148"/>
      <c r="S41" s="155"/>
    </row>
    <row r="42" spans="2:20" ht="27" thickTop="1" thickBot="1" x14ac:dyDescent="0.4">
      <c r="B42" s="119">
        <v>46138</v>
      </c>
      <c r="C42" s="121">
        <f>'26 DE ABRIL'!C70</f>
        <v>26</v>
      </c>
      <c r="D42" s="121">
        <f>'26 DE ABRIL'!B70</f>
        <v>91</v>
      </c>
      <c r="E42" s="127"/>
      <c r="F42" s="122" t="s">
        <v>185</v>
      </c>
      <c r="G42" s="123"/>
      <c r="H42" s="124">
        <f>'26 DE ABRIL'!G70</f>
        <v>47911605</v>
      </c>
      <c r="I42" s="125"/>
      <c r="J42" s="126"/>
      <c r="K42" s="379"/>
      <c r="S42" s="154"/>
    </row>
    <row r="43" spans="2:20" ht="31.5" thickTop="1" thickBot="1" x14ac:dyDescent="0.45">
      <c r="B43" s="119">
        <v>46138</v>
      </c>
      <c r="C43" s="131">
        <f>'26 DE ABRIL'!U36</f>
        <v>4</v>
      </c>
      <c r="D43" s="121">
        <f>'26 DE ABRIL'!T36</f>
        <v>12</v>
      </c>
      <c r="E43" s="127"/>
      <c r="F43" s="128" t="s">
        <v>186</v>
      </c>
      <c r="G43" s="123"/>
      <c r="H43" s="124">
        <f>'26 DE ABRIL'!Y36</f>
        <v>10725462</v>
      </c>
      <c r="I43" s="125"/>
      <c r="J43" s="126"/>
      <c r="K43" s="379"/>
      <c r="L43" s="129"/>
      <c r="P43" s="95"/>
      <c r="S43" s="154"/>
      <c r="T43" s="157"/>
    </row>
    <row r="44" spans="2:20" ht="42.6" customHeight="1" thickTop="1" thickBot="1" x14ac:dyDescent="0.5">
      <c r="B44" s="119">
        <v>46138</v>
      </c>
      <c r="C44" s="131">
        <f>'26 DE ABRIL'!L28</f>
        <v>4</v>
      </c>
      <c r="D44" s="121">
        <f>'26 DE ABRIL'!K28</f>
        <v>12</v>
      </c>
      <c r="E44" s="127"/>
      <c r="F44" s="128" t="s">
        <v>187</v>
      </c>
      <c r="G44" s="123"/>
      <c r="H44" s="124">
        <f>'26 DE ABRIL'!P28</f>
        <v>6111675</v>
      </c>
      <c r="I44" s="125"/>
      <c r="J44" s="126"/>
      <c r="K44" s="379"/>
      <c r="L44" s="129"/>
      <c r="T44" s="158"/>
    </row>
    <row r="45" spans="2:20" ht="27" thickTop="1" thickBot="1" x14ac:dyDescent="0.4">
      <c r="B45" s="119"/>
      <c r="C45" s="131"/>
      <c r="D45" s="131"/>
      <c r="E45" s="127"/>
      <c r="F45" s="128"/>
      <c r="G45" s="123"/>
      <c r="H45" s="124"/>
      <c r="I45" s="125"/>
      <c r="J45" s="126"/>
      <c r="K45" s="384"/>
      <c r="L45" s="132" t="s">
        <v>188</v>
      </c>
      <c r="M45" s="133" t="s">
        <v>189</v>
      </c>
      <c r="S45" s="154"/>
    </row>
    <row r="46" spans="2:20" ht="22.5" thickTop="1" thickBot="1" x14ac:dyDescent="0.35">
      <c r="B46" s="119"/>
      <c r="C46" s="131"/>
      <c r="D46" s="131"/>
      <c r="E46" s="127"/>
      <c r="F46" s="128"/>
      <c r="G46" s="123"/>
      <c r="H46" s="124"/>
      <c r="I46" s="125"/>
      <c r="J46" s="126"/>
      <c r="K46" s="384"/>
      <c r="L46" s="385">
        <f>SUM(H42:I47)</f>
        <v>64748742</v>
      </c>
      <c r="M46" s="387"/>
      <c r="P46" s="130"/>
    </row>
    <row r="47" spans="2:20" ht="22.5" thickTop="1" thickBot="1" x14ac:dyDescent="0.35">
      <c r="B47" s="119"/>
      <c r="C47" s="131"/>
      <c r="D47" s="131"/>
      <c r="E47" s="127"/>
      <c r="F47" s="128"/>
      <c r="G47" s="123"/>
      <c r="H47" s="124"/>
      <c r="I47" s="125"/>
      <c r="J47" s="150"/>
      <c r="K47" s="384"/>
      <c r="L47" s="386"/>
      <c r="M47" s="388"/>
      <c r="N47" s="95"/>
      <c r="O47" s="67"/>
      <c r="P47" s="95"/>
    </row>
    <row r="48" spans="2:20" ht="24.75" thickTop="1" thickBot="1" x14ac:dyDescent="0.35">
      <c r="B48" s="119" t="s">
        <v>32</v>
      </c>
      <c r="C48" s="131">
        <f>SUM(C42:C47)</f>
        <v>34</v>
      </c>
      <c r="D48" s="131">
        <f>SUM(D42:D47)</f>
        <v>115</v>
      </c>
      <c r="E48" s="127">
        <f>SUM(E42:E47)</f>
        <v>0</v>
      </c>
      <c r="F48" s="128"/>
      <c r="G48" s="123"/>
      <c r="H48" s="354">
        <f>SUM(H42:H44)</f>
        <v>64748742</v>
      </c>
      <c r="I48" s="137">
        <f>SUM(I42:I47)</f>
        <v>0</v>
      </c>
      <c r="J48" s="151">
        <v>0</v>
      </c>
      <c r="K48" s="384"/>
      <c r="L48" s="140"/>
      <c r="M48" s="20" t="s">
        <v>184</v>
      </c>
      <c r="N48" s="95"/>
    </row>
    <row r="49" spans="2:17" ht="18.600000000000001" customHeight="1" thickTop="1" thickBot="1" x14ac:dyDescent="0.35">
      <c r="B49" s="160"/>
      <c r="C49" s="161"/>
      <c r="D49" s="161"/>
      <c r="E49" s="162"/>
      <c r="F49" s="163"/>
      <c r="G49" s="164"/>
      <c r="H49" s="165"/>
      <c r="I49" s="165"/>
      <c r="J49" s="166"/>
      <c r="K49" s="167"/>
      <c r="L49" s="140"/>
      <c r="M49" s="20"/>
      <c r="N49" s="95"/>
    </row>
    <row r="50" spans="2:17" ht="21.75" customHeight="1" thickTop="1" thickBot="1" x14ac:dyDescent="0.25">
      <c r="B50" s="378" t="s">
        <v>183</v>
      </c>
      <c r="C50" s="389"/>
      <c r="D50" s="389"/>
      <c r="E50" s="389"/>
      <c r="F50" s="389"/>
      <c r="G50" s="389"/>
      <c r="H50" s="389"/>
      <c r="I50" s="389"/>
      <c r="J50" s="390"/>
      <c r="K50" s="391"/>
      <c r="L50" s="147"/>
      <c r="N50" s="20"/>
      <c r="O50" s="20"/>
      <c r="P50" s="20"/>
      <c r="Q50" s="148"/>
    </row>
    <row r="51" spans="2:17" ht="22.5" thickTop="1" thickBot="1" x14ac:dyDescent="0.35">
      <c r="B51" s="119"/>
      <c r="C51" s="121"/>
      <c r="D51" s="121"/>
      <c r="E51" s="127"/>
      <c r="F51" s="122"/>
      <c r="G51" s="123"/>
      <c r="H51" s="124"/>
      <c r="I51" s="125"/>
      <c r="J51" s="126"/>
      <c r="K51" s="392"/>
    </row>
    <row r="52" spans="2:17" ht="22.5" thickTop="1" thickBot="1" x14ac:dyDescent="0.35">
      <c r="B52" s="119"/>
      <c r="C52" s="131"/>
      <c r="D52" s="131"/>
      <c r="E52" s="127"/>
      <c r="F52" s="128"/>
      <c r="G52" s="123"/>
      <c r="H52" s="124"/>
      <c r="I52" s="125"/>
      <c r="J52" s="126"/>
      <c r="K52" s="392"/>
      <c r="L52" s="129"/>
      <c r="P52" s="95"/>
    </row>
    <row r="53" spans="2:17" ht="52.35" customHeight="1" thickTop="1" thickBot="1" x14ac:dyDescent="0.35">
      <c r="B53" s="119"/>
      <c r="C53" s="131"/>
      <c r="D53" s="121"/>
      <c r="E53" s="127"/>
      <c r="F53" s="128"/>
      <c r="G53" s="123"/>
      <c r="H53" s="124"/>
      <c r="I53" s="125"/>
      <c r="J53" s="126"/>
      <c r="K53" s="393"/>
      <c r="L53" s="129"/>
    </row>
    <row r="54" spans="2:17" ht="22.5" thickTop="1" thickBot="1" x14ac:dyDescent="0.35">
      <c r="B54" s="119"/>
      <c r="C54" s="131"/>
      <c r="D54" s="131"/>
      <c r="E54" s="127"/>
      <c r="F54" s="128"/>
      <c r="G54" s="123"/>
      <c r="H54" s="124"/>
      <c r="I54" s="125"/>
      <c r="J54" s="126"/>
      <c r="K54" s="394"/>
      <c r="L54" s="132" t="s">
        <v>188</v>
      </c>
      <c r="M54" s="133" t="s">
        <v>189</v>
      </c>
    </row>
    <row r="55" spans="2:17" ht="22.35" customHeight="1" thickTop="1" thickBot="1" x14ac:dyDescent="0.35">
      <c r="B55" s="119"/>
      <c r="C55" s="131"/>
      <c r="D55" s="131"/>
      <c r="E55" s="127"/>
      <c r="F55" s="128"/>
      <c r="G55" s="123"/>
      <c r="H55" s="124"/>
      <c r="I55" s="125"/>
      <c r="J55" s="126"/>
      <c r="K55" s="395"/>
      <c r="L55" s="397">
        <f>SUM(H51:I56)</f>
        <v>0</v>
      </c>
      <c r="M55" s="387"/>
      <c r="P55" s="130"/>
    </row>
    <row r="56" spans="2:17" ht="22.35" customHeight="1" thickTop="1" thickBot="1" x14ac:dyDescent="0.35">
      <c r="B56" s="119"/>
      <c r="C56" s="131"/>
      <c r="D56" s="131"/>
      <c r="E56" s="127"/>
      <c r="F56" s="128"/>
      <c r="G56" s="123"/>
      <c r="H56" s="124"/>
      <c r="I56" s="125"/>
      <c r="J56" s="150"/>
      <c r="K56" s="395"/>
      <c r="L56" s="398"/>
      <c r="M56" s="388"/>
      <c r="N56" s="95"/>
      <c r="O56" s="67"/>
      <c r="P56" s="95"/>
    </row>
    <row r="57" spans="2:17" ht="24.75" thickTop="1" thickBot="1" x14ac:dyDescent="0.35">
      <c r="B57" s="119" t="s">
        <v>32</v>
      </c>
      <c r="C57" s="131">
        <f>SUM(C51:C56)</f>
        <v>0</v>
      </c>
      <c r="D57" s="131">
        <f>SUM(D51:D56)</f>
        <v>0</v>
      </c>
      <c r="E57" s="127">
        <f>SUM(E51:E56)</f>
        <v>0</v>
      </c>
      <c r="F57" s="128"/>
      <c r="G57" s="123"/>
      <c r="H57" s="354">
        <f>SUM(H51:H56)</f>
        <v>0</v>
      </c>
      <c r="I57" s="137">
        <f>SUM(I51:I56)</f>
        <v>0</v>
      </c>
      <c r="J57" s="151">
        <v>0</v>
      </c>
      <c r="K57" s="396"/>
      <c r="L57" s="140"/>
      <c r="M57" s="20" t="s">
        <v>184</v>
      </c>
      <c r="N57" s="95"/>
    </row>
    <row r="58" spans="2:17" ht="14.1" customHeight="1" thickTop="1" thickBot="1" x14ac:dyDescent="0.35">
      <c r="B58" s="160"/>
      <c r="C58" s="161"/>
      <c r="D58" s="161"/>
      <c r="E58" s="162"/>
      <c r="F58" s="163"/>
      <c r="G58" s="164"/>
      <c r="H58" s="165"/>
      <c r="I58" s="165"/>
      <c r="J58" s="166"/>
      <c r="K58" s="167"/>
      <c r="L58" s="140"/>
      <c r="M58" s="20"/>
      <c r="N58" s="95"/>
    </row>
    <row r="59" spans="2:17" ht="21.95" customHeight="1" thickTop="1" thickBot="1" x14ac:dyDescent="0.25">
      <c r="B59" s="378" t="s">
        <v>183</v>
      </c>
      <c r="C59" s="389"/>
      <c r="D59" s="389"/>
      <c r="E59" s="389"/>
      <c r="F59" s="389"/>
      <c r="G59" s="389"/>
      <c r="H59" s="389"/>
      <c r="I59" s="389"/>
      <c r="J59" s="390"/>
      <c r="K59" s="391"/>
      <c r="L59" s="147"/>
      <c r="N59" s="20"/>
      <c r="O59" s="20"/>
      <c r="P59" s="20"/>
      <c r="Q59" s="148"/>
    </row>
    <row r="60" spans="2:17" ht="22.5" thickTop="1" thickBot="1" x14ac:dyDescent="0.35">
      <c r="B60" s="119"/>
      <c r="C60" s="121"/>
      <c r="D60" s="121"/>
      <c r="E60" s="127"/>
      <c r="F60" s="122"/>
      <c r="G60" s="123"/>
      <c r="H60" s="124"/>
      <c r="I60" s="125"/>
      <c r="J60" s="126"/>
      <c r="K60" s="392"/>
    </row>
    <row r="61" spans="2:17" ht="22.5" thickTop="1" thickBot="1" x14ac:dyDescent="0.35">
      <c r="B61" s="119"/>
      <c r="C61" s="131"/>
      <c r="D61" s="121"/>
      <c r="E61" s="127"/>
      <c r="F61" s="128"/>
      <c r="G61" s="123"/>
      <c r="H61" s="124"/>
      <c r="I61" s="125"/>
      <c r="J61" s="126"/>
      <c r="K61" s="392"/>
      <c r="L61" s="129"/>
      <c r="P61" s="95"/>
    </row>
    <row r="62" spans="2:17" ht="52.35" customHeight="1" thickTop="1" thickBot="1" x14ac:dyDescent="0.35">
      <c r="B62" s="119"/>
      <c r="C62" s="131"/>
      <c r="D62" s="121"/>
      <c r="E62" s="127"/>
      <c r="F62" s="128"/>
      <c r="G62" s="123"/>
      <c r="H62" s="124"/>
      <c r="I62" s="125"/>
      <c r="J62" s="126"/>
      <c r="K62" s="393"/>
      <c r="L62" s="129"/>
    </row>
    <row r="63" spans="2:17" ht="22.5" thickTop="1" thickBot="1" x14ac:dyDescent="0.35">
      <c r="B63" s="119"/>
      <c r="C63" s="131"/>
      <c r="D63" s="131"/>
      <c r="E63" s="127"/>
      <c r="F63" s="128"/>
      <c r="G63" s="123"/>
      <c r="H63" s="124"/>
      <c r="I63" s="125"/>
      <c r="J63" s="126"/>
      <c r="K63" s="394"/>
      <c r="L63" s="132" t="s">
        <v>188</v>
      </c>
      <c r="M63" s="133" t="s">
        <v>189</v>
      </c>
    </row>
    <row r="64" spans="2:17" ht="22.35" customHeight="1" thickTop="1" thickBot="1" x14ac:dyDescent="0.35">
      <c r="B64" s="119"/>
      <c r="C64" s="131"/>
      <c r="D64" s="131"/>
      <c r="E64" s="127"/>
      <c r="F64" s="128"/>
      <c r="G64" s="123"/>
      <c r="H64" s="124"/>
      <c r="I64" s="125"/>
      <c r="J64" s="126"/>
      <c r="K64" s="395"/>
      <c r="L64" s="397">
        <f>SUM(H60:I65)</f>
        <v>0</v>
      </c>
      <c r="M64" s="387"/>
      <c r="P64" s="130"/>
    </row>
    <row r="65" spans="2:17" ht="22.35" customHeight="1" thickTop="1" thickBot="1" x14ac:dyDescent="0.35">
      <c r="B65" s="119"/>
      <c r="C65" s="131"/>
      <c r="D65" s="131"/>
      <c r="E65" s="127"/>
      <c r="F65" s="128"/>
      <c r="G65" s="123"/>
      <c r="H65" s="124"/>
      <c r="I65" s="125"/>
      <c r="J65" s="150"/>
      <c r="K65" s="395"/>
      <c r="L65" s="398"/>
      <c r="M65" s="388"/>
      <c r="N65" s="95"/>
      <c r="O65" s="67"/>
      <c r="P65" s="95"/>
    </row>
    <row r="66" spans="2:17" ht="24.75" thickTop="1" thickBot="1" x14ac:dyDescent="0.35">
      <c r="B66" s="119" t="s">
        <v>32</v>
      </c>
      <c r="C66" s="131">
        <f>SUM(C60:C65)</f>
        <v>0</v>
      </c>
      <c r="D66" s="131">
        <f>SUM(D60:D65)</f>
        <v>0</v>
      </c>
      <c r="E66" s="127">
        <f>SUM(E60:E65)</f>
        <v>0</v>
      </c>
      <c r="F66" s="128"/>
      <c r="G66" s="123"/>
      <c r="H66" s="354">
        <f>SUM(H60:H65)</f>
        <v>0</v>
      </c>
      <c r="I66" s="137">
        <f>SUM(I60:I65)</f>
        <v>0</v>
      </c>
      <c r="J66" s="151">
        <v>0</v>
      </c>
      <c r="K66" s="396"/>
      <c r="L66" s="140"/>
      <c r="M66" s="20" t="s">
        <v>184</v>
      </c>
      <c r="N66" s="95"/>
    </row>
    <row r="67" spans="2:17" ht="14.1" customHeight="1" thickTop="1" thickBot="1" x14ac:dyDescent="0.35">
      <c r="B67" s="160"/>
      <c r="C67" s="161"/>
      <c r="D67" s="161"/>
      <c r="E67" s="162"/>
      <c r="F67" s="163"/>
      <c r="G67" s="164"/>
      <c r="H67" s="165"/>
      <c r="I67" s="165"/>
      <c r="J67" s="166"/>
      <c r="K67" s="167"/>
      <c r="L67" s="140"/>
      <c r="M67" s="20"/>
      <c r="N67" s="95"/>
    </row>
    <row r="68" spans="2:17" ht="21.95" customHeight="1" thickTop="1" thickBot="1" x14ac:dyDescent="0.25">
      <c r="B68" s="378" t="s">
        <v>183</v>
      </c>
      <c r="C68" s="389"/>
      <c r="D68" s="389"/>
      <c r="E68" s="389"/>
      <c r="F68" s="389"/>
      <c r="G68" s="389"/>
      <c r="H68" s="389"/>
      <c r="I68" s="389"/>
      <c r="J68" s="390"/>
      <c r="K68" s="391"/>
      <c r="L68" s="147"/>
      <c r="N68" s="20"/>
      <c r="O68" s="20"/>
      <c r="P68" s="20"/>
      <c r="Q68" s="148"/>
    </row>
    <row r="69" spans="2:17" ht="22.5" thickTop="1" thickBot="1" x14ac:dyDescent="0.35">
      <c r="B69" s="159"/>
      <c r="C69" s="121"/>
      <c r="D69" s="121"/>
      <c r="E69" s="127"/>
      <c r="F69" s="122"/>
      <c r="G69" s="123"/>
      <c r="H69" s="124"/>
      <c r="I69" s="125"/>
      <c r="J69" s="126"/>
      <c r="K69" s="392"/>
    </row>
    <row r="70" spans="2:17" ht="22.5" thickTop="1" thickBot="1" x14ac:dyDescent="0.35">
      <c r="B70" s="159"/>
      <c r="C70" s="131"/>
      <c r="D70" s="131"/>
      <c r="E70" s="127"/>
      <c r="F70" s="128"/>
      <c r="G70" s="123"/>
      <c r="H70" s="124"/>
      <c r="I70" s="125"/>
      <c r="J70" s="126"/>
      <c r="K70" s="392"/>
      <c r="L70" s="129"/>
      <c r="P70" s="95"/>
    </row>
    <row r="71" spans="2:17" ht="52.35" customHeight="1" thickTop="1" thickBot="1" x14ac:dyDescent="0.35">
      <c r="B71" s="159"/>
      <c r="C71" s="131"/>
      <c r="D71" s="121"/>
      <c r="E71" s="127"/>
      <c r="F71" s="128"/>
      <c r="G71" s="123"/>
      <c r="H71" s="124"/>
      <c r="I71" s="125"/>
      <c r="J71" s="126"/>
      <c r="K71" s="393"/>
      <c r="L71" s="129"/>
    </row>
    <row r="72" spans="2:17" ht="22.5" thickTop="1" thickBot="1" x14ac:dyDescent="0.35">
      <c r="B72" s="119"/>
      <c r="C72" s="131"/>
      <c r="D72" s="131"/>
      <c r="E72" s="127"/>
      <c r="F72" s="128"/>
      <c r="G72" s="123"/>
      <c r="H72" s="124"/>
      <c r="I72" s="125"/>
      <c r="J72" s="126"/>
      <c r="K72" s="394"/>
      <c r="L72" s="132" t="s">
        <v>188</v>
      </c>
      <c r="M72" s="133" t="s">
        <v>189</v>
      </c>
    </row>
    <row r="73" spans="2:17" ht="22.35" customHeight="1" thickTop="1" thickBot="1" x14ac:dyDescent="0.35">
      <c r="B73" s="119"/>
      <c r="C73" s="131"/>
      <c r="D73" s="131"/>
      <c r="E73" s="127"/>
      <c r="F73" s="128"/>
      <c r="G73" s="123"/>
      <c r="H73" s="124"/>
      <c r="I73" s="125"/>
      <c r="J73" s="126"/>
      <c r="K73" s="395"/>
      <c r="L73" s="397">
        <f>SUM(H69:I74)</f>
        <v>0</v>
      </c>
      <c r="M73" s="387"/>
      <c r="P73" s="130"/>
    </row>
    <row r="74" spans="2:17" ht="22.35" customHeight="1" thickTop="1" thickBot="1" x14ac:dyDescent="0.35">
      <c r="B74" s="119"/>
      <c r="C74" s="131"/>
      <c r="D74" s="131"/>
      <c r="E74" s="127"/>
      <c r="F74" s="128"/>
      <c r="G74" s="123"/>
      <c r="H74" s="124"/>
      <c r="I74" s="125"/>
      <c r="J74" s="150"/>
      <c r="K74" s="395"/>
      <c r="L74" s="398"/>
      <c r="M74" s="388"/>
      <c r="N74" s="95"/>
      <c r="O74" s="67"/>
      <c r="P74" s="95"/>
    </row>
    <row r="75" spans="2:17" ht="22.5" thickTop="1" thickBot="1" x14ac:dyDescent="0.35">
      <c r="B75" s="119" t="s">
        <v>32</v>
      </c>
      <c r="C75" s="131">
        <f>SUM(C69:C74)</f>
        <v>0</v>
      </c>
      <c r="D75" s="131">
        <f>SUM(D69:D74)</f>
        <v>0</v>
      </c>
      <c r="E75" s="127">
        <f>SUM(E69:E74)</f>
        <v>0</v>
      </c>
      <c r="F75" s="128"/>
      <c r="G75" s="123"/>
      <c r="H75" s="137">
        <f>SUM(H69:H74)</f>
        <v>0</v>
      </c>
      <c r="I75" s="137">
        <f>SUM(I69:I74)</f>
        <v>0</v>
      </c>
      <c r="J75" s="151">
        <v>0</v>
      </c>
      <c r="K75" s="396"/>
      <c r="L75" s="140"/>
      <c r="M75" s="20" t="s">
        <v>184</v>
      </c>
      <c r="N75" s="95"/>
    </row>
    <row r="76" spans="2:17" ht="15.95" customHeight="1" thickTop="1" thickBot="1" x14ac:dyDescent="0.3">
      <c r="B76" s="113"/>
      <c r="C76" s="114"/>
      <c r="D76" s="114"/>
      <c r="E76" s="114"/>
      <c r="F76" s="115"/>
      <c r="G76" s="116"/>
      <c r="H76" s="117"/>
      <c r="I76" s="117"/>
      <c r="J76" s="168"/>
      <c r="K76" s="118"/>
      <c r="L76" s="169"/>
      <c r="M76" s="20"/>
      <c r="N76" s="170"/>
      <c r="O76" s="20"/>
      <c r="P76" s="20"/>
    </row>
    <row r="77" spans="2:17" ht="51.75" customHeight="1" thickTop="1" thickBot="1" x14ac:dyDescent="0.35">
      <c r="B77" s="171"/>
      <c r="C77" s="172"/>
      <c r="D77" s="172"/>
      <c r="E77" s="172"/>
      <c r="F77" s="173"/>
      <c r="G77" s="174"/>
      <c r="H77" s="175" t="s">
        <v>192</v>
      </c>
      <c r="I77" s="176" t="s">
        <v>193</v>
      </c>
      <c r="J77" s="176" t="s">
        <v>181</v>
      </c>
      <c r="K77" s="177"/>
      <c r="L77" s="178"/>
      <c r="M77" s="20"/>
      <c r="N77" s="170"/>
      <c r="O77" s="20"/>
      <c r="P77" s="20"/>
      <c r="Q77" s="95"/>
    </row>
    <row r="78" spans="2:17" ht="49.7" customHeight="1" thickBot="1" x14ac:dyDescent="0.45">
      <c r="B78" s="179" t="s">
        <v>32</v>
      </c>
      <c r="C78" s="180">
        <f>C21+C12+C30+C57+C48+C39</f>
        <v>172</v>
      </c>
      <c r="D78" s="180">
        <f>D21+D12+D30+D57+D48+D66+D39</f>
        <v>556</v>
      </c>
      <c r="E78" s="180">
        <f>E21+E12+E30+E57+E66+E48+E39</f>
        <v>0</v>
      </c>
      <c r="F78" s="181" t="s">
        <v>32</v>
      </c>
      <c r="G78" s="181"/>
      <c r="H78" s="182">
        <f>SUM(H12,H21,H30,H39,H48,H57,H66,H75)</f>
        <v>318620917</v>
      </c>
      <c r="I78" s="183">
        <f>I12+I21+I30+I57+I66+I48+I39</f>
        <v>0</v>
      </c>
      <c r="J78" s="183">
        <f>J12+J21+J30+J57+J66</f>
        <v>0</v>
      </c>
      <c r="K78" s="184"/>
      <c r="L78" s="185" t="s">
        <v>194</v>
      </c>
      <c r="M78" s="185" t="s">
        <v>195</v>
      </c>
      <c r="N78" s="185" t="s">
        <v>196</v>
      </c>
      <c r="O78" s="185" t="s">
        <v>197</v>
      </c>
      <c r="P78" s="20"/>
    </row>
    <row r="79" spans="2:17" ht="64.7" customHeight="1" thickBot="1" x14ac:dyDescent="0.45">
      <c r="B79" s="186"/>
      <c r="C79" s="187"/>
      <c r="D79" s="187"/>
      <c r="E79" s="188"/>
      <c r="F79" s="189" t="s">
        <v>198</v>
      </c>
      <c r="G79" s="399">
        <f>H78+I78</f>
        <v>318620917</v>
      </c>
      <c r="H79" s="400"/>
      <c r="I79" s="400"/>
      <c r="J79" s="401"/>
      <c r="K79" s="190"/>
      <c r="L79" s="191">
        <f>SUM('02 DE ABRIL'!M70,'05 DE ABRIL'!M70,'12 DE ABRIL'!M70,'19 DE ABRIL'!M73,'26 DE ABRIL'!M73)</f>
        <v>91329489</v>
      </c>
      <c r="M79" s="191">
        <f>SUM('02 DE ABRIL'!N70,'05 DE ABRIL'!N70,'12 DE ABRIL'!N70,'19 DE ABRIL'!N73,'26 DE ABRIL'!N73)</f>
        <v>134444153</v>
      </c>
      <c r="N79" s="191">
        <f>SUM('02 DE ABRIL'!O70,'05 DE ABRIL'!O70,'12 DE ABRIL'!O70,'19 DE ABRIL'!O73,'26 DE ABRIL'!O73)</f>
        <v>92847275</v>
      </c>
      <c r="O79" s="192">
        <f>L79+M79+N79</f>
        <v>318620917</v>
      </c>
      <c r="P79" s="193"/>
      <c r="Q79" s="194"/>
    </row>
    <row r="80" spans="2:17" ht="52.5" customHeight="1" thickBot="1" x14ac:dyDescent="0.25">
      <c r="B80" s="186"/>
      <c r="C80" s="187"/>
      <c r="D80" s="187"/>
      <c r="E80" s="188"/>
      <c r="F80" s="189" t="s">
        <v>199</v>
      </c>
      <c r="G80" s="402">
        <f>K9</f>
        <v>132114057</v>
      </c>
      <c r="H80" s="403"/>
      <c r="I80" s="403"/>
      <c r="J80" s="404"/>
      <c r="K80" s="195"/>
      <c r="L80" s="3"/>
    </row>
    <row r="81" spans="2:15" ht="30" customHeight="1" thickBot="1" x14ac:dyDescent="0.25">
      <c r="B81" s="413" t="s">
        <v>200</v>
      </c>
      <c r="C81" s="414"/>
      <c r="D81" s="414"/>
      <c r="E81" s="414"/>
      <c r="F81" s="414"/>
      <c r="G81" s="414"/>
      <c r="H81" s="414"/>
      <c r="I81" s="414"/>
      <c r="J81" s="414"/>
      <c r="K81" s="414"/>
      <c r="L81" s="196" t="s">
        <v>201</v>
      </c>
      <c r="M81" s="20"/>
      <c r="N81" s="20"/>
      <c r="O81" s="20"/>
    </row>
    <row r="82" spans="2:15" ht="75" customHeight="1" x14ac:dyDescent="0.35">
      <c r="B82" s="197" t="s">
        <v>202</v>
      </c>
      <c r="C82" s="198" t="s">
        <v>203</v>
      </c>
      <c r="D82" s="198" t="s">
        <v>204</v>
      </c>
      <c r="E82" s="199" t="s">
        <v>205</v>
      </c>
      <c r="F82" s="199" t="s">
        <v>206</v>
      </c>
      <c r="G82" s="199" t="s">
        <v>207</v>
      </c>
      <c r="H82" s="199" t="s">
        <v>208</v>
      </c>
      <c r="I82" s="199" t="s">
        <v>209</v>
      </c>
      <c r="J82" s="199" t="s">
        <v>210</v>
      </c>
      <c r="K82" s="200" t="s">
        <v>211</v>
      </c>
      <c r="L82" s="201">
        <f>G80</f>
        <v>132114057</v>
      </c>
      <c r="M82" s="201"/>
      <c r="N82" s="20"/>
      <c r="O82" s="20"/>
    </row>
    <row r="83" spans="2:15" s="211" customFormat="1" ht="72.75" customHeight="1" x14ac:dyDescent="0.35">
      <c r="B83" s="202">
        <v>46114</v>
      </c>
      <c r="C83" s="203">
        <v>0.33333333333333331</v>
      </c>
      <c r="D83" s="203">
        <v>0.58333333333333337</v>
      </c>
      <c r="E83" s="204" t="s">
        <v>501</v>
      </c>
      <c r="F83" s="204" t="s">
        <v>506</v>
      </c>
      <c r="G83" s="204" t="s">
        <v>455</v>
      </c>
      <c r="H83" s="204" t="s">
        <v>456</v>
      </c>
      <c r="I83" s="205" t="str">
        <f t="shared" ref="I83:I114" si="0">+IF(J83=0,0,CONCATENATE(MID(J83,FIND("HORAS",J83,1)-3,3)," HORAS"))</f>
        <v>09  HORAS</v>
      </c>
      <c r="J83" s="206" t="s">
        <v>356</v>
      </c>
      <c r="K83" s="207">
        <f>+IF(J83=0,0,IF(J83="","",VLOOKUP(J83,'PLANTILLA '!$H$139:$I$216,2,0)))</f>
        <v>1665773</v>
      </c>
      <c r="L83" s="208"/>
      <c r="M83" s="209"/>
      <c r="N83" s="210"/>
      <c r="O83" s="210"/>
    </row>
    <row r="84" spans="2:15" s="211" customFormat="1" ht="72.75" customHeight="1" x14ac:dyDescent="0.35">
      <c r="B84" s="202">
        <v>46114</v>
      </c>
      <c r="C84" s="203">
        <v>0.33333333333333331</v>
      </c>
      <c r="D84" s="203">
        <v>0.625</v>
      </c>
      <c r="E84" s="204" t="s">
        <v>501</v>
      </c>
      <c r="F84" s="204" t="s">
        <v>507</v>
      </c>
      <c r="G84" s="204" t="s">
        <v>455</v>
      </c>
      <c r="H84" s="204" t="s">
        <v>456</v>
      </c>
      <c r="I84" s="205" t="str">
        <f t="shared" si="0"/>
        <v>09  HORAS</v>
      </c>
      <c r="J84" s="206" t="s">
        <v>356</v>
      </c>
      <c r="K84" s="207">
        <f>+IF(J84=0,0,IF(J84="","",VLOOKUP(J84,'PLANTILLA '!$H$139:$I$216,2,0)))</f>
        <v>1665773</v>
      </c>
      <c r="L84" s="212"/>
      <c r="M84" s="209"/>
      <c r="N84" s="210"/>
      <c r="O84" s="210"/>
    </row>
    <row r="85" spans="2:15" s="211" customFormat="1" ht="72.75" customHeight="1" x14ac:dyDescent="0.35">
      <c r="B85" s="202">
        <v>46117</v>
      </c>
      <c r="C85" s="203">
        <v>0.25</v>
      </c>
      <c r="D85" s="203">
        <v>0.75</v>
      </c>
      <c r="E85" s="204" t="s">
        <v>501</v>
      </c>
      <c r="F85" s="204" t="s">
        <v>508</v>
      </c>
      <c r="G85" s="204" t="s">
        <v>455</v>
      </c>
      <c r="H85" s="204" t="s">
        <v>456</v>
      </c>
      <c r="I85" s="205" t="str">
        <f t="shared" si="0"/>
        <v>15  HORAS</v>
      </c>
      <c r="J85" s="206" t="s">
        <v>351</v>
      </c>
      <c r="K85" s="207">
        <f>+IF(J85=0,0,IF(J85="","",VLOOKUP(J85,'PLANTILLA '!$H$139:$I$216,2,0)))</f>
        <v>1955007</v>
      </c>
      <c r="L85" s="213"/>
      <c r="M85" s="209"/>
      <c r="N85" s="210"/>
      <c r="O85" s="210"/>
    </row>
    <row r="86" spans="2:15" s="211" customFormat="1" ht="72.75" customHeight="1" x14ac:dyDescent="0.35">
      <c r="B86" s="202">
        <v>46117</v>
      </c>
      <c r="C86" s="203">
        <v>0.20833333333333334</v>
      </c>
      <c r="D86" s="203">
        <v>0.625</v>
      </c>
      <c r="E86" s="204" t="s">
        <v>501</v>
      </c>
      <c r="F86" s="204" t="s">
        <v>508</v>
      </c>
      <c r="G86" s="204" t="s">
        <v>455</v>
      </c>
      <c r="H86" s="204" t="s">
        <v>456</v>
      </c>
      <c r="I86" s="205" t="str">
        <f t="shared" si="0"/>
        <v>15  HORAS</v>
      </c>
      <c r="J86" s="206" t="s">
        <v>351</v>
      </c>
      <c r="K86" s="207">
        <f>+IF(J86=0,0,IF(J86="","",VLOOKUP(J86,'PLANTILLA '!$H$139:$I$216,2,0)))</f>
        <v>1955007</v>
      </c>
      <c r="L86" s="214"/>
      <c r="M86" s="209"/>
      <c r="N86" s="210"/>
      <c r="O86" s="210"/>
    </row>
    <row r="87" spans="2:15" s="211" customFormat="1" ht="72.75" customHeight="1" x14ac:dyDescent="0.35">
      <c r="B87" s="202">
        <v>46120</v>
      </c>
      <c r="C87" s="203">
        <v>0.375</v>
      </c>
      <c r="D87" s="203">
        <v>0.54166666666666663</v>
      </c>
      <c r="E87" s="204" t="s">
        <v>501</v>
      </c>
      <c r="F87" s="204" t="s">
        <v>509</v>
      </c>
      <c r="G87" s="204" t="s">
        <v>455</v>
      </c>
      <c r="H87" s="204" t="s">
        <v>456</v>
      </c>
      <c r="I87" s="205" t="str">
        <f t="shared" si="0"/>
        <v>04  HORAS</v>
      </c>
      <c r="J87" s="206" t="s">
        <v>405</v>
      </c>
      <c r="K87" s="207">
        <f>+IF(J87=0,0,IF(J87="","",VLOOKUP(J87,'PLANTILLA '!$H$139:$I$216,2,0)))</f>
        <v>529232</v>
      </c>
      <c r="L87" s="213"/>
      <c r="M87" s="209"/>
      <c r="N87" s="210"/>
      <c r="O87" s="210"/>
    </row>
    <row r="88" spans="2:15" s="211" customFormat="1" ht="72.75" customHeight="1" x14ac:dyDescent="0.35">
      <c r="B88" s="202">
        <v>46121</v>
      </c>
      <c r="C88" s="203">
        <v>0.3125</v>
      </c>
      <c r="D88" s="203">
        <v>0.6875</v>
      </c>
      <c r="E88" s="204" t="s">
        <v>501</v>
      </c>
      <c r="F88" s="204" t="s">
        <v>510</v>
      </c>
      <c r="G88" s="204" t="s">
        <v>466</v>
      </c>
      <c r="H88" s="204" t="s">
        <v>485</v>
      </c>
      <c r="I88" s="205" t="str">
        <f t="shared" si="0"/>
        <v>09  HORAS</v>
      </c>
      <c r="J88" s="206" t="s">
        <v>373</v>
      </c>
      <c r="K88" s="207">
        <f>+IF(J88=0,0,IF(J88="","",VLOOKUP(J88,'PLANTILLA '!$H$139:$I$216,2,0)))</f>
        <v>1175229</v>
      </c>
      <c r="L88" s="213"/>
      <c r="M88" s="209"/>
      <c r="N88" s="210"/>
      <c r="O88" s="210"/>
    </row>
    <row r="89" spans="2:15" s="211" customFormat="1" ht="72.75" customHeight="1" x14ac:dyDescent="0.35">
      <c r="B89" s="202">
        <v>46122</v>
      </c>
      <c r="C89" s="203">
        <v>0.33333333333333331</v>
      </c>
      <c r="D89" s="203">
        <v>0.58333333333333337</v>
      </c>
      <c r="E89" s="204" t="s">
        <v>501</v>
      </c>
      <c r="F89" s="204" t="s">
        <v>510</v>
      </c>
      <c r="G89" s="204" t="s">
        <v>455</v>
      </c>
      <c r="H89" s="204" t="s">
        <v>456</v>
      </c>
      <c r="I89" s="205" t="str">
        <f t="shared" si="0"/>
        <v>09  HORAS</v>
      </c>
      <c r="J89" s="206" t="s">
        <v>356</v>
      </c>
      <c r="K89" s="207">
        <f>+IF(J89=0,0,IF(J89="","",VLOOKUP(J89,'PLANTILLA '!$H$139:$I$216,2,0)))</f>
        <v>1665773</v>
      </c>
      <c r="L89" s="213"/>
      <c r="M89" s="209"/>
      <c r="N89" s="210"/>
      <c r="O89" s="210"/>
    </row>
    <row r="90" spans="2:15" s="211" customFormat="1" ht="72.75" customHeight="1" x14ac:dyDescent="0.35">
      <c r="B90" s="202">
        <v>46122</v>
      </c>
      <c r="C90" s="203">
        <v>0.33333333333333331</v>
      </c>
      <c r="D90" s="203">
        <v>0.66666666666666663</v>
      </c>
      <c r="E90" s="204" t="s">
        <v>501</v>
      </c>
      <c r="F90" s="204" t="s">
        <v>510</v>
      </c>
      <c r="G90" s="204" t="s">
        <v>455</v>
      </c>
      <c r="H90" s="204" t="s">
        <v>456</v>
      </c>
      <c r="I90" s="205" t="str">
        <f t="shared" si="0"/>
        <v>09  HORAS</v>
      </c>
      <c r="J90" s="206" t="s">
        <v>356</v>
      </c>
      <c r="K90" s="207">
        <f>+IF(J90=0,0,IF(J90="","",VLOOKUP(J90,'PLANTILLA '!$H$139:$I$216,2,0)))</f>
        <v>1665773</v>
      </c>
      <c r="L90" s="213"/>
      <c r="M90" s="209"/>
      <c r="N90" s="210"/>
      <c r="O90" s="210"/>
    </row>
    <row r="91" spans="2:15" s="211" customFormat="1" ht="72.75" customHeight="1" x14ac:dyDescent="0.35">
      <c r="B91" s="202">
        <v>46122</v>
      </c>
      <c r="C91" s="203">
        <v>0.58333333333333337</v>
      </c>
      <c r="D91" s="203">
        <v>0.70833333333333337</v>
      </c>
      <c r="E91" s="204" t="s">
        <v>501</v>
      </c>
      <c r="F91" s="204" t="s">
        <v>510</v>
      </c>
      <c r="G91" s="204" t="s">
        <v>484</v>
      </c>
      <c r="H91" s="204" t="s">
        <v>482</v>
      </c>
      <c r="I91" s="205" t="str">
        <f t="shared" si="0"/>
        <v>04  HORAS</v>
      </c>
      <c r="J91" s="206" t="s">
        <v>378</v>
      </c>
      <c r="K91" s="207">
        <f>+IF(J91=0,0,IF(J91="","",VLOOKUP(J91,'PLANTILLA '!$H$139:$I$216,2,0)))</f>
        <v>961567</v>
      </c>
      <c r="L91" s="213"/>
      <c r="M91" s="209"/>
      <c r="N91" s="210"/>
      <c r="O91" s="210"/>
    </row>
    <row r="92" spans="2:15" s="211" customFormat="1" ht="72.75" customHeight="1" x14ac:dyDescent="0.35">
      <c r="B92" s="202">
        <v>46124</v>
      </c>
      <c r="C92" s="203">
        <v>0.39583333333333331</v>
      </c>
      <c r="D92" s="203">
        <v>0.47916666666666669</v>
      </c>
      <c r="E92" s="204" t="s">
        <v>501</v>
      </c>
      <c r="F92" s="204" t="s">
        <v>510</v>
      </c>
      <c r="G92" s="204" t="s">
        <v>484</v>
      </c>
      <c r="H92" s="204" t="s">
        <v>482</v>
      </c>
      <c r="I92" s="205" t="str">
        <f>+IF(J92=0,0,CONCATENATE(MID(J92,FIND("HORAS",J92,1)-3,3)," HORAS"))</f>
        <v>04  HORAS</v>
      </c>
      <c r="J92" s="206" t="s">
        <v>378</v>
      </c>
      <c r="K92" s="207">
        <f>+IF(J92=0,0,IF(J92="","",VLOOKUP(J92,'PLANTILLA '!$H$139:$I$216,2,0)))</f>
        <v>961567</v>
      </c>
      <c r="L92" s="213"/>
      <c r="M92" s="209"/>
      <c r="N92" s="210"/>
      <c r="O92" s="210"/>
    </row>
    <row r="93" spans="2:15" s="211" customFormat="1" ht="72.75" customHeight="1" x14ac:dyDescent="0.35">
      <c r="B93" s="202">
        <v>46122</v>
      </c>
      <c r="C93" s="203">
        <v>0.33333333333333331</v>
      </c>
      <c r="D93" s="203">
        <v>0.47916666666666669</v>
      </c>
      <c r="E93" s="204" t="s">
        <v>501</v>
      </c>
      <c r="F93" s="204" t="s">
        <v>511</v>
      </c>
      <c r="G93" s="204" t="s">
        <v>455</v>
      </c>
      <c r="H93" s="204" t="s">
        <v>456</v>
      </c>
      <c r="I93" s="205" t="str">
        <f t="shared" si="0"/>
        <v>09- HORAS</v>
      </c>
      <c r="J93" s="206" t="s">
        <v>444</v>
      </c>
      <c r="K93" s="207">
        <f>+IF(J93=0,0,IF(J93="","",VLOOKUP(J93,'PLANTILLA '!$H$139:$I$2126,2,0)))</f>
        <v>1773856</v>
      </c>
      <c r="L93" s="213"/>
      <c r="M93" s="215"/>
    </row>
    <row r="94" spans="2:15" s="211" customFormat="1" ht="72.75" customHeight="1" x14ac:dyDescent="0.35">
      <c r="B94" s="202">
        <v>46122</v>
      </c>
      <c r="C94" s="203">
        <v>0.3125</v>
      </c>
      <c r="D94" s="203">
        <v>0.6875</v>
      </c>
      <c r="E94" s="204" t="s">
        <v>501</v>
      </c>
      <c r="F94" s="204" t="s">
        <v>510</v>
      </c>
      <c r="G94" s="204" t="s">
        <v>466</v>
      </c>
      <c r="H94" s="204" t="s">
        <v>485</v>
      </c>
      <c r="I94" s="205" t="str">
        <f t="shared" si="0"/>
        <v>09  HORAS</v>
      </c>
      <c r="J94" s="206" t="s">
        <v>373</v>
      </c>
      <c r="K94" s="207">
        <f>+IF(J94=0,0,IF(J94="","",VLOOKUP(J94,'PLANTILLA '!$H$139:$I$216,2,0)))</f>
        <v>1175229</v>
      </c>
      <c r="L94" s="213"/>
      <c r="M94" s="215"/>
    </row>
    <row r="95" spans="2:15" s="211" customFormat="1" ht="72.75" customHeight="1" x14ac:dyDescent="0.35">
      <c r="B95" s="202">
        <v>46122</v>
      </c>
      <c r="C95" s="203">
        <v>0.33333333333333331</v>
      </c>
      <c r="D95" s="203">
        <v>0.5</v>
      </c>
      <c r="E95" s="204" t="s">
        <v>501</v>
      </c>
      <c r="F95" s="204" t="s">
        <v>510</v>
      </c>
      <c r="G95" s="204" t="s">
        <v>486</v>
      </c>
      <c r="H95" s="204" t="s">
        <v>487</v>
      </c>
      <c r="I95" s="205" t="str">
        <f t="shared" si="0"/>
        <v>04  HORAS</v>
      </c>
      <c r="J95" s="206" t="s">
        <v>401</v>
      </c>
      <c r="K95" s="207">
        <f>+IF(J95=0,0,IF(J95="","",VLOOKUP(J95,'PLANTILLA '!$H$139:$I$216,2,0)))</f>
        <v>576161</v>
      </c>
      <c r="L95" s="213"/>
      <c r="M95" s="215"/>
    </row>
    <row r="96" spans="2:15" s="211" customFormat="1" ht="72.75" customHeight="1" x14ac:dyDescent="0.35">
      <c r="B96" s="202">
        <v>46124</v>
      </c>
      <c r="C96" s="203">
        <v>0.22916666666666666</v>
      </c>
      <c r="D96" s="203">
        <v>0.39583333333333331</v>
      </c>
      <c r="E96" s="204" t="s">
        <v>501</v>
      </c>
      <c r="F96" s="204" t="s">
        <v>510</v>
      </c>
      <c r="G96" s="357" t="s">
        <v>455</v>
      </c>
      <c r="H96" s="358" t="s">
        <v>456</v>
      </c>
      <c r="I96" s="205" t="str">
        <f t="shared" si="0"/>
        <v>04  HORAS</v>
      </c>
      <c r="J96" s="206" t="s">
        <v>362</v>
      </c>
      <c r="K96" s="207">
        <f>+IF(J96=0,0,IF(J96="","",VLOOKUP(J96,'PLANTILLA '!$H$139:$I$216,2,0)))</f>
        <v>1230935</v>
      </c>
      <c r="L96" s="213"/>
      <c r="M96" s="215"/>
    </row>
    <row r="97" spans="2:118" s="211" customFormat="1" ht="72.75" customHeight="1" x14ac:dyDescent="0.35">
      <c r="B97" s="202">
        <v>46124</v>
      </c>
      <c r="C97" s="203">
        <v>0.14583333333333334</v>
      </c>
      <c r="D97" s="203">
        <v>0.3125</v>
      </c>
      <c r="E97" s="204" t="s">
        <v>501</v>
      </c>
      <c r="F97" s="204" t="s">
        <v>510</v>
      </c>
      <c r="G97" s="357" t="s">
        <v>455</v>
      </c>
      <c r="H97" s="358" t="s">
        <v>456</v>
      </c>
      <c r="I97" s="205" t="str">
        <f t="shared" si="0"/>
        <v>04  HORAS</v>
      </c>
      <c r="J97" s="206" t="s">
        <v>362</v>
      </c>
      <c r="K97" s="207">
        <f>+IF(J97=0,0,IF(J97="","",VLOOKUP(J97,'PLANTILLA '!$H$139:$I$216,2,0)))</f>
        <v>1230935</v>
      </c>
      <c r="L97" s="213"/>
      <c r="M97" s="216"/>
    </row>
    <row r="98" spans="2:118" s="211" customFormat="1" ht="72.75" customHeight="1" x14ac:dyDescent="0.35">
      <c r="B98" s="202">
        <v>46124</v>
      </c>
      <c r="C98" s="203">
        <v>0.33333333333333331</v>
      </c>
      <c r="D98" s="203">
        <v>0.70833333333333337</v>
      </c>
      <c r="E98" s="204" t="s">
        <v>501</v>
      </c>
      <c r="F98" s="204" t="s">
        <v>510</v>
      </c>
      <c r="G98" s="357" t="s">
        <v>455</v>
      </c>
      <c r="H98" s="358" t="s">
        <v>456</v>
      </c>
      <c r="I98" s="205" t="str">
        <f t="shared" si="0"/>
        <v>09  HORAS</v>
      </c>
      <c r="J98" s="206" t="s">
        <v>356</v>
      </c>
      <c r="K98" s="207">
        <f>+IF(J98=0,0,IF(J98="","",VLOOKUP(J98,'PLANTILLA '!$H$139:$I$216,2,0)))</f>
        <v>1665773</v>
      </c>
      <c r="L98" s="213"/>
      <c r="M98" s="216"/>
    </row>
    <row r="99" spans="2:118" s="211" customFormat="1" ht="72.75" customHeight="1" x14ac:dyDescent="0.2">
      <c r="B99" s="202">
        <v>46124</v>
      </c>
      <c r="C99" s="203">
        <v>0.29166666666666669</v>
      </c>
      <c r="D99" s="203">
        <v>0.66666666666666663</v>
      </c>
      <c r="E99" s="204" t="s">
        <v>501</v>
      </c>
      <c r="F99" s="204" t="s">
        <v>510</v>
      </c>
      <c r="G99" s="357" t="s">
        <v>455</v>
      </c>
      <c r="H99" s="358" t="s">
        <v>456</v>
      </c>
      <c r="I99" s="205" t="str">
        <f t="shared" si="0"/>
        <v>09  HORAS</v>
      </c>
      <c r="J99" s="206" t="s">
        <v>356</v>
      </c>
      <c r="K99" s="207">
        <f>+IF(J99=0,0,IF(J99="","",VLOOKUP(J99,'PLANTILLA '!$H$139:$I$216,2,0)))</f>
        <v>1665773</v>
      </c>
      <c r="L99" s="217"/>
      <c r="M99" s="215"/>
    </row>
    <row r="100" spans="2:118" s="211" customFormat="1" ht="72.75" customHeight="1" x14ac:dyDescent="0.35">
      <c r="B100" s="202">
        <v>46125</v>
      </c>
      <c r="C100" s="203">
        <v>0.25</v>
      </c>
      <c r="D100" s="203">
        <v>0.5</v>
      </c>
      <c r="E100" s="204" t="s">
        <v>501</v>
      </c>
      <c r="F100" s="204" t="s">
        <v>512</v>
      </c>
      <c r="G100" s="357" t="s">
        <v>455</v>
      </c>
      <c r="H100" s="358" t="s">
        <v>456</v>
      </c>
      <c r="I100" s="205" t="str">
        <f t="shared" si="0"/>
        <v>09  HORAS</v>
      </c>
      <c r="J100" s="206" t="s">
        <v>404</v>
      </c>
      <c r="K100" s="207">
        <f>+IF(J100=0,0,IF(J100="","",VLOOKUP(J100,'PLANTILLA '!$H$139:$I$216,2,0)))</f>
        <v>787237</v>
      </c>
      <c r="L100" s="213"/>
      <c r="M100" s="215"/>
    </row>
    <row r="101" spans="2:118" s="211" customFormat="1" ht="72.75" customHeight="1" x14ac:dyDescent="0.35">
      <c r="B101" s="202">
        <v>46126</v>
      </c>
      <c r="C101" s="203">
        <v>0.25</v>
      </c>
      <c r="D101" s="203">
        <v>0.5</v>
      </c>
      <c r="E101" s="204" t="s">
        <v>501</v>
      </c>
      <c r="F101" s="204" t="s">
        <v>512</v>
      </c>
      <c r="G101" s="357" t="s">
        <v>455</v>
      </c>
      <c r="H101" s="358" t="s">
        <v>456</v>
      </c>
      <c r="I101" s="205" t="str">
        <f t="shared" si="0"/>
        <v>09  HORAS</v>
      </c>
      <c r="J101" s="206" t="s">
        <v>404</v>
      </c>
      <c r="K101" s="207">
        <f>+IF(J101=0,0,IF(J101="","",VLOOKUP(J101,'PLANTILLA '!$H$139:$I$216,2,0)))</f>
        <v>787237</v>
      </c>
      <c r="L101" s="213"/>
      <c r="M101" s="215"/>
      <c r="DG101" s="211" t="s">
        <v>212</v>
      </c>
      <c r="DM101" s="211">
        <v>1</v>
      </c>
      <c r="DN101" s="211" t="s">
        <v>212</v>
      </c>
    </row>
    <row r="102" spans="2:118" s="211" customFormat="1" ht="72.75" customHeight="1" x14ac:dyDescent="0.2">
      <c r="B102" s="202">
        <v>46129</v>
      </c>
      <c r="C102" s="203">
        <v>0.25</v>
      </c>
      <c r="D102" s="203">
        <v>0.5</v>
      </c>
      <c r="E102" s="204" t="s">
        <v>501</v>
      </c>
      <c r="F102" s="204" t="s">
        <v>512</v>
      </c>
      <c r="G102" s="358" t="s">
        <v>455</v>
      </c>
      <c r="H102" s="358" t="s">
        <v>456</v>
      </c>
      <c r="I102" s="205" t="str">
        <f t="shared" si="0"/>
        <v>09  HORAS</v>
      </c>
      <c r="J102" s="206" t="s">
        <v>404</v>
      </c>
      <c r="K102" s="207">
        <f>+IF(J102=0,0,IF(J102="","",VLOOKUP(J102,'PLANTILLA '!$H$139:$I$216,2,0)))</f>
        <v>787237</v>
      </c>
      <c r="L102" s="218"/>
      <c r="M102" s="215"/>
      <c r="DG102" s="211" t="s">
        <v>212</v>
      </c>
      <c r="DM102" s="211">
        <v>1</v>
      </c>
      <c r="DN102" s="211" t="s">
        <v>212</v>
      </c>
    </row>
    <row r="103" spans="2:118" s="211" customFormat="1" ht="72.75" customHeight="1" x14ac:dyDescent="0.2">
      <c r="B103" s="202">
        <v>46129</v>
      </c>
      <c r="C103" s="203">
        <v>0.25</v>
      </c>
      <c r="D103" s="203">
        <v>0.5</v>
      </c>
      <c r="E103" s="204" t="s">
        <v>501</v>
      </c>
      <c r="F103" s="204" t="s">
        <v>512</v>
      </c>
      <c r="G103" s="358" t="s">
        <v>455</v>
      </c>
      <c r="H103" s="358" t="s">
        <v>456</v>
      </c>
      <c r="I103" s="205" t="str">
        <f t="shared" si="0"/>
        <v>09  HORAS</v>
      </c>
      <c r="J103" s="206" t="s">
        <v>404</v>
      </c>
      <c r="K103" s="207">
        <f>+IF(J103=0,0,IF(J103="","",VLOOKUP(J103,'PLANTILLA '!$H$139:$I$222,2,0)))</f>
        <v>787237</v>
      </c>
      <c r="L103" s="218"/>
      <c r="M103" s="215"/>
      <c r="DG103" s="211" t="s">
        <v>212</v>
      </c>
      <c r="DM103" s="211">
        <v>1</v>
      </c>
      <c r="DN103" s="211" t="s">
        <v>212</v>
      </c>
    </row>
    <row r="104" spans="2:118" s="211" customFormat="1" ht="72.75" customHeight="1" x14ac:dyDescent="0.2">
      <c r="B104" s="202">
        <v>46128</v>
      </c>
      <c r="C104" s="203">
        <v>0.33333333333333331</v>
      </c>
      <c r="D104" s="203">
        <v>0.5</v>
      </c>
      <c r="E104" s="204" t="s">
        <v>501</v>
      </c>
      <c r="F104" s="204" t="s">
        <v>513</v>
      </c>
      <c r="G104" s="358" t="s">
        <v>486</v>
      </c>
      <c r="H104" s="358" t="s">
        <v>487</v>
      </c>
      <c r="I104" s="205" t="str">
        <f t="shared" si="0"/>
        <v>04  HORAS</v>
      </c>
      <c r="J104" s="206" t="s">
        <v>361</v>
      </c>
      <c r="K104" s="207">
        <f>+IF(J104=0,0,IF(J104="","",VLOOKUP(J104,'PLANTILLA '!$H$139:$I$216,2,0)))</f>
        <v>1382917</v>
      </c>
      <c r="L104" s="218"/>
      <c r="M104" s="215"/>
      <c r="DG104" s="211" t="s">
        <v>212</v>
      </c>
      <c r="DM104" s="211">
        <v>1</v>
      </c>
      <c r="DN104" s="211" t="s">
        <v>212</v>
      </c>
    </row>
    <row r="105" spans="2:118" s="211" customFormat="1" ht="72.75" customHeight="1" x14ac:dyDescent="0.2">
      <c r="B105" s="202">
        <v>46129</v>
      </c>
      <c r="C105" s="203">
        <v>0.41666666666666669</v>
      </c>
      <c r="D105" s="203">
        <v>0.52083333333333337</v>
      </c>
      <c r="E105" s="204" t="s">
        <v>501</v>
      </c>
      <c r="F105" s="204" t="s">
        <v>514</v>
      </c>
      <c r="G105" s="358" t="s">
        <v>502</v>
      </c>
      <c r="H105" s="358" t="s">
        <v>482</v>
      </c>
      <c r="I105" s="205" t="str">
        <f t="shared" si="0"/>
        <v>04  HORAS</v>
      </c>
      <c r="J105" s="206" t="s">
        <v>376</v>
      </c>
      <c r="K105" s="207">
        <f>+IF(J105=0,0,IF(J105="","",VLOOKUP(J105,'PLANTILLA '!$H$139:$I$216,2,0)))</f>
        <v>1031685</v>
      </c>
      <c r="L105" s="218"/>
      <c r="M105" s="215"/>
      <c r="DG105" s="211" t="s">
        <v>212</v>
      </c>
      <c r="DM105" s="211">
        <v>1</v>
      </c>
      <c r="DN105" s="211" t="s">
        <v>212</v>
      </c>
    </row>
    <row r="106" spans="2:118" s="211" customFormat="1" ht="72.75" customHeight="1" x14ac:dyDescent="0.2">
      <c r="B106" s="202">
        <v>46129</v>
      </c>
      <c r="C106" s="203">
        <v>0.33333333333333331</v>
      </c>
      <c r="D106" s="203">
        <v>0.5</v>
      </c>
      <c r="E106" s="204" t="s">
        <v>501</v>
      </c>
      <c r="F106" s="204" t="s">
        <v>510</v>
      </c>
      <c r="G106" s="358" t="s">
        <v>455</v>
      </c>
      <c r="H106" s="358" t="s">
        <v>456</v>
      </c>
      <c r="I106" s="205" t="str">
        <f t="shared" si="0"/>
        <v>04  HORAS</v>
      </c>
      <c r="J106" s="206" t="s">
        <v>361</v>
      </c>
      <c r="K106" s="207">
        <f>+IF(J106=0,0,IF(J106="","",VLOOKUP(J106,'PLANTILLA '!$H$139:$I$250,2,0)))</f>
        <v>1382917</v>
      </c>
      <c r="L106" s="218"/>
      <c r="M106" s="215"/>
    </row>
    <row r="107" spans="2:118" s="211" customFormat="1" ht="72.75" customHeight="1" x14ac:dyDescent="0.2">
      <c r="B107" s="202">
        <v>46131</v>
      </c>
      <c r="C107" s="203">
        <v>0.14583333333333334</v>
      </c>
      <c r="D107" s="203">
        <v>0.625</v>
      </c>
      <c r="E107" s="204" t="s">
        <v>501</v>
      </c>
      <c r="F107" s="204" t="s">
        <v>510</v>
      </c>
      <c r="G107" s="358" t="s">
        <v>455</v>
      </c>
      <c r="H107" s="358" t="s">
        <v>456</v>
      </c>
      <c r="I107" s="205" t="str">
        <f t="shared" si="0"/>
        <v>09  HORAS</v>
      </c>
      <c r="J107" s="206" t="s">
        <v>356</v>
      </c>
      <c r="K107" s="207">
        <f>+IF(J107=0,0,IF(J107="","",VLOOKUP(J107,'PLANTILLA '!$H$139:$I$216,2,0)))</f>
        <v>1665773</v>
      </c>
      <c r="L107" s="218"/>
      <c r="M107" s="215"/>
    </row>
    <row r="108" spans="2:118" s="211" customFormat="1" ht="72.75" customHeight="1" x14ac:dyDescent="0.2">
      <c r="B108" s="202">
        <v>46129</v>
      </c>
      <c r="C108" s="355">
        <v>0.3125</v>
      </c>
      <c r="D108" s="356">
        <v>0.6875</v>
      </c>
      <c r="E108" s="204" t="s">
        <v>501</v>
      </c>
      <c r="F108" s="204" t="s">
        <v>510</v>
      </c>
      <c r="G108" s="358" t="s">
        <v>455</v>
      </c>
      <c r="H108" s="358" t="s">
        <v>456</v>
      </c>
      <c r="I108" s="205" t="str">
        <f t="shared" si="0"/>
        <v>09  HORAS</v>
      </c>
      <c r="J108" s="206" t="s">
        <v>356</v>
      </c>
      <c r="K108" s="207">
        <f>+IF(J108=0,0,IF(J108="","",VLOOKUP(J108,'PLANTILLA '!$H$139:$I$216,2,0)))</f>
        <v>1665773</v>
      </c>
      <c r="L108" s="218"/>
      <c r="M108" s="215"/>
    </row>
    <row r="109" spans="2:118" s="211" customFormat="1" ht="72.75" customHeight="1" x14ac:dyDescent="0.2">
      <c r="B109" s="202">
        <v>46129</v>
      </c>
      <c r="C109" s="355">
        <v>0.3125</v>
      </c>
      <c r="D109" s="356">
        <v>0.58333333333333337</v>
      </c>
      <c r="E109" s="204" t="s">
        <v>501</v>
      </c>
      <c r="F109" s="204" t="s">
        <v>510</v>
      </c>
      <c r="G109" s="358" t="s">
        <v>455</v>
      </c>
      <c r="H109" s="358" t="s">
        <v>456</v>
      </c>
      <c r="I109" s="205" t="str">
        <f t="shared" si="0"/>
        <v>09  HORAS</v>
      </c>
      <c r="J109" s="206" t="s">
        <v>356</v>
      </c>
      <c r="K109" s="207">
        <f>+IF(J109=0,0,IF(J109="","",VLOOKUP(J109,'PLANTILLA '!$H$139:$I$226,2,0)))</f>
        <v>1665773</v>
      </c>
      <c r="L109" s="218"/>
      <c r="M109" s="215"/>
    </row>
    <row r="110" spans="2:118" s="211" customFormat="1" ht="72.75" customHeight="1" x14ac:dyDescent="0.2">
      <c r="B110" s="202">
        <v>46131</v>
      </c>
      <c r="C110" s="355">
        <v>0.25</v>
      </c>
      <c r="D110" s="356">
        <v>0.58333333333333337</v>
      </c>
      <c r="E110" s="204" t="s">
        <v>501</v>
      </c>
      <c r="F110" s="204" t="s">
        <v>510</v>
      </c>
      <c r="G110" s="358" t="s">
        <v>455</v>
      </c>
      <c r="H110" s="358" t="s">
        <v>456</v>
      </c>
      <c r="I110" s="205" t="str">
        <f t="shared" si="0"/>
        <v>15  HORAS</v>
      </c>
      <c r="J110" s="206" t="s">
        <v>351</v>
      </c>
      <c r="K110" s="207">
        <f>+IF(J110=0,0,IF(J110="","",VLOOKUP(J110,'PLANTILLA '!$H$139:$I$226,2,0)))</f>
        <v>1955007</v>
      </c>
      <c r="L110" s="218"/>
      <c r="M110" s="215"/>
    </row>
    <row r="111" spans="2:118" s="211" customFormat="1" ht="72.75" customHeight="1" x14ac:dyDescent="0.2">
      <c r="B111" s="202">
        <v>46131</v>
      </c>
      <c r="C111" s="355">
        <v>0.33333333333333331</v>
      </c>
      <c r="D111" s="356">
        <v>0.54166666666666663</v>
      </c>
      <c r="E111" s="204" t="s">
        <v>501</v>
      </c>
      <c r="F111" s="204" t="s">
        <v>510</v>
      </c>
      <c r="G111" s="358" t="s">
        <v>455</v>
      </c>
      <c r="H111" s="358" t="s">
        <v>456</v>
      </c>
      <c r="I111" s="205" t="str">
        <f t="shared" si="0"/>
        <v>15  HORAS</v>
      </c>
      <c r="J111" s="206" t="s">
        <v>351</v>
      </c>
      <c r="K111" s="207">
        <f>+IF(J111=0,0,IF(J111="","",VLOOKUP(J111,'PLANTILLA '!$H$139:$I$216,2,0)))</f>
        <v>1955007</v>
      </c>
      <c r="L111" s="218"/>
      <c r="M111" s="215"/>
    </row>
    <row r="112" spans="2:118" s="211" customFormat="1" ht="72.75" customHeight="1" x14ac:dyDescent="0.2">
      <c r="B112" s="202">
        <v>46134</v>
      </c>
      <c r="C112" s="355">
        <v>0.375</v>
      </c>
      <c r="D112" s="356">
        <v>0.75</v>
      </c>
      <c r="E112" s="204" t="s">
        <v>501</v>
      </c>
      <c r="F112" s="204" t="s">
        <v>515</v>
      </c>
      <c r="G112" s="358" t="s">
        <v>502</v>
      </c>
      <c r="H112" s="358" t="s">
        <v>482</v>
      </c>
      <c r="I112" s="205" t="str">
        <f t="shared" si="0"/>
        <v>15  HORAS</v>
      </c>
      <c r="J112" s="206" t="s">
        <v>366</v>
      </c>
      <c r="K112" s="207">
        <f>+IF(J112=0,0,IF(J112="","",VLOOKUP(J112,'PLANTILLA '!$H$139:$I$216,2,0)))</f>
        <v>1691890</v>
      </c>
      <c r="L112" s="218"/>
      <c r="M112" s="215"/>
    </row>
    <row r="113" spans="2:13" s="211" customFormat="1" ht="72.75" customHeight="1" x14ac:dyDescent="0.2">
      <c r="B113" s="202">
        <v>46135</v>
      </c>
      <c r="C113" s="203">
        <v>0.33333333333333331</v>
      </c>
      <c r="D113" s="203">
        <v>0.66666666666666663</v>
      </c>
      <c r="E113" s="204" t="s">
        <v>501</v>
      </c>
      <c r="F113" s="204" t="s">
        <v>509</v>
      </c>
      <c r="G113" s="358" t="s">
        <v>486</v>
      </c>
      <c r="H113" s="358" t="s">
        <v>487</v>
      </c>
      <c r="I113" s="205" t="str">
        <f t="shared" si="0"/>
        <v>09  HORAS</v>
      </c>
      <c r="J113" s="206" t="s">
        <v>398</v>
      </c>
      <c r="K113" s="207">
        <f>+IF(J113=0,0,IF(J113="","",VLOOKUP(J113,'PLANTILLA '!$H$139:$I$216,2,0)))</f>
        <v>728949</v>
      </c>
      <c r="L113" s="218"/>
      <c r="M113" s="215"/>
    </row>
    <row r="114" spans="2:13" s="211" customFormat="1" ht="72.75" customHeight="1" x14ac:dyDescent="0.2">
      <c r="B114" s="202">
        <v>46136</v>
      </c>
      <c r="C114" s="203">
        <v>0.27083333333333331</v>
      </c>
      <c r="D114" s="203">
        <v>0.64583333333333337</v>
      </c>
      <c r="E114" s="204" t="s">
        <v>501</v>
      </c>
      <c r="F114" s="204" t="s">
        <v>516</v>
      </c>
      <c r="G114" s="358" t="s">
        <v>466</v>
      </c>
      <c r="H114" s="358" t="s">
        <v>485</v>
      </c>
      <c r="I114" s="205" t="str">
        <f t="shared" si="0"/>
        <v>09  HORAS</v>
      </c>
      <c r="J114" s="206" t="s">
        <v>374</v>
      </c>
      <c r="K114" s="207">
        <f>+IF(J114=0,0,IF(J114="","",VLOOKUP(J114,'PLANTILLA '!$H$139:$I$216,2,0)))</f>
        <v>873501</v>
      </c>
      <c r="L114" s="218"/>
      <c r="M114" s="215"/>
    </row>
    <row r="115" spans="2:13" s="211" customFormat="1" ht="72.75" customHeight="1" x14ac:dyDescent="0.2">
      <c r="B115" s="202">
        <v>46136</v>
      </c>
      <c r="C115" s="203">
        <v>0.20833333333333334</v>
      </c>
      <c r="D115" s="203">
        <v>0.375</v>
      </c>
      <c r="E115" s="204" t="s">
        <v>501</v>
      </c>
      <c r="F115" s="204" t="s">
        <v>510</v>
      </c>
      <c r="G115" s="358" t="s">
        <v>455</v>
      </c>
      <c r="H115" s="358" t="s">
        <v>456</v>
      </c>
      <c r="I115" s="205" t="str">
        <f t="shared" ref="I115:I146" si="1">+IF(J115=0,0,CONCATENATE(MID(J115,FIND("HORAS",J115,1)-3,3)," HORAS"))</f>
        <v>09  HORAS</v>
      </c>
      <c r="J115" s="206" t="s">
        <v>356</v>
      </c>
      <c r="K115" s="207">
        <f>+IF(J115=0,0,IF(J115="","",VLOOKUP(J115,'PLANTILLA '!$H$139:$I$216,2,0)))</f>
        <v>1665773</v>
      </c>
      <c r="L115" s="218"/>
      <c r="M115" s="215"/>
    </row>
    <row r="116" spans="2:13" s="211" customFormat="1" ht="72.75" customHeight="1" x14ac:dyDescent="0.2">
      <c r="B116" s="202">
        <v>46136</v>
      </c>
      <c r="C116" s="203">
        <v>0.20833333333333334</v>
      </c>
      <c r="D116" s="203">
        <v>0.375</v>
      </c>
      <c r="E116" s="204" t="s">
        <v>501</v>
      </c>
      <c r="F116" s="204" t="s">
        <v>510</v>
      </c>
      <c r="G116" s="358" t="s">
        <v>455</v>
      </c>
      <c r="H116" s="358" t="s">
        <v>456</v>
      </c>
      <c r="I116" s="205" t="str">
        <f t="shared" si="1"/>
        <v>09  HORAS</v>
      </c>
      <c r="J116" s="206" t="s">
        <v>371</v>
      </c>
      <c r="K116" s="207">
        <f>+IF(J116=0,0,IF(J116="","",VLOOKUP(J116,'PLANTILLA '!$H$139:$I$216,2,0)))</f>
        <v>1457200</v>
      </c>
      <c r="L116" s="218"/>
      <c r="M116" s="215"/>
    </row>
    <row r="117" spans="2:13" s="211" customFormat="1" ht="72.75" customHeight="1" x14ac:dyDescent="0.2">
      <c r="B117" s="202">
        <v>46136</v>
      </c>
      <c r="C117" s="203">
        <v>0.25</v>
      </c>
      <c r="D117" s="203">
        <v>0.54166666666666663</v>
      </c>
      <c r="E117" s="204" t="s">
        <v>501</v>
      </c>
      <c r="F117" s="204" t="s">
        <v>510</v>
      </c>
      <c r="G117" s="358" t="s">
        <v>455</v>
      </c>
      <c r="H117" s="358" t="s">
        <v>456</v>
      </c>
      <c r="I117" s="205" t="str">
        <f t="shared" si="1"/>
        <v>09  HORAS</v>
      </c>
      <c r="J117" s="206" t="s">
        <v>373</v>
      </c>
      <c r="K117" s="207">
        <f>+IF(J117=0,0,IF(J117="","",VLOOKUP(J117,'PLANTILLA '!$H$139:$I$216,2,0)))</f>
        <v>1175229</v>
      </c>
      <c r="L117" s="218"/>
      <c r="M117" s="215"/>
    </row>
    <row r="118" spans="2:13" s="211" customFormat="1" ht="72.75" customHeight="1" x14ac:dyDescent="0.2">
      <c r="B118" s="202">
        <v>46138</v>
      </c>
      <c r="C118" s="203">
        <v>0.20833333333333334</v>
      </c>
      <c r="D118" s="203">
        <v>0.75</v>
      </c>
      <c r="E118" s="204" t="s">
        <v>501</v>
      </c>
      <c r="F118" s="204" t="s">
        <v>508</v>
      </c>
      <c r="G118" s="358" t="s">
        <v>455</v>
      </c>
      <c r="H118" s="358" t="s">
        <v>456</v>
      </c>
      <c r="I118" s="205" t="str">
        <f t="shared" si="1"/>
        <v>15  HORAS</v>
      </c>
      <c r="J118" s="206" t="s">
        <v>351</v>
      </c>
      <c r="K118" s="207">
        <f>+IF(J118=0,0,IF(J118="","",VLOOKUP(J118,'PLANTILLA '!$H$139:$I$216,2,0)))</f>
        <v>1955007</v>
      </c>
      <c r="L118" s="218"/>
      <c r="M118" s="215"/>
    </row>
    <row r="119" spans="2:13" s="211" customFormat="1" ht="72.75" customHeight="1" x14ac:dyDescent="0.2">
      <c r="B119" s="202">
        <v>46138</v>
      </c>
      <c r="C119" s="203">
        <v>0.29166666666666669</v>
      </c>
      <c r="D119" s="203">
        <v>0.69791666666666663</v>
      </c>
      <c r="E119" s="204" t="s">
        <v>501</v>
      </c>
      <c r="F119" s="204" t="s">
        <v>510</v>
      </c>
      <c r="G119" s="358" t="s">
        <v>455</v>
      </c>
      <c r="H119" s="358" t="s">
        <v>456</v>
      </c>
      <c r="I119" s="205" t="str">
        <f t="shared" si="1"/>
        <v>15  HORAS</v>
      </c>
      <c r="J119" s="206" t="s">
        <v>368</v>
      </c>
      <c r="K119" s="207">
        <f>+IF(J119=0,0,IF(J119="","",VLOOKUP(J119,'PLANTILLA '!$H$139:$I$216,2,0)))</f>
        <v>1308251</v>
      </c>
      <c r="L119" s="218"/>
      <c r="M119" s="215"/>
    </row>
    <row r="120" spans="2:13" s="211" customFormat="1" ht="72.75" customHeight="1" x14ac:dyDescent="0.2">
      <c r="B120" s="350" t="s">
        <v>503</v>
      </c>
      <c r="C120" s="356">
        <v>0.20833333333333334</v>
      </c>
      <c r="D120" s="356">
        <v>0.58333333333333337</v>
      </c>
      <c r="E120" s="204" t="s">
        <v>501</v>
      </c>
      <c r="F120" s="204" t="s">
        <v>511</v>
      </c>
      <c r="G120" s="358" t="s">
        <v>455</v>
      </c>
      <c r="H120" s="358" t="s">
        <v>456</v>
      </c>
      <c r="I120" s="205" t="str">
        <f t="shared" si="1"/>
        <v>09  HORAS</v>
      </c>
      <c r="J120" s="206" t="s">
        <v>404</v>
      </c>
      <c r="K120" s="207">
        <f>+IF(J120=0,0,IF(J120="","",VLOOKUP(J120,'PLANTILLA '!$H$139:$I$216,2,0)))</f>
        <v>787237</v>
      </c>
      <c r="L120" s="218"/>
      <c r="M120" s="215"/>
    </row>
    <row r="121" spans="2:13" s="211" customFormat="1" ht="72.75" customHeight="1" x14ac:dyDescent="0.2">
      <c r="B121" s="350" t="s">
        <v>503</v>
      </c>
      <c r="C121" s="356">
        <v>0.20833333333333334</v>
      </c>
      <c r="D121" s="356">
        <v>0.58333333333333337</v>
      </c>
      <c r="E121" s="204" t="s">
        <v>501</v>
      </c>
      <c r="F121" s="204" t="s">
        <v>511</v>
      </c>
      <c r="G121" s="358" t="s">
        <v>455</v>
      </c>
      <c r="H121" s="358" t="s">
        <v>456</v>
      </c>
      <c r="I121" s="205" t="str">
        <f t="shared" si="1"/>
        <v>09  HORAS</v>
      </c>
      <c r="J121" s="206" t="s">
        <v>404</v>
      </c>
      <c r="K121" s="207">
        <f>+IF(J121=0,0,IF(J121="","",VLOOKUP(J121,'PLANTILLA '!$H$139:$I$216,2,0)))</f>
        <v>787237</v>
      </c>
      <c r="L121" s="218"/>
      <c r="M121" s="215"/>
    </row>
    <row r="122" spans="2:13" s="211" customFormat="1" ht="72.75" customHeight="1" x14ac:dyDescent="0.2">
      <c r="B122" s="202">
        <v>46138</v>
      </c>
      <c r="C122" s="203">
        <v>0.20833333333333334</v>
      </c>
      <c r="D122" s="203">
        <v>0.625</v>
      </c>
      <c r="E122" s="204" t="s">
        <v>501</v>
      </c>
      <c r="F122" s="204" t="s">
        <v>517</v>
      </c>
      <c r="G122" s="358" t="s">
        <v>455</v>
      </c>
      <c r="H122" s="358" t="s">
        <v>456</v>
      </c>
      <c r="I122" s="205" t="str">
        <f t="shared" si="1"/>
        <v>15  HORAS</v>
      </c>
      <c r="J122" s="206" t="s">
        <v>369</v>
      </c>
      <c r="K122" s="207">
        <f>+IF(J122=0,0,IF(J122="","",VLOOKUP(J122,'PLANTILLA '!$H$139:$I$216,2,0)))</f>
        <v>1097977</v>
      </c>
      <c r="L122" s="218"/>
      <c r="M122" s="215"/>
    </row>
    <row r="123" spans="2:13" s="211" customFormat="1" ht="72.75" customHeight="1" x14ac:dyDescent="0.2">
      <c r="B123" s="202">
        <v>46138</v>
      </c>
      <c r="C123" s="203">
        <v>0.20833333333333334</v>
      </c>
      <c r="D123" s="203">
        <v>0.625</v>
      </c>
      <c r="E123" s="204" t="s">
        <v>501</v>
      </c>
      <c r="F123" s="204" t="s">
        <v>517</v>
      </c>
      <c r="G123" s="358" t="s">
        <v>455</v>
      </c>
      <c r="H123" s="358" t="s">
        <v>456</v>
      </c>
      <c r="I123" s="205" t="str">
        <f t="shared" si="1"/>
        <v>15  HORAS</v>
      </c>
      <c r="J123" s="206" t="s">
        <v>403</v>
      </c>
      <c r="K123" s="207">
        <f>+IF(J123=0,0,IF(J123="","",VLOOKUP(J123,'PLANTILLA '!$H$139:$I$216,2,0)))</f>
        <v>1128712</v>
      </c>
      <c r="L123" s="218"/>
      <c r="M123" s="215"/>
    </row>
    <row r="124" spans="2:13" s="211" customFormat="1" ht="72.75" customHeight="1" x14ac:dyDescent="0.2">
      <c r="B124" s="202">
        <v>46135</v>
      </c>
      <c r="C124" s="203">
        <v>0.375</v>
      </c>
      <c r="D124" s="203">
        <v>0.75</v>
      </c>
      <c r="E124" s="204" t="s">
        <v>501</v>
      </c>
      <c r="F124" s="204" t="s">
        <v>511</v>
      </c>
      <c r="G124" s="358" t="s">
        <v>455</v>
      </c>
      <c r="H124" s="358" t="s">
        <v>456</v>
      </c>
      <c r="I124" s="205" t="str">
        <f t="shared" si="1"/>
        <v>09- HORAS</v>
      </c>
      <c r="J124" s="206" t="s">
        <v>446</v>
      </c>
      <c r="K124" s="207">
        <f>+IF(J124=0,0,IF(J124="","",VLOOKUP(J124,'PLANTILLA '!$H$139:$I$2126,2,0)))</f>
        <v>2213310</v>
      </c>
      <c r="L124" s="218"/>
      <c r="M124" s="215"/>
    </row>
    <row r="125" spans="2:13" s="211" customFormat="1" ht="72.75" customHeight="1" x14ac:dyDescent="0.2">
      <c r="B125" s="202">
        <v>46135</v>
      </c>
      <c r="C125" s="203">
        <v>0.375</v>
      </c>
      <c r="D125" s="203">
        <v>0.75</v>
      </c>
      <c r="E125" s="204" t="s">
        <v>501</v>
      </c>
      <c r="F125" s="204" t="s">
        <v>511</v>
      </c>
      <c r="G125" s="358" t="s">
        <v>455</v>
      </c>
      <c r="H125" s="358" t="s">
        <v>456</v>
      </c>
      <c r="I125" s="205" t="str">
        <f t="shared" si="1"/>
        <v>09  HORAS</v>
      </c>
      <c r="J125" s="206" t="s">
        <v>411</v>
      </c>
      <c r="K125" s="207">
        <f>+IF(J125=0,0,IF(J125="","",VLOOKUP(J125,'PLANTILLA '!$H$139:$I$216,2,0)))</f>
        <v>221732</v>
      </c>
      <c r="L125" s="218"/>
      <c r="M125" s="215"/>
    </row>
    <row r="126" spans="2:13" s="211" customFormat="1" ht="72.75" customHeight="1" x14ac:dyDescent="0.2">
      <c r="B126" s="202">
        <v>46135</v>
      </c>
      <c r="C126" s="203">
        <v>0.375</v>
      </c>
      <c r="D126" s="203">
        <v>0.75</v>
      </c>
      <c r="E126" s="204" t="s">
        <v>501</v>
      </c>
      <c r="F126" s="204" t="s">
        <v>511</v>
      </c>
      <c r="G126" s="358" t="s">
        <v>455</v>
      </c>
      <c r="H126" s="358" t="s">
        <v>456</v>
      </c>
      <c r="I126" s="205" t="str">
        <f t="shared" si="1"/>
        <v>09  HORAS</v>
      </c>
      <c r="J126" s="206" t="s">
        <v>411</v>
      </c>
      <c r="K126" s="207">
        <f>+IF(J126=0,0,IF(J126="","",VLOOKUP(J126,'PLANTILLA '!$H$139:$I$216,2,0)))</f>
        <v>221732</v>
      </c>
      <c r="L126" s="218"/>
      <c r="M126" s="215"/>
    </row>
    <row r="127" spans="2:13" s="211" customFormat="1" ht="72.75" customHeight="1" x14ac:dyDescent="0.2">
      <c r="B127" s="202">
        <v>46138</v>
      </c>
      <c r="C127" s="203">
        <v>0.3125</v>
      </c>
      <c r="D127" s="203">
        <v>0.47916666666666669</v>
      </c>
      <c r="E127" s="204" t="s">
        <v>501</v>
      </c>
      <c r="F127" s="204" t="s">
        <v>509</v>
      </c>
      <c r="G127" s="358" t="s">
        <v>486</v>
      </c>
      <c r="H127" s="358" t="s">
        <v>487</v>
      </c>
      <c r="I127" s="205" t="str">
        <f t="shared" si="1"/>
        <v>04  HORAS</v>
      </c>
      <c r="J127" s="206" t="s">
        <v>400</v>
      </c>
      <c r="K127" s="207">
        <f>+IF(J127=0,0,IF(J127="","",VLOOKUP(J127,'PLANTILLA '!$H$139:$I$216,2,0)))</f>
        <v>554324</v>
      </c>
      <c r="L127" s="218"/>
      <c r="M127" s="215"/>
    </row>
    <row r="128" spans="2:13" s="211" customFormat="1" ht="72.75" customHeight="1" x14ac:dyDescent="0.2">
      <c r="B128" s="202">
        <v>46138</v>
      </c>
      <c r="C128" s="203">
        <v>0.27083333333333331</v>
      </c>
      <c r="D128" s="203">
        <v>0.70833333333333337</v>
      </c>
      <c r="E128" s="204" t="s">
        <v>501</v>
      </c>
      <c r="F128" s="204" t="s">
        <v>508</v>
      </c>
      <c r="G128" s="358" t="s">
        <v>455</v>
      </c>
      <c r="H128" s="358" t="s">
        <v>456</v>
      </c>
      <c r="I128" s="205" t="str">
        <f t="shared" si="1"/>
        <v>15  HORAS</v>
      </c>
      <c r="J128" s="206" t="s">
        <v>351</v>
      </c>
      <c r="K128" s="207">
        <f>+IF(J128=0,0,IF(J128="","",VLOOKUP(J128,'PLANTILLA '!$H$139:$I$216,2,0)))</f>
        <v>1955007</v>
      </c>
      <c r="L128" s="218"/>
      <c r="M128" s="215"/>
    </row>
    <row r="129" spans="2:13" s="211" customFormat="1" ht="72.75" customHeight="1" x14ac:dyDescent="0.2">
      <c r="B129" s="202">
        <v>46138</v>
      </c>
      <c r="C129" s="203">
        <v>0.33333333333333331</v>
      </c>
      <c r="D129" s="203">
        <v>0.625</v>
      </c>
      <c r="E129" s="204" t="s">
        <v>501</v>
      </c>
      <c r="F129" s="204" t="s">
        <v>508</v>
      </c>
      <c r="G129" s="358" t="s">
        <v>455</v>
      </c>
      <c r="H129" s="358" t="s">
        <v>456</v>
      </c>
      <c r="I129" s="205" t="str">
        <f t="shared" si="1"/>
        <v>09  HORAS</v>
      </c>
      <c r="J129" s="206" t="s">
        <v>356</v>
      </c>
      <c r="K129" s="207">
        <f>+IF(J129=0,0,IF(J129="","",VLOOKUP(J129,'PLANTILLA '!$H$139:$I$216,2,0)))</f>
        <v>1665773</v>
      </c>
      <c r="L129" s="218"/>
      <c r="M129" s="215"/>
    </row>
    <row r="130" spans="2:13" s="211" customFormat="1" ht="72.75" customHeight="1" x14ac:dyDescent="0.2">
      <c r="B130" s="202">
        <v>46139</v>
      </c>
      <c r="C130" s="203">
        <v>0.64583333333333337</v>
      </c>
      <c r="D130" s="203">
        <v>0.72916666666666663</v>
      </c>
      <c r="E130" s="204" t="s">
        <v>501</v>
      </c>
      <c r="F130" s="204" t="s">
        <v>518</v>
      </c>
      <c r="G130" s="358" t="s">
        <v>486</v>
      </c>
      <c r="H130" s="358" t="s">
        <v>487</v>
      </c>
      <c r="I130" s="205" t="str">
        <f t="shared" si="1"/>
        <v>01  HORAS</v>
      </c>
      <c r="J130" s="206" t="s">
        <v>409</v>
      </c>
      <c r="K130" s="207">
        <f>+IF(J130=0,0,IF(J130="","",VLOOKUP(J130,'PLANTILLA '!$H$139:$I$216,2,0)))</f>
        <v>243100</v>
      </c>
      <c r="L130" s="218"/>
      <c r="M130" s="215"/>
    </row>
    <row r="131" spans="2:13" s="211" customFormat="1" ht="72.75" customHeight="1" x14ac:dyDescent="0.2">
      <c r="B131" s="202">
        <v>46139</v>
      </c>
      <c r="C131" s="203">
        <v>0.64583333333333337</v>
      </c>
      <c r="D131" s="203">
        <v>0.72916666666666663</v>
      </c>
      <c r="E131" s="204" t="s">
        <v>501</v>
      </c>
      <c r="F131" s="204" t="s">
        <v>518</v>
      </c>
      <c r="G131" s="358" t="s">
        <v>486</v>
      </c>
      <c r="H131" s="358" t="s">
        <v>487</v>
      </c>
      <c r="I131" s="205" t="str">
        <f t="shared" si="1"/>
        <v>01  HORAS</v>
      </c>
      <c r="J131" s="206" t="s">
        <v>409</v>
      </c>
      <c r="K131" s="207">
        <f>+IF(J131=0,0,IF(J131="","",VLOOKUP(J131,'PLANTILLA '!$H$139:$I$216,2,0)))</f>
        <v>243100</v>
      </c>
      <c r="L131" s="218"/>
      <c r="M131" s="215"/>
    </row>
    <row r="132" spans="2:13" s="211" customFormat="1" ht="72.75" customHeight="1" x14ac:dyDescent="0.2">
      <c r="B132" s="202">
        <v>46141</v>
      </c>
      <c r="C132" s="376">
        <v>0.50624999999999998</v>
      </c>
      <c r="D132" s="203">
        <v>0.60416666666666663</v>
      </c>
      <c r="E132" s="204" t="s">
        <v>501</v>
      </c>
      <c r="F132" s="204" t="s">
        <v>504</v>
      </c>
      <c r="G132" s="358" t="s">
        <v>455</v>
      </c>
      <c r="H132" s="358" t="s">
        <v>456</v>
      </c>
      <c r="I132" s="205" t="str">
        <f t="shared" si="1"/>
        <v>09  HORAS</v>
      </c>
      <c r="J132" s="206" t="s">
        <v>404</v>
      </c>
      <c r="K132" s="207">
        <f>+IF(J132=0,0,IF(J132="","",VLOOKUP(J132,'PLANTILLA '!$H$139:$I$216,2,0)))</f>
        <v>787237</v>
      </c>
      <c r="L132" s="218"/>
      <c r="M132" s="215"/>
    </row>
    <row r="133" spans="2:13" s="211" customFormat="1" ht="72.75" customHeight="1" x14ac:dyDescent="0.2">
      <c r="B133" s="202">
        <v>46141</v>
      </c>
      <c r="C133" s="203">
        <v>0.33333333333333331</v>
      </c>
      <c r="D133" s="203">
        <v>0.66666666666666663</v>
      </c>
      <c r="E133" s="204" t="s">
        <v>501</v>
      </c>
      <c r="F133" s="204" t="s">
        <v>510</v>
      </c>
      <c r="G133" s="358" t="s">
        <v>455</v>
      </c>
      <c r="H133" s="358" t="s">
        <v>456</v>
      </c>
      <c r="I133" s="205" t="str">
        <f t="shared" si="1"/>
        <v>09  HORAS</v>
      </c>
      <c r="J133" s="206" t="s">
        <v>356</v>
      </c>
      <c r="K133" s="207">
        <f>+IF(J133=0,0,IF(J133="","",VLOOKUP(J133,'PLANTILLA '!$H$139:$I$216,2,0)))</f>
        <v>1665773</v>
      </c>
      <c r="L133" s="218"/>
      <c r="M133" s="215"/>
    </row>
    <row r="134" spans="2:13" s="211" customFormat="1" ht="72.75" customHeight="1" x14ac:dyDescent="0.2">
      <c r="B134" s="202">
        <v>46141</v>
      </c>
      <c r="C134" s="203">
        <v>0.33333333333333331</v>
      </c>
      <c r="D134" s="203">
        <v>0.66666666666666663</v>
      </c>
      <c r="E134" s="204" t="s">
        <v>501</v>
      </c>
      <c r="F134" s="204" t="s">
        <v>510</v>
      </c>
      <c r="G134" s="358" t="s">
        <v>455</v>
      </c>
      <c r="H134" s="358" t="s">
        <v>456</v>
      </c>
      <c r="I134" s="205" t="str">
        <f t="shared" si="1"/>
        <v>09  HORAS</v>
      </c>
      <c r="J134" s="206" t="s">
        <v>356</v>
      </c>
      <c r="K134" s="207">
        <f>+IF(J134=0,0,IF(J134="","",VLOOKUP(J134,'PLANTILLA '!$H$139:$I$216,2,0)))</f>
        <v>1665773</v>
      </c>
      <c r="L134" s="219"/>
      <c r="M134" s="215"/>
    </row>
    <row r="135" spans="2:13" s="211" customFormat="1" ht="72.75" customHeight="1" x14ac:dyDescent="0.2">
      <c r="B135" s="202">
        <v>46141</v>
      </c>
      <c r="C135" s="203">
        <v>0.33333333333333331</v>
      </c>
      <c r="D135" s="203">
        <v>0.66666666666666663</v>
      </c>
      <c r="E135" s="204" t="s">
        <v>501</v>
      </c>
      <c r="F135" s="204" t="s">
        <v>519</v>
      </c>
      <c r="G135" s="358" t="s">
        <v>486</v>
      </c>
      <c r="H135" s="358" t="s">
        <v>487</v>
      </c>
      <c r="I135" s="205" t="str">
        <f t="shared" si="1"/>
        <v>09  HORAS</v>
      </c>
      <c r="J135" s="206" t="s">
        <v>397</v>
      </c>
      <c r="K135" s="207">
        <f>+IF(J135=0,0,IF(J135="","",VLOOKUP(J135,'PLANTILLA '!$H$139:$I$250,2,0)))</f>
        <v>827118</v>
      </c>
      <c r="L135" s="218"/>
      <c r="M135" s="215"/>
    </row>
    <row r="136" spans="2:13" s="211" customFormat="1" ht="72.75" customHeight="1" x14ac:dyDescent="0.2">
      <c r="B136" s="202">
        <v>46131</v>
      </c>
      <c r="C136" s="203">
        <v>0.3125</v>
      </c>
      <c r="D136" s="203">
        <v>0.6875</v>
      </c>
      <c r="E136" s="204" t="s">
        <v>501</v>
      </c>
      <c r="F136" s="204" t="s">
        <v>520</v>
      </c>
      <c r="G136" s="358" t="s">
        <v>455</v>
      </c>
      <c r="H136" s="358" t="s">
        <v>456</v>
      </c>
      <c r="I136" s="205" t="str">
        <f t="shared" si="1"/>
        <v>15  HORAS</v>
      </c>
      <c r="J136" s="206" t="s">
        <v>353</v>
      </c>
      <c r="K136" s="207">
        <f>+IF(J136=0,0,IF(J136="","",VLOOKUP(J136,'PLANTILLA '!$H$139:$I$216,2,0)))</f>
        <v>1435144</v>
      </c>
      <c r="L136" s="218"/>
      <c r="M136" s="215"/>
    </row>
    <row r="137" spans="2:13" s="211" customFormat="1" ht="72.75" customHeight="1" x14ac:dyDescent="0.2">
      <c r="B137" s="202">
        <v>46131</v>
      </c>
      <c r="C137" s="203">
        <v>0.3125</v>
      </c>
      <c r="D137" s="203">
        <v>0.6875</v>
      </c>
      <c r="E137" s="204" t="s">
        <v>501</v>
      </c>
      <c r="F137" s="204" t="s">
        <v>520</v>
      </c>
      <c r="G137" s="358" t="s">
        <v>455</v>
      </c>
      <c r="H137" s="358" t="s">
        <v>456</v>
      </c>
      <c r="I137" s="205" t="str">
        <f t="shared" si="1"/>
        <v>15  HORAS</v>
      </c>
      <c r="J137" s="206" t="s">
        <v>353</v>
      </c>
      <c r="K137" s="207">
        <f>+IF(J137=0,0,IF(J137="","",VLOOKUP(J137,'PLANTILLA '!$H$139:$I$216,2,0)))</f>
        <v>1435144</v>
      </c>
      <c r="L137" s="218"/>
      <c r="M137" s="215"/>
    </row>
    <row r="138" spans="2:13" s="211" customFormat="1" ht="72.75" customHeight="1" x14ac:dyDescent="0.2">
      <c r="B138" s="202">
        <v>46131</v>
      </c>
      <c r="C138" s="203">
        <v>0.3125</v>
      </c>
      <c r="D138" s="203">
        <v>0.6875</v>
      </c>
      <c r="E138" s="204" t="s">
        <v>501</v>
      </c>
      <c r="F138" s="204" t="s">
        <v>520</v>
      </c>
      <c r="G138" s="358" t="s">
        <v>455</v>
      </c>
      <c r="H138" s="358" t="s">
        <v>456</v>
      </c>
      <c r="I138" s="205" t="str">
        <f t="shared" si="1"/>
        <v>09  HORAS</v>
      </c>
      <c r="J138" s="206" t="s">
        <v>399</v>
      </c>
      <c r="K138" s="207">
        <f>+IF(J138=0,0,IF(J138="","",VLOOKUP(J138,'PLANTILLA '!$H$139:$I$216,2,0)))</f>
        <v>481858</v>
      </c>
      <c r="L138" s="218"/>
      <c r="M138" s="215"/>
    </row>
    <row r="139" spans="2:13" s="211" customFormat="1" ht="72.75" customHeight="1" x14ac:dyDescent="0.2">
      <c r="B139" s="202">
        <v>46113</v>
      </c>
      <c r="C139" s="203">
        <v>46113.270833333336</v>
      </c>
      <c r="D139" s="203">
        <v>46113.895833333336</v>
      </c>
      <c r="E139" s="204" t="s">
        <v>501</v>
      </c>
      <c r="F139" s="204" t="s">
        <v>505</v>
      </c>
      <c r="G139" s="204" t="s">
        <v>455</v>
      </c>
      <c r="H139" s="358" t="s">
        <v>456</v>
      </c>
      <c r="I139" s="205" t="str">
        <f t="shared" si="1"/>
        <v>15  HORAS</v>
      </c>
      <c r="J139" s="206" t="s">
        <v>354</v>
      </c>
      <c r="K139" s="207">
        <f>+IF(J139=0,0,IF(J139="","",VLOOKUP(J139,'PLANTILLA '!$H$139:$I$216,2,0)))</f>
        <v>942678</v>
      </c>
      <c r="L139" s="218"/>
      <c r="M139" s="215"/>
    </row>
    <row r="140" spans="2:13" s="211" customFormat="1" ht="72.75" customHeight="1" x14ac:dyDescent="0.2">
      <c r="B140" s="202">
        <v>46117</v>
      </c>
      <c r="C140" s="203">
        <v>46113.229166666664</v>
      </c>
      <c r="D140" s="203">
        <v>46113.604166666664</v>
      </c>
      <c r="E140" s="204" t="s">
        <v>501</v>
      </c>
      <c r="F140" s="204" t="s">
        <v>505</v>
      </c>
      <c r="G140" s="204" t="s">
        <v>455</v>
      </c>
      <c r="H140" s="358" t="s">
        <v>456</v>
      </c>
      <c r="I140" s="205" t="str">
        <f t="shared" si="1"/>
        <v>09  HORAS</v>
      </c>
      <c r="J140" s="206" t="s">
        <v>373</v>
      </c>
      <c r="K140" s="207">
        <f>+IF(J140=0,0,IF(J140="","",VLOOKUP(J140,'PLANTILLA '!$H$139:$I$236,2,0)))</f>
        <v>1175229</v>
      </c>
      <c r="L140" s="219"/>
      <c r="M140" s="215"/>
    </row>
    <row r="141" spans="2:13" s="211" customFormat="1" ht="72.75" customHeight="1" x14ac:dyDescent="0.2">
      <c r="B141" s="202">
        <v>46117</v>
      </c>
      <c r="C141" s="203">
        <v>46113.229166666664</v>
      </c>
      <c r="D141" s="203">
        <v>46113.604166666664</v>
      </c>
      <c r="E141" s="204" t="s">
        <v>501</v>
      </c>
      <c r="F141" s="204" t="s">
        <v>505</v>
      </c>
      <c r="G141" s="204" t="s">
        <v>455</v>
      </c>
      <c r="H141" s="358" t="s">
        <v>456</v>
      </c>
      <c r="I141" s="205" t="str">
        <f t="shared" si="1"/>
        <v>09  HORAS</v>
      </c>
      <c r="J141" s="206" t="s">
        <v>358</v>
      </c>
      <c r="K141" s="207">
        <f>+IF(J141=0,0,IF(J141="","",VLOOKUP(J141,'PLANTILLA '!$H$139:$I$216,2,0)))</f>
        <v>1222505</v>
      </c>
      <c r="L141" s="218"/>
      <c r="M141" s="215"/>
    </row>
    <row r="142" spans="2:13" s="211" customFormat="1" ht="72.75" customHeight="1" x14ac:dyDescent="0.2">
      <c r="B142" s="202">
        <v>46119</v>
      </c>
      <c r="C142" s="203">
        <v>46113.270833333336</v>
      </c>
      <c r="D142" s="203">
        <v>46113.895833333336</v>
      </c>
      <c r="E142" s="204" t="s">
        <v>501</v>
      </c>
      <c r="F142" s="204" t="s">
        <v>505</v>
      </c>
      <c r="G142" s="204" t="s">
        <v>455</v>
      </c>
      <c r="H142" s="358" t="s">
        <v>456</v>
      </c>
      <c r="I142" s="205" t="str">
        <f t="shared" si="1"/>
        <v>15  HORAS</v>
      </c>
      <c r="J142" s="206" t="s">
        <v>354</v>
      </c>
      <c r="K142" s="207">
        <f>+IF(J142=0,0,IF(J142="","",VLOOKUP(J142,'PLANTILLA '!$H$139:$I$216,2,0)))</f>
        <v>942678</v>
      </c>
      <c r="L142" s="218"/>
      <c r="M142" s="215"/>
    </row>
    <row r="143" spans="2:13" s="211" customFormat="1" ht="72.75" customHeight="1" x14ac:dyDescent="0.2">
      <c r="B143" s="202">
        <v>46120</v>
      </c>
      <c r="C143" s="203">
        <v>46113.270833333336</v>
      </c>
      <c r="D143" s="203">
        <v>46113.895833333336</v>
      </c>
      <c r="E143" s="204" t="s">
        <v>501</v>
      </c>
      <c r="F143" s="204" t="s">
        <v>505</v>
      </c>
      <c r="G143" s="204" t="s">
        <v>455</v>
      </c>
      <c r="H143" s="358" t="s">
        <v>456</v>
      </c>
      <c r="I143" s="205" t="str">
        <f t="shared" si="1"/>
        <v>15  HORAS</v>
      </c>
      <c r="J143" s="206" t="s">
        <v>354</v>
      </c>
      <c r="K143" s="207">
        <f>+IF(J143=0,0,IF(J143="","",VLOOKUP(J143,'PLANTILLA '!$H$139:$I$250,2,0)))</f>
        <v>942678</v>
      </c>
      <c r="L143" s="218"/>
      <c r="M143" s="215"/>
    </row>
    <row r="144" spans="2:13" s="211" customFormat="1" ht="72.75" customHeight="1" x14ac:dyDescent="0.2">
      <c r="B144" s="202">
        <v>46121</v>
      </c>
      <c r="C144" s="203">
        <v>46113.270833333336</v>
      </c>
      <c r="D144" s="203">
        <v>46113.645833333336</v>
      </c>
      <c r="E144" s="204" t="s">
        <v>501</v>
      </c>
      <c r="F144" s="204" t="s">
        <v>505</v>
      </c>
      <c r="G144" s="204" t="s">
        <v>455</v>
      </c>
      <c r="H144" s="358" t="s">
        <v>456</v>
      </c>
      <c r="I144" s="205" t="str">
        <f t="shared" si="1"/>
        <v>09  HORAS</v>
      </c>
      <c r="J144" s="206" t="s">
        <v>359</v>
      </c>
      <c r="K144" s="207">
        <f>+IF(J144=0,0,IF(J144="","",VLOOKUP(J144,'PLANTILLA '!$H$139:$I$216,2,0)))</f>
        <v>769092</v>
      </c>
      <c r="L144" s="218"/>
      <c r="M144" s="215"/>
    </row>
    <row r="145" spans="2:13" s="211" customFormat="1" ht="72.75" customHeight="1" x14ac:dyDescent="0.2">
      <c r="B145" s="202">
        <v>46122</v>
      </c>
      <c r="C145" s="203">
        <v>46113.270833333336</v>
      </c>
      <c r="D145" s="203">
        <v>46113.895833333336</v>
      </c>
      <c r="E145" s="204" t="s">
        <v>501</v>
      </c>
      <c r="F145" s="204" t="s">
        <v>505</v>
      </c>
      <c r="G145" s="204" t="s">
        <v>455</v>
      </c>
      <c r="H145" s="358" t="s">
        <v>456</v>
      </c>
      <c r="I145" s="205" t="str">
        <f t="shared" si="1"/>
        <v>15  HORAS</v>
      </c>
      <c r="J145" s="206" t="s">
        <v>354</v>
      </c>
      <c r="K145" s="207">
        <f>+IF(J145=0,0,IF(J145="","",VLOOKUP(J145,'PLANTILLA '!$H$139:$I$216,2,0)))</f>
        <v>942678</v>
      </c>
      <c r="L145" s="218"/>
      <c r="M145" s="215"/>
    </row>
    <row r="146" spans="2:13" s="211" customFormat="1" ht="72.75" customHeight="1" x14ac:dyDescent="0.2">
      <c r="B146" s="202">
        <v>46124</v>
      </c>
      <c r="C146" s="203">
        <v>46113.229166666664</v>
      </c>
      <c r="D146" s="203">
        <v>46113.604166666664</v>
      </c>
      <c r="E146" s="204" t="s">
        <v>501</v>
      </c>
      <c r="F146" s="204" t="s">
        <v>505</v>
      </c>
      <c r="G146" s="204" t="s">
        <v>455</v>
      </c>
      <c r="H146" s="358" t="s">
        <v>456</v>
      </c>
      <c r="I146" s="205" t="str">
        <f t="shared" si="1"/>
        <v>09  HORAS</v>
      </c>
      <c r="J146" s="206" t="s">
        <v>373</v>
      </c>
      <c r="K146" s="207">
        <f>+IF(J146=0,0,IF(J146="","",VLOOKUP(J146,'PLANTILLA '!$H$139:$I$216,2,0)))</f>
        <v>1175229</v>
      </c>
      <c r="L146" s="218"/>
      <c r="M146" s="215"/>
    </row>
    <row r="147" spans="2:13" s="211" customFormat="1" ht="72.75" customHeight="1" x14ac:dyDescent="0.2">
      <c r="B147" s="202">
        <v>46124</v>
      </c>
      <c r="C147" s="203">
        <v>46113.229166666664</v>
      </c>
      <c r="D147" s="203">
        <v>46113.604166666664</v>
      </c>
      <c r="E147" s="204" t="s">
        <v>501</v>
      </c>
      <c r="F147" s="204" t="s">
        <v>505</v>
      </c>
      <c r="G147" s="204" t="s">
        <v>455</v>
      </c>
      <c r="H147" s="358" t="s">
        <v>456</v>
      </c>
      <c r="I147" s="205" t="str">
        <f t="shared" ref="I147:I161" si="2">+IF(J147=0,0,CONCATENATE(MID(J147,FIND("HORAS",J147,1)-3,3)," HORAS"))</f>
        <v>09  HORAS</v>
      </c>
      <c r="J147" s="206" t="s">
        <v>358</v>
      </c>
      <c r="K147" s="207">
        <f>+IF(J147=0,0,IF(J147="","",VLOOKUP(J147,'PLANTILLA '!$H$139:$I$216,2,0)))</f>
        <v>1222505</v>
      </c>
      <c r="L147" s="218"/>
      <c r="M147" s="215"/>
    </row>
    <row r="148" spans="2:13" s="211" customFormat="1" ht="72.75" customHeight="1" x14ac:dyDescent="0.2">
      <c r="B148" s="202">
        <v>46126</v>
      </c>
      <c r="C148" s="203">
        <v>46113.270833333336</v>
      </c>
      <c r="D148" s="203">
        <v>46113.895833333336</v>
      </c>
      <c r="E148" s="204" t="s">
        <v>501</v>
      </c>
      <c r="F148" s="204" t="s">
        <v>505</v>
      </c>
      <c r="G148" s="204" t="s">
        <v>455</v>
      </c>
      <c r="H148" s="358" t="s">
        <v>456</v>
      </c>
      <c r="I148" s="205" t="str">
        <f t="shared" si="2"/>
        <v>15  HORAS</v>
      </c>
      <c r="J148" s="206" t="s">
        <v>354</v>
      </c>
      <c r="K148" s="207">
        <f>+IF(J148=0,0,IF(J148="","",VLOOKUP(J148,'PLANTILLA '!$H$139:$I$216,2,0)))</f>
        <v>942678</v>
      </c>
      <c r="L148" s="218"/>
      <c r="M148" s="215"/>
    </row>
    <row r="149" spans="2:13" s="211" customFormat="1" ht="72.75" customHeight="1" x14ac:dyDescent="0.2">
      <c r="B149" s="202">
        <v>46127</v>
      </c>
      <c r="C149" s="203">
        <v>46113.270833333336</v>
      </c>
      <c r="D149" s="203">
        <v>46113.895833333336</v>
      </c>
      <c r="E149" s="204" t="s">
        <v>501</v>
      </c>
      <c r="F149" s="204" t="s">
        <v>505</v>
      </c>
      <c r="G149" s="204" t="s">
        <v>455</v>
      </c>
      <c r="H149" s="358" t="s">
        <v>456</v>
      </c>
      <c r="I149" s="205" t="str">
        <f t="shared" si="2"/>
        <v>15  HORAS</v>
      </c>
      <c r="J149" s="206" t="s">
        <v>354</v>
      </c>
      <c r="K149" s="207">
        <f>+IF(J149=0,0,IF(J149="","",VLOOKUP(J149,'PLANTILLA '!$H$139:$I$216,2,0)))</f>
        <v>942678</v>
      </c>
      <c r="L149" s="218"/>
      <c r="M149" s="215"/>
    </row>
    <row r="150" spans="2:13" s="211" customFormat="1" ht="72.75" customHeight="1" x14ac:dyDescent="0.2">
      <c r="B150" s="202">
        <v>46128</v>
      </c>
      <c r="C150" s="203">
        <v>46113.270833333336</v>
      </c>
      <c r="D150" s="203">
        <v>46113.645833333336</v>
      </c>
      <c r="E150" s="204" t="s">
        <v>501</v>
      </c>
      <c r="F150" s="204" t="s">
        <v>505</v>
      </c>
      <c r="G150" s="204" t="s">
        <v>455</v>
      </c>
      <c r="H150" s="358" t="s">
        <v>456</v>
      </c>
      <c r="I150" s="205" t="str">
        <f t="shared" si="2"/>
        <v>09  HORAS</v>
      </c>
      <c r="J150" s="206" t="s">
        <v>359</v>
      </c>
      <c r="K150" s="207">
        <f>+IF(J150=0,0,IF(J150="","",VLOOKUP(J150,'PLANTILLA '!$H$139:$I$230,2,0)))</f>
        <v>769092</v>
      </c>
      <c r="L150" s="218"/>
      <c r="M150" s="215"/>
    </row>
    <row r="151" spans="2:13" s="211" customFormat="1" ht="72.75" customHeight="1" x14ac:dyDescent="0.2">
      <c r="B151" s="202">
        <v>46129</v>
      </c>
      <c r="C151" s="203">
        <v>46113.270833333336</v>
      </c>
      <c r="D151" s="203">
        <v>46113.895833333336</v>
      </c>
      <c r="E151" s="204" t="s">
        <v>501</v>
      </c>
      <c r="F151" s="204" t="s">
        <v>505</v>
      </c>
      <c r="G151" s="204" t="s">
        <v>455</v>
      </c>
      <c r="H151" s="358" t="s">
        <v>456</v>
      </c>
      <c r="I151" s="205" t="str">
        <f t="shared" si="2"/>
        <v>09  HORAS</v>
      </c>
      <c r="J151" s="206" t="s">
        <v>359</v>
      </c>
      <c r="K151" s="207">
        <f>+IF(J151=0,0,IF(J151="","",VLOOKUP(J151,'PLANTILLA '!$H$139:$I$216,2,0)))</f>
        <v>769092</v>
      </c>
      <c r="L151" s="218"/>
      <c r="M151" s="215"/>
    </row>
    <row r="152" spans="2:13" s="211" customFormat="1" ht="72.75" customHeight="1" x14ac:dyDescent="0.2">
      <c r="B152" s="202">
        <v>46131</v>
      </c>
      <c r="C152" s="203">
        <v>46113.229166666664</v>
      </c>
      <c r="D152" s="203">
        <v>46113.604166666664</v>
      </c>
      <c r="E152" s="204" t="s">
        <v>501</v>
      </c>
      <c r="F152" s="204" t="s">
        <v>505</v>
      </c>
      <c r="G152" s="204" t="s">
        <v>455</v>
      </c>
      <c r="H152" s="358" t="s">
        <v>456</v>
      </c>
      <c r="I152" s="205" t="str">
        <f t="shared" si="2"/>
        <v>09  HORAS</v>
      </c>
      <c r="J152" s="206" t="s">
        <v>373</v>
      </c>
      <c r="K152" s="207">
        <f>+IF(J152=0,0,IF(J152="","",VLOOKUP(J152,'PLANTILLA '!$H$139:$I$216,2,0)))</f>
        <v>1175229</v>
      </c>
      <c r="L152" s="218"/>
      <c r="M152" s="215"/>
    </row>
    <row r="153" spans="2:13" s="211" customFormat="1" ht="72.75" customHeight="1" x14ac:dyDescent="0.2">
      <c r="B153" s="202">
        <v>46131</v>
      </c>
      <c r="C153" s="203">
        <v>46113.229166666664</v>
      </c>
      <c r="D153" s="203">
        <v>46113.604166666664</v>
      </c>
      <c r="E153" s="204" t="s">
        <v>501</v>
      </c>
      <c r="F153" s="204" t="s">
        <v>505</v>
      </c>
      <c r="G153" s="204" t="s">
        <v>455</v>
      </c>
      <c r="H153" s="358" t="s">
        <v>456</v>
      </c>
      <c r="I153" s="205" t="str">
        <f t="shared" si="2"/>
        <v>09  HORAS</v>
      </c>
      <c r="J153" s="206" t="s">
        <v>358</v>
      </c>
      <c r="K153" s="207">
        <f>+IF(J153=0,0,IF(J153="","",VLOOKUP(J153,'PLANTILLA '!$H$139:$I$216,2,0)))</f>
        <v>1222505</v>
      </c>
      <c r="L153" s="218"/>
      <c r="M153" s="215"/>
    </row>
    <row r="154" spans="2:13" s="211" customFormat="1" ht="72.75" customHeight="1" x14ac:dyDescent="0.2">
      <c r="B154" s="202">
        <v>46133</v>
      </c>
      <c r="C154" s="203">
        <v>46113.270833333336</v>
      </c>
      <c r="D154" s="203">
        <v>46113.895833333336</v>
      </c>
      <c r="E154" s="204" t="s">
        <v>501</v>
      </c>
      <c r="F154" s="204" t="s">
        <v>505</v>
      </c>
      <c r="G154" s="204" t="s">
        <v>455</v>
      </c>
      <c r="H154" s="358" t="s">
        <v>456</v>
      </c>
      <c r="I154" s="205" t="str">
        <f t="shared" si="2"/>
        <v>15  HORAS</v>
      </c>
      <c r="J154" s="206" t="s">
        <v>354</v>
      </c>
      <c r="K154" s="207">
        <f>+IF(J154=0,0,IF(J154="","",VLOOKUP(J154,'PLANTILLA '!$H$139:$I$216,2,0)))</f>
        <v>942678</v>
      </c>
      <c r="L154" s="218"/>
      <c r="M154" s="215"/>
    </row>
    <row r="155" spans="2:13" s="211" customFormat="1" ht="72.75" customHeight="1" x14ac:dyDescent="0.2">
      <c r="B155" s="202">
        <v>46134</v>
      </c>
      <c r="C155" s="203">
        <v>46113.270833333336</v>
      </c>
      <c r="D155" s="203">
        <v>46113.895833333336</v>
      </c>
      <c r="E155" s="204" t="s">
        <v>501</v>
      </c>
      <c r="F155" s="204" t="s">
        <v>505</v>
      </c>
      <c r="G155" s="204" t="s">
        <v>455</v>
      </c>
      <c r="H155" s="358" t="s">
        <v>456</v>
      </c>
      <c r="I155" s="205" t="str">
        <f t="shared" si="2"/>
        <v>15  HORAS</v>
      </c>
      <c r="J155" s="206" t="s">
        <v>354</v>
      </c>
      <c r="K155" s="207">
        <f>+IF(J155=0,0,IF(J155="","",VLOOKUP(J155,'PLANTILLA '!$H$139:$I$216,2,0)))</f>
        <v>942678</v>
      </c>
      <c r="L155" s="218"/>
      <c r="M155" s="215"/>
    </row>
    <row r="156" spans="2:13" s="211" customFormat="1" ht="72.75" customHeight="1" x14ac:dyDescent="0.2">
      <c r="B156" s="202">
        <v>46135</v>
      </c>
      <c r="C156" s="203">
        <v>46113.270833333336</v>
      </c>
      <c r="D156" s="203">
        <v>46113.645833333336</v>
      </c>
      <c r="E156" s="204" t="s">
        <v>501</v>
      </c>
      <c r="F156" s="204" t="s">
        <v>505</v>
      </c>
      <c r="G156" s="204" t="s">
        <v>455</v>
      </c>
      <c r="H156" s="358" t="s">
        <v>456</v>
      </c>
      <c r="I156" s="205" t="str">
        <f t="shared" si="2"/>
        <v>09  HORAS</v>
      </c>
      <c r="J156" s="206" t="s">
        <v>359</v>
      </c>
      <c r="K156" s="207">
        <f>+IF(J156=0,0,IF(J156="","",VLOOKUP(J156,'PLANTILLA '!$H$139:$I$216,2,0)))</f>
        <v>769092</v>
      </c>
      <c r="L156" s="218"/>
      <c r="M156" s="215"/>
    </row>
    <row r="157" spans="2:13" s="211" customFormat="1" ht="72.75" customHeight="1" x14ac:dyDescent="0.2">
      <c r="B157" s="202">
        <v>46136</v>
      </c>
      <c r="C157" s="203">
        <v>46113.270833333336</v>
      </c>
      <c r="D157" s="203">
        <v>46113.895833333336</v>
      </c>
      <c r="E157" s="204" t="s">
        <v>501</v>
      </c>
      <c r="F157" s="204" t="s">
        <v>505</v>
      </c>
      <c r="G157" s="204" t="s">
        <v>455</v>
      </c>
      <c r="H157" s="358" t="s">
        <v>456</v>
      </c>
      <c r="I157" s="205" t="str">
        <f t="shared" si="2"/>
        <v>15  HORAS</v>
      </c>
      <c r="J157" s="206" t="s">
        <v>354</v>
      </c>
      <c r="K157" s="207">
        <f>+IF(J157=0,0,IF(J157="","",VLOOKUP(J157,'PLANTILLA '!$H$139:$I$216,2,0)))</f>
        <v>942678</v>
      </c>
      <c r="L157" s="218"/>
      <c r="M157" s="215"/>
    </row>
    <row r="158" spans="2:13" s="211" customFormat="1" ht="72.75" customHeight="1" x14ac:dyDescent="0.2">
      <c r="B158" s="202">
        <v>46138</v>
      </c>
      <c r="C158" s="203">
        <v>46113.229166666664</v>
      </c>
      <c r="D158" s="203">
        <v>46113.604166666664</v>
      </c>
      <c r="E158" s="204" t="s">
        <v>501</v>
      </c>
      <c r="F158" s="204" t="s">
        <v>505</v>
      </c>
      <c r="G158" s="204" t="s">
        <v>455</v>
      </c>
      <c r="H158" s="358" t="s">
        <v>456</v>
      </c>
      <c r="I158" s="205" t="str">
        <f t="shared" si="2"/>
        <v>09  HORAS</v>
      </c>
      <c r="J158" s="206" t="s">
        <v>373</v>
      </c>
      <c r="K158" s="207">
        <f>+IF(J158=0,0,IF(J158="","",VLOOKUP(J158,'PLANTILLA '!$H$139:$I$216,2,0)))</f>
        <v>1175229</v>
      </c>
      <c r="L158" s="218"/>
      <c r="M158" s="215"/>
    </row>
    <row r="159" spans="2:13" s="211" customFormat="1" ht="72.75" customHeight="1" x14ac:dyDescent="0.2">
      <c r="B159" s="202">
        <v>46138</v>
      </c>
      <c r="C159" s="203">
        <v>46113.229166666664</v>
      </c>
      <c r="D159" s="203">
        <v>46113.604166666664</v>
      </c>
      <c r="E159" s="204" t="s">
        <v>501</v>
      </c>
      <c r="F159" s="204" t="s">
        <v>505</v>
      </c>
      <c r="G159" s="204" t="s">
        <v>455</v>
      </c>
      <c r="H159" s="358" t="s">
        <v>456</v>
      </c>
      <c r="I159" s="205" t="str">
        <f t="shared" si="2"/>
        <v>09  HORAS</v>
      </c>
      <c r="J159" s="206" t="s">
        <v>358</v>
      </c>
      <c r="K159" s="207">
        <f>+IF(J159=0,0,IF(J159="","",VLOOKUP(J159,'PLANTILLA '!$H$139:$I$216,2,0)))</f>
        <v>1222505</v>
      </c>
      <c r="L159" s="218"/>
      <c r="M159" s="215"/>
    </row>
    <row r="160" spans="2:13" s="211" customFormat="1" ht="72.75" customHeight="1" x14ac:dyDescent="0.2">
      <c r="B160" s="202"/>
      <c r="C160" s="203"/>
      <c r="D160" s="203"/>
      <c r="E160" s="204"/>
      <c r="F160" s="204"/>
      <c r="G160" s="204"/>
      <c r="H160" s="358"/>
      <c r="I160" s="205">
        <f t="shared" si="2"/>
        <v>0</v>
      </c>
      <c r="J160" s="206">
        <v>0</v>
      </c>
      <c r="K160" s="207">
        <f>+IF(J160=0,0,IF(J160="","",VLOOKUP(J160,'PLANTILLA '!$H$139:$I$216,2,0)))</f>
        <v>0</v>
      </c>
      <c r="L160" s="218"/>
      <c r="M160" s="215"/>
    </row>
    <row r="161" spans="2:13" s="211" customFormat="1" ht="72.75" customHeight="1" x14ac:dyDescent="0.2">
      <c r="B161" s="202"/>
      <c r="C161" s="203"/>
      <c r="D161" s="203"/>
      <c r="E161" s="204"/>
      <c r="F161" s="204"/>
      <c r="G161" s="204"/>
      <c r="H161" s="358"/>
      <c r="I161" s="205">
        <f t="shared" si="2"/>
        <v>0</v>
      </c>
      <c r="J161" s="206">
        <v>0</v>
      </c>
      <c r="K161" s="207">
        <f>+IF(J161=0,0,IF(J161="","",VLOOKUP(J161,'PLANTILLA '!$H$139:$I$216,2,0)))</f>
        <v>0</v>
      </c>
      <c r="L161" s="218"/>
      <c r="M161" s="215"/>
    </row>
    <row r="162" spans="2:13" s="211" customFormat="1" ht="72.75" customHeight="1" x14ac:dyDescent="0.2">
      <c r="B162" s="202"/>
      <c r="C162" s="203"/>
      <c r="D162" s="203"/>
      <c r="E162" s="204"/>
      <c r="F162" s="204"/>
      <c r="G162" s="204"/>
      <c r="H162" s="358"/>
      <c r="I162" s="205">
        <f t="shared" ref="I162:I215" si="3">+IF(J162=0,0,CONCATENATE(MID(J162,FIND("-",J162,1)+1,4),"ORAS"))</f>
        <v>0</v>
      </c>
      <c r="J162" s="206">
        <v>0</v>
      </c>
      <c r="K162" s="207">
        <f>+IF(J162=0,0,IF(J162="","",VLOOKUP(J162,'PLANTILLA '!$H$139:$I$216,2,0)))</f>
        <v>0</v>
      </c>
      <c r="L162" s="218"/>
      <c r="M162" s="215"/>
    </row>
    <row r="163" spans="2:13" s="211" customFormat="1" ht="72.75" customHeight="1" x14ac:dyDescent="0.2">
      <c r="B163" s="202"/>
      <c r="C163" s="203"/>
      <c r="D163" s="203"/>
      <c r="E163" s="204"/>
      <c r="F163" s="204"/>
      <c r="G163" s="204"/>
      <c r="H163" s="358"/>
      <c r="I163" s="205">
        <f t="shared" si="3"/>
        <v>0</v>
      </c>
      <c r="J163" s="206">
        <v>0</v>
      </c>
      <c r="K163" s="207">
        <f>+IF(J163=0,0,IF(J163="","",VLOOKUP(J163,'PLANTILLA '!$H$139:$I$216,2,0)))</f>
        <v>0</v>
      </c>
      <c r="L163" s="218"/>
      <c r="M163" s="215"/>
    </row>
    <row r="164" spans="2:13" s="211" customFormat="1" ht="72.75" customHeight="1" x14ac:dyDescent="0.2">
      <c r="B164" s="202"/>
      <c r="C164" s="203"/>
      <c r="D164" s="203"/>
      <c r="E164" s="204"/>
      <c r="F164" s="204"/>
      <c r="G164" s="204"/>
      <c r="H164" s="358"/>
      <c r="I164" s="205">
        <f t="shared" si="3"/>
        <v>0</v>
      </c>
      <c r="J164" s="206">
        <v>0</v>
      </c>
      <c r="K164" s="207">
        <f>+IF(J164=0,0,IF(J164="","",VLOOKUP(J164,'PLANTILLA '!$H$139:$I$216,2,0)))</f>
        <v>0</v>
      </c>
      <c r="L164" s="218"/>
      <c r="M164" s="215"/>
    </row>
    <row r="165" spans="2:13" s="211" customFormat="1" ht="72.75" customHeight="1" x14ac:dyDescent="0.2">
      <c r="B165" s="202"/>
      <c r="C165" s="203"/>
      <c r="D165" s="203"/>
      <c r="E165" s="204"/>
      <c r="F165" s="204"/>
      <c r="G165" s="204"/>
      <c r="H165" s="358"/>
      <c r="I165" s="205">
        <f t="shared" si="3"/>
        <v>0</v>
      </c>
      <c r="J165" s="206">
        <v>0</v>
      </c>
      <c r="K165" s="207">
        <f>+IF(J165=0,0,IF(J165="","",VLOOKUP(J165,'PLANTILLA '!$H$139:$I$216,2,0)))</f>
        <v>0</v>
      </c>
      <c r="L165" s="218"/>
      <c r="M165" s="215"/>
    </row>
    <row r="166" spans="2:13" s="211" customFormat="1" ht="72.75" customHeight="1" x14ac:dyDescent="0.2">
      <c r="B166" s="202"/>
      <c r="C166" s="203"/>
      <c r="D166" s="203"/>
      <c r="E166" s="204"/>
      <c r="F166" s="204"/>
      <c r="G166" s="204"/>
      <c r="H166" s="358"/>
      <c r="I166" s="205">
        <f t="shared" si="3"/>
        <v>0</v>
      </c>
      <c r="J166" s="206">
        <v>0</v>
      </c>
      <c r="K166" s="207">
        <f>+IF(J166=0,0,IF(J166="","",VLOOKUP(J166,'PLANTILLA '!$H$139:$I$216,2,0)))</f>
        <v>0</v>
      </c>
      <c r="L166" s="218"/>
      <c r="M166" s="215"/>
    </row>
    <row r="167" spans="2:13" s="211" customFormat="1" ht="72.75" customHeight="1" x14ac:dyDescent="0.2">
      <c r="B167" s="202"/>
      <c r="C167" s="203"/>
      <c r="D167" s="203"/>
      <c r="E167" s="204"/>
      <c r="F167" s="204"/>
      <c r="G167" s="204"/>
      <c r="H167" s="358"/>
      <c r="I167" s="205">
        <f t="shared" si="3"/>
        <v>0</v>
      </c>
      <c r="J167" s="206">
        <v>0</v>
      </c>
      <c r="K167" s="207">
        <f>+IF(J167=0,0,IF(J167="","",VLOOKUP(J167,'PLANTILLA '!$H$139:$I$216,2,0)))</f>
        <v>0</v>
      </c>
      <c r="L167" s="218"/>
      <c r="M167" s="215"/>
    </row>
    <row r="168" spans="2:13" s="211" customFormat="1" ht="72.75" customHeight="1" x14ac:dyDescent="0.2">
      <c r="B168" s="202"/>
      <c r="C168" s="203"/>
      <c r="D168" s="203"/>
      <c r="E168" s="204"/>
      <c r="F168" s="204"/>
      <c r="G168" s="204"/>
      <c r="H168" s="358"/>
      <c r="I168" s="205">
        <f t="shared" si="3"/>
        <v>0</v>
      </c>
      <c r="J168" s="206">
        <v>0</v>
      </c>
      <c r="K168" s="207">
        <f>+IF(J168=0,0,IF(J168="","",VLOOKUP(J168,'PLANTILLA '!$H$139:$I$216,2,0)))</f>
        <v>0</v>
      </c>
      <c r="L168" s="218"/>
      <c r="M168" s="215"/>
    </row>
    <row r="169" spans="2:13" s="211" customFormat="1" ht="72.75" customHeight="1" x14ac:dyDescent="0.2">
      <c r="B169" s="202"/>
      <c r="C169" s="203"/>
      <c r="D169" s="203"/>
      <c r="E169" s="204"/>
      <c r="F169" s="204"/>
      <c r="G169" s="204"/>
      <c r="H169" s="358"/>
      <c r="I169" s="205">
        <f t="shared" si="3"/>
        <v>0</v>
      </c>
      <c r="J169" s="206">
        <v>0</v>
      </c>
      <c r="K169" s="207">
        <f>+IF(J169=0,0,IF(J169="","",VLOOKUP(J169,'PLANTILLA '!$H$139:$I$216,2,0)))</f>
        <v>0</v>
      </c>
      <c r="L169" s="218"/>
      <c r="M169" s="215"/>
    </row>
    <row r="170" spans="2:13" s="211" customFormat="1" ht="72.75" customHeight="1" x14ac:dyDescent="0.2">
      <c r="B170" s="202"/>
      <c r="C170" s="203"/>
      <c r="D170" s="203"/>
      <c r="E170" s="204"/>
      <c r="F170" s="204"/>
      <c r="G170" s="204"/>
      <c r="H170" s="358"/>
      <c r="I170" s="205">
        <f t="shared" si="3"/>
        <v>0</v>
      </c>
      <c r="J170" s="206">
        <v>0</v>
      </c>
      <c r="K170" s="207">
        <f>+IF(J170=0,0,IF(J170="","",VLOOKUP(J170,'PLANTILLA '!$H$139:$I$216,2,0)))</f>
        <v>0</v>
      </c>
      <c r="L170" s="218"/>
      <c r="M170" s="215"/>
    </row>
    <row r="171" spans="2:13" s="211" customFormat="1" ht="72.75" customHeight="1" x14ac:dyDescent="0.2">
      <c r="B171" s="202"/>
      <c r="C171" s="203"/>
      <c r="D171" s="203"/>
      <c r="E171" s="204"/>
      <c r="F171" s="204"/>
      <c r="G171" s="204"/>
      <c r="H171" s="204"/>
      <c r="I171" s="205">
        <f t="shared" si="3"/>
        <v>0</v>
      </c>
      <c r="J171" s="206">
        <v>0</v>
      </c>
      <c r="K171" s="207">
        <f>+IF(J171=0,0,IF(J171="","",VLOOKUP(J171,'PLANTILLA '!$H$139:$I$216,2,0)))</f>
        <v>0</v>
      </c>
      <c r="L171" s="218"/>
      <c r="M171" s="215"/>
    </row>
    <row r="172" spans="2:13" s="211" customFormat="1" ht="72.75" customHeight="1" x14ac:dyDescent="0.2">
      <c r="B172" s="202"/>
      <c r="C172" s="203"/>
      <c r="D172" s="203"/>
      <c r="E172" s="204"/>
      <c r="F172" s="204"/>
      <c r="G172" s="204"/>
      <c r="H172" s="204"/>
      <c r="I172" s="205">
        <f t="shared" si="3"/>
        <v>0</v>
      </c>
      <c r="J172" s="206">
        <v>0</v>
      </c>
      <c r="K172" s="207">
        <f>+IF(J172=0,0,IF(J172="","",VLOOKUP(J172,'PLANTILLA '!$H$139:$I$216,2,0)))</f>
        <v>0</v>
      </c>
      <c r="L172" s="218"/>
      <c r="M172" s="215"/>
    </row>
    <row r="173" spans="2:13" s="211" customFormat="1" ht="72.75" customHeight="1" x14ac:dyDescent="0.2">
      <c r="B173" s="202"/>
      <c r="C173" s="203"/>
      <c r="D173" s="203"/>
      <c r="E173" s="204"/>
      <c r="F173" s="204"/>
      <c r="G173" s="204"/>
      <c r="H173" s="204"/>
      <c r="I173" s="205">
        <f t="shared" si="3"/>
        <v>0</v>
      </c>
      <c r="J173" s="206">
        <v>0</v>
      </c>
      <c r="K173" s="207">
        <f>+IF(J173=0,0,IF(J173="","",VLOOKUP(J173,'PLANTILLA '!$H$139:$I$216,2,0)))</f>
        <v>0</v>
      </c>
      <c r="L173" s="218"/>
      <c r="M173" s="215"/>
    </row>
    <row r="174" spans="2:13" s="211" customFormat="1" ht="72.75" customHeight="1" x14ac:dyDescent="0.2">
      <c r="B174" s="202"/>
      <c r="C174" s="203"/>
      <c r="D174" s="203"/>
      <c r="E174" s="204"/>
      <c r="F174" s="204"/>
      <c r="G174" s="204"/>
      <c r="H174" s="204"/>
      <c r="I174" s="205">
        <f t="shared" si="3"/>
        <v>0</v>
      </c>
      <c r="J174" s="206">
        <v>0</v>
      </c>
      <c r="K174" s="207">
        <f>+IF(J174=0,0,IF(J174="","",VLOOKUP(J174,'PLANTILLA '!$H$139:$I$216,2,0)))</f>
        <v>0</v>
      </c>
      <c r="L174" s="218"/>
      <c r="M174" s="215"/>
    </row>
    <row r="175" spans="2:13" s="211" customFormat="1" ht="72.75" customHeight="1" x14ac:dyDescent="0.2">
      <c r="B175" s="202"/>
      <c r="C175" s="203"/>
      <c r="D175" s="203"/>
      <c r="E175" s="204"/>
      <c r="F175" s="204"/>
      <c r="G175" s="204"/>
      <c r="H175" s="204"/>
      <c r="I175" s="205">
        <f t="shared" si="3"/>
        <v>0</v>
      </c>
      <c r="J175" s="206">
        <v>0</v>
      </c>
      <c r="K175" s="207">
        <f>+IF(J175=0,0,IF(J175="","",VLOOKUP(J175,'PLANTILLA '!$H$139:$I$216,2,0)))</f>
        <v>0</v>
      </c>
      <c r="L175" s="218"/>
      <c r="M175" s="215"/>
    </row>
    <row r="176" spans="2:13" s="211" customFormat="1" ht="72.75" customHeight="1" x14ac:dyDescent="0.2">
      <c r="B176" s="202"/>
      <c r="C176" s="203"/>
      <c r="D176" s="203"/>
      <c r="E176" s="204"/>
      <c r="F176" s="204"/>
      <c r="G176" s="204"/>
      <c r="H176" s="204"/>
      <c r="I176" s="205">
        <f t="shared" si="3"/>
        <v>0</v>
      </c>
      <c r="J176" s="206">
        <v>0</v>
      </c>
      <c r="K176" s="207">
        <f>+IF(J176=0,0,IF(J176="","",VLOOKUP(J176,'PLANTILLA '!$H$139:$I$216,2,0)))</f>
        <v>0</v>
      </c>
      <c r="L176" s="218"/>
      <c r="M176" s="215"/>
    </row>
    <row r="177" spans="2:13" s="211" customFormat="1" ht="72.75" customHeight="1" x14ac:dyDescent="0.2">
      <c r="B177" s="202"/>
      <c r="C177" s="203"/>
      <c r="D177" s="203"/>
      <c r="E177" s="204"/>
      <c r="F177" s="204"/>
      <c r="G177" s="204"/>
      <c r="H177" s="204"/>
      <c r="I177" s="205">
        <f t="shared" si="3"/>
        <v>0</v>
      </c>
      <c r="J177" s="206">
        <v>0</v>
      </c>
      <c r="K177" s="207">
        <f>+IF(J177=0,0,IF(J177="","",VLOOKUP(J177,'PLANTILLA '!$H$139:$I$216,2,0)))</f>
        <v>0</v>
      </c>
      <c r="L177" s="218"/>
      <c r="M177" s="215"/>
    </row>
    <row r="178" spans="2:13" s="211" customFormat="1" ht="72.75" customHeight="1" x14ac:dyDescent="0.2">
      <c r="B178" s="202"/>
      <c r="C178" s="203"/>
      <c r="D178" s="203"/>
      <c r="E178" s="204"/>
      <c r="F178" s="204"/>
      <c r="G178" s="204"/>
      <c r="H178" s="204"/>
      <c r="I178" s="205">
        <f t="shared" si="3"/>
        <v>0</v>
      </c>
      <c r="J178" s="206">
        <v>0</v>
      </c>
      <c r="K178" s="207">
        <f>+IF(J178=0,0,IF(J178="","",VLOOKUP(J178,'PLANTILLA '!$H$139:$I$216,2,0)))</f>
        <v>0</v>
      </c>
      <c r="L178" s="218"/>
      <c r="M178" s="215"/>
    </row>
    <row r="179" spans="2:13" s="211" customFormat="1" ht="72.75" customHeight="1" x14ac:dyDescent="0.2">
      <c r="B179" s="202"/>
      <c r="C179" s="203"/>
      <c r="D179" s="203"/>
      <c r="E179" s="204"/>
      <c r="F179" s="204"/>
      <c r="G179" s="204"/>
      <c r="H179" s="204"/>
      <c r="I179" s="205">
        <f t="shared" si="3"/>
        <v>0</v>
      </c>
      <c r="J179" s="206">
        <v>0</v>
      </c>
      <c r="K179" s="207">
        <f>+IF(J179=0,0,IF(J179="","",VLOOKUP(J179,'PLANTILLA '!$H$139:$I$216,2,0)))</f>
        <v>0</v>
      </c>
      <c r="L179" s="218"/>
      <c r="M179" s="215"/>
    </row>
    <row r="180" spans="2:13" s="211" customFormat="1" ht="72.75" customHeight="1" x14ac:dyDescent="0.2">
      <c r="B180" s="202"/>
      <c r="C180" s="203"/>
      <c r="D180" s="203"/>
      <c r="E180" s="204"/>
      <c r="F180" s="204"/>
      <c r="G180" s="204"/>
      <c r="H180" s="204"/>
      <c r="I180" s="205">
        <f t="shared" si="3"/>
        <v>0</v>
      </c>
      <c r="J180" s="206">
        <v>0</v>
      </c>
      <c r="K180" s="207">
        <f>+IF(J180=0,0,IF(J180="","",VLOOKUP(J180,'PLANTILLA '!$H$139:$I$216,2,0)))</f>
        <v>0</v>
      </c>
      <c r="L180" s="218"/>
      <c r="M180" s="215"/>
    </row>
    <row r="181" spans="2:13" s="211" customFormat="1" ht="72.75" customHeight="1" x14ac:dyDescent="0.2">
      <c r="B181" s="202"/>
      <c r="C181" s="203"/>
      <c r="D181" s="203"/>
      <c r="E181" s="204"/>
      <c r="F181" s="204"/>
      <c r="G181" s="204"/>
      <c r="H181" s="204"/>
      <c r="I181" s="205">
        <f t="shared" si="3"/>
        <v>0</v>
      </c>
      <c r="J181" s="206">
        <v>0</v>
      </c>
      <c r="K181" s="207">
        <f>+IF(J181=0,0,IF(J181="","",VLOOKUP(J181,'PLANTILLA '!$H$139:$I$216,2,0)))</f>
        <v>0</v>
      </c>
      <c r="L181" s="218"/>
      <c r="M181" s="215"/>
    </row>
    <row r="182" spans="2:13" s="211" customFormat="1" ht="72.75" customHeight="1" x14ac:dyDescent="0.2">
      <c r="B182" s="202"/>
      <c r="C182" s="203"/>
      <c r="D182" s="203"/>
      <c r="E182" s="204"/>
      <c r="F182" s="204"/>
      <c r="G182" s="204"/>
      <c r="H182" s="204"/>
      <c r="I182" s="205">
        <f t="shared" si="3"/>
        <v>0</v>
      </c>
      <c r="J182" s="206">
        <v>0</v>
      </c>
      <c r="K182" s="207">
        <f>+IF(J182=0,0,IF(J182="","",VLOOKUP(J182,'PLANTILLA '!$H$139:$I$216,2,0)))</f>
        <v>0</v>
      </c>
      <c r="L182" s="218"/>
      <c r="M182" s="215"/>
    </row>
    <row r="183" spans="2:13" s="211" customFormat="1" ht="72.75" customHeight="1" x14ac:dyDescent="0.2">
      <c r="B183" s="202"/>
      <c r="C183" s="203"/>
      <c r="D183" s="203"/>
      <c r="E183" s="204"/>
      <c r="F183" s="204"/>
      <c r="G183" s="204"/>
      <c r="H183" s="204"/>
      <c r="I183" s="205">
        <f t="shared" si="3"/>
        <v>0</v>
      </c>
      <c r="J183" s="206">
        <v>0</v>
      </c>
      <c r="K183" s="207">
        <f>+IF(J183=0,0,IF(J183="","",VLOOKUP(J183,'PLANTILLA '!$H$139:$I$216,2,0)))</f>
        <v>0</v>
      </c>
      <c r="L183" s="218"/>
      <c r="M183" s="215"/>
    </row>
    <row r="184" spans="2:13" s="211" customFormat="1" ht="72.75" customHeight="1" x14ac:dyDescent="0.2">
      <c r="B184" s="202"/>
      <c r="C184" s="203"/>
      <c r="D184" s="203"/>
      <c r="E184" s="204"/>
      <c r="F184" s="204"/>
      <c r="G184" s="204"/>
      <c r="H184" s="204"/>
      <c r="I184" s="205">
        <f t="shared" si="3"/>
        <v>0</v>
      </c>
      <c r="J184" s="206">
        <v>0</v>
      </c>
      <c r="K184" s="207">
        <f>+IF(J184=0,0,IF(J184="","",VLOOKUP(J184,'PLANTILLA '!$H$139:$I$216,2,0)))</f>
        <v>0</v>
      </c>
      <c r="L184" s="218"/>
      <c r="M184" s="215"/>
    </row>
    <row r="185" spans="2:13" s="211" customFormat="1" ht="72.75" customHeight="1" x14ac:dyDescent="0.2">
      <c r="B185" s="202"/>
      <c r="C185" s="203"/>
      <c r="D185" s="203"/>
      <c r="E185" s="204"/>
      <c r="F185" s="204"/>
      <c r="G185" s="204"/>
      <c r="H185" s="204"/>
      <c r="I185" s="205">
        <f t="shared" si="3"/>
        <v>0</v>
      </c>
      <c r="J185" s="206">
        <v>0</v>
      </c>
      <c r="K185" s="207">
        <f>+IF(J185=0,0,IF(J185="","",VLOOKUP(J185,'PLANTILLA '!$H$139:$I$216,2,0)))</f>
        <v>0</v>
      </c>
      <c r="L185" s="218"/>
      <c r="M185" s="215"/>
    </row>
    <row r="186" spans="2:13" s="211" customFormat="1" ht="72.75" customHeight="1" x14ac:dyDescent="0.2">
      <c r="B186" s="202"/>
      <c r="C186" s="203"/>
      <c r="D186" s="203"/>
      <c r="E186" s="204"/>
      <c r="F186" s="204"/>
      <c r="G186" s="204"/>
      <c r="H186" s="204"/>
      <c r="I186" s="205">
        <f t="shared" si="3"/>
        <v>0</v>
      </c>
      <c r="J186" s="206">
        <v>0</v>
      </c>
      <c r="K186" s="207">
        <f>+IF(J186=0,0,IF(J186="","",VLOOKUP(J186,'PLANTILLA '!$H$139:$I$216,2,0)))</f>
        <v>0</v>
      </c>
      <c r="L186" s="218"/>
      <c r="M186" s="215"/>
    </row>
    <row r="187" spans="2:13" s="211" customFormat="1" ht="72.75" customHeight="1" x14ac:dyDescent="0.2">
      <c r="B187" s="202"/>
      <c r="C187" s="203"/>
      <c r="D187" s="203"/>
      <c r="E187" s="204"/>
      <c r="F187" s="204"/>
      <c r="G187" s="204"/>
      <c r="H187" s="204"/>
      <c r="I187" s="205">
        <f t="shared" si="3"/>
        <v>0</v>
      </c>
      <c r="J187" s="206">
        <v>0</v>
      </c>
      <c r="K187" s="207">
        <f>+IF(J187=0,0,IF(J187="","",VLOOKUP(J187,'PLANTILLA '!$H$139:$I$216,2,0)))</f>
        <v>0</v>
      </c>
      <c r="L187" s="218"/>
      <c r="M187" s="215"/>
    </row>
    <row r="188" spans="2:13" s="211" customFormat="1" ht="72.75" customHeight="1" x14ac:dyDescent="0.2">
      <c r="B188" s="202"/>
      <c r="C188" s="203"/>
      <c r="D188" s="203"/>
      <c r="E188" s="204"/>
      <c r="F188" s="204"/>
      <c r="G188" s="204"/>
      <c r="H188" s="204"/>
      <c r="I188" s="205">
        <f t="shared" si="3"/>
        <v>0</v>
      </c>
      <c r="J188" s="206">
        <v>0</v>
      </c>
      <c r="K188" s="207">
        <f>+IF(J188=0,0,IF(J188="","",VLOOKUP(J188,'PLANTILLA '!$H$139:$I$216,2,0)))</f>
        <v>0</v>
      </c>
      <c r="L188" s="218"/>
      <c r="M188" s="215"/>
    </row>
    <row r="189" spans="2:13" s="211" customFormat="1" ht="72.75" customHeight="1" x14ac:dyDescent="0.2">
      <c r="B189" s="202"/>
      <c r="C189" s="203"/>
      <c r="D189" s="203"/>
      <c r="E189" s="204"/>
      <c r="F189" s="204"/>
      <c r="G189" s="204"/>
      <c r="H189" s="204"/>
      <c r="I189" s="205">
        <f t="shared" si="3"/>
        <v>0</v>
      </c>
      <c r="J189" s="206">
        <v>0</v>
      </c>
      <c r="K189" s="207">
        <f>+IF(J189=0,0,IF(J189="","",VLOOKUP(J189,'PLANTILLA '!$H$139:$I$216,2,0)))</f>
        <v>0</v>
      </c>
      <c r="L189" s="218"/>
      <c r="M189" s="215"/>
    </row>
    <row r="190" spans="2:13" s="211" customFormat="1" ht="72.75" customHeight="1" x14ac:dyDescent="0.2">
      <c r="B190" s="202"/>
      <c r="C190" s="203"/>
      <c r="D190" s="203"/>
      <c r="E190" s="204"/>
      <c r="F190" s="204"/>
      <c r="G190" s="204"/>
      <c r="H190" s="204"/>
      <c r="I190" s="205">
        <f t="shared" si="3"/>
        <v>0</v>
      </c>
      <c r="J190" s="206">
        <v>0</v>
      </c>
      <c r="K190" s="207">
        <f>+IF(J190=0,0,IF(J190="","",VLOOKUP(J190,'PLANTILLA '!$H$139:$I$216,2,0)))</f>
        <v>0</v>
      </c>
      <c r="L190" s="218"/>
      <c r="M190" s="215"/>
    </row>
    <row r="191" spans="2:13" s="211" customFormat="1" ht="72.75" customHeight="1" x14ac:dyDescent="0.2">
      <c r="B191" s="202"/>
      <c r="C191" s="203"/>
      <c r="D191" s="203"/>
      <c r="E191" s="204"/>
      <c r="F191" s="204"/>
      <c r="G191" s="204"/>
      <c r="H191" s="204"/>
      <c r="I191" s="205">
        <f t="shared" si="3"/>
        <v>0</v>
      </c>
      <c r="J191" s="206">
        <v>0</v>
      </c>
      <c r="K191" s="207">
        <f>+IF(J191=0,0,IF(J191="","",VLOOKUP(J191,'PLANTILLA '!$H$139:$I$216,2,0)))</f>
        <v>0</v>
      </c>
      <c r="L191" s="218"/>
      <c r="M191" s="215"/>
    </row>
    <row r="192" spans="2:13" s="211" customFormat="1" ht="72.75" customHeight="1" x14ac:dyDescent="0.2">
      <c r="B192" s="202"/>
      <c r="C192" s="203"/>
      <c r="D192" s="203"/>
      <c r="E192" s="204"/>
      <c r="F192" s="204"/>
      <c r="G192" s="204"/>
      <c r="H192" s="204"/>
      <c r="I192" s="205">
        <f t="shared" si="3"/>
        <v>0</v>
      </c>
      <c r="J192" s="206">
        <v>0</v>
      </c>
      <c r="K192" s="207">
        <f>+IF(J192=0,0,IF(J192="","",VLOOKUP(J192,'PLANTILLA '!$H$139:$I$216,2,0)))</f>
        <v>0</v>
      </c>
      <c r="L192" s="218"/>
      <c r="M192" s="215"/>
    </row>
    <row r="193" spans="2:13" s="211" customFormat="1" ht="72.75" customHeight="1" x14ac:dyDescent="0.2">
      <c r="B193" s="202"/>
      <c r="C193" s="203"/>
      <c r="D193" s="203"/>
      <c r="E193" s="204"/>
      <c r="F193" s="204"/>
      <c r="G193" s="204"/>
      <c r="H193" s="204"/>
      <c r="I193" s="205">
        <f t="shared" si="3"/>
        <v>0</v>
      </c>
      <c r="J193" s="206">
        <v>0</v>
      </c>
      <c r="K193" s="207">
        <f>+IF(J193=0,0,IF(J193="","",VLOOKUP(J193,'PLANTILLA '!$H$139:$I$216,2,0)))</f>
        <v>0</v>
      </c>
      <c r="L193" s="218"/>
      <c r="M193" s="215"/>
    </row>
    <row r="194" spans="2:13" s="211" customFormat="1" ht="72.75" customHeight="1" x14ac:dyDescent="0.2">
      <c r="B194" s="202"/>
      <c r="C194" s="203"/>
      <c r="D194" s="203"/>
      <c r="E194" s="204"/>
      <c r="F194" s="204"/>
      <c r="G194" s="204"/>
      <c r="H194" s="204"/>
      <c r="I194" s="205">
        <f t="shared" si="3"/>
        <v>0</v>
      </c>
      <c r="J194" s="206">
        <v>0</v>
      </c>
      <c r="K194" s="207">
        <f>+IF(J194=0,0,IF(J194="","",VLOOKUP(J194,'PLANTILLA '!$H$139:$I$216,2,0)))</f>
        <v>0</v>
      </c>
      <c r="L194" s="218"/>
      <c r="M194" s="215"/>
    </row>
    <row r="195" spans="2:13" s="211" customFormat="1" ht="72.75" customHeight="1" x14ac:dyDescent="0.2">
      <c r="B195" s="202"/>
      <c r="C195" s="203"/>
      <c r="D195" s="203"/>
      <c r="E195" s="204"/>
      <c r="F195" s="204"/>
      <c r="G195" s="204"/>
      <c r="H195" s="204"/>
      <c r="I195" s="205">
        <f t="shared" si="3"/>
        <v>0</v>
      </c>
      <c r="J195" s="206">
        <v>0</v>
      </c>
      <c r="K195" s="207">
        <f>+IF(J195=0,0,IF(J195="","",VLOOKUP(J195,'PLANTILLA '!$H$139:$I$216,2,0)))</f>
        <v>0</v>
      </c>
      <c r="L195" s="218"/>
      <c r="M195" s="215"/>
    </row>
    <row r="196" spans="2:13" s="211" customFormat="1" ht="72.75" customHeight="1" x14ac:dyDescent="0.2">
      <c r="B196" s="202"/>
      <c r="C196" s="203"/>
      <c r="D196" s="203"/>
      <c r="E196" s="204"/>
      <c r="F196" s="204"/>
      <c r="G196" s="204"/>
      <c r="H196" s="204"/>
      <c r="I196" s="205">
        <f t="shared" si="3"/>
        <v>0</v>
      </c>
      <c r="J196" s="206">
        <v>0</v>
      </c>
      <c r="K196" s="207">
        <f>+IF(J196=0,0,IF(J196="","",VLOOKUP(J196,'PLANTILLA '!$H$139:$I$216,2,0)))</f>
        <v>0</v>
      </c>
      <c r="L196" s="218"/>
      <c r="M196" s="215"/>
    </row>
    <row r="197" spans="2:13" s="211" customFormat="1" ht="72.75" customHeight="1" x14ac:dyDescent="0.2">
      <c r="B197" s="220"/>
      <c r="C197" s="203"/>
      <c r="D197" s="203"/>
      <c r="E197" s="204"/>
      <c r="F197" s="204"/>
      <c r="G197" s="204"/>
      <c r="H197" s="204"/>
      <c r="I197" s="205">
        <f t="shared" si="3"/>
        <v>0</v>
      </c>
      <c r="J197" s="206">
        <v>0</v>
      </c>
      <c r="K197" s="207">
        <f>+IF(J197=0,0,IF(J197="","",VLOOKUP(J197,'PLANTILLA '!$H$139:$I$216,2,0)))</f>
        <v>0</v>
      </c>
      <c r="L197" s="218"/>
      <c r="M197" s="215"/>
    </row>
    <row r="198" spans="2:13" s="211" customFormat="1" ht="72.75" customHeight="1" x14ac:dyDescent="0.2">
      <c r="B198" s="220"/>
      <c r="C198" s="203"/>
      <c r="D198" s="203"/>
      <c r="E198" s="204"/>
      <c r="F198" s="204"/>
      <c r="G198" s="204"/>
      <c r="H198" s="204"/>
      <c r="I198" s="205">
        <f t="shared" si="3"/>
        <v>0</v>
      </c>
      <c r="J198" s="206">
        <v>0</v>
      </c>
      <c r="K198" s="207">
        <f>+IF(J198=0,0,IF(J198="","",VLOOKUP(J198,'PLANTILLA '!$H$139:$I$216,2,0)))</f>
        <v>0</v>
      </c>
      <c r="L198" s="218"/>
      <c r="M198" s="215"/>
    </row>
    <row r="199" spans="2:13" s="211" customFormat="1" ht="72.75" customHeight="1" x14ac:dyDescent="0.2">
      <c r="B199" s="220"/>
      <c r="C199" s="203"/>
      <c r="D199" s="203"/>
      <c r="E199" s="204"/>
      <c r="F199" s="204"/>
      <c r="G199" s="204"/>
      <c r="H199" s="204"/>
      <c r="I199" s="205">
        <f t="shared" si="3"/>
        <v>0</v>
      </c>
      <c r="J199" s="206">
        <v>0</v>
      </c>
      <c r="K199" s="207">
        <f>+IF(J199=0,0,IF(J199="","",VLOOKUP(J199,'PLANTILLA '!$H$139:$I$216,2,0)))</f>
        <v>0</v>
      </c>
      <c r="L199" s="218"/>
      <c r="M199" s="215"/>
    </row>
    <row r="200" spans="2:13" s="211" customFormat="1" ht="72.75" customHeight="1" x14ac:dyDescent="0.2">
      <c r="B200" s="220"/>
      <c r="C200" s="203"/>
      <c r="D200" s="203"/>
      <c r="E200" s="204"/>
      <c r="F200" s="204"/>
      <c r="G200" s="204"/>
      <c r="H200" s="204"/>
      <c r="I200" s="205">
        <f t="shared" si="3"/>
        <v>0</v>
      </c>
      <c r="J200" s="206">
        <v>0</v>
      </c>
      <c r="K200" s="207">
        <f>+IF(J200=0,0,IF(J200="","",VLOOKUP(J200,'PLANTILLA '!$H$139:$I$216,2,0)))</f>
        <v>0</v>
      </c>
      <c r="L200" s="218"/>
      <c r="M200" s="215"/>
    </row>
    <row r="201" spans="2:13" s="211" customFormat="1" ht="72.75" customHeight="1" x14ac:dyDescent="0.2">
      <c r="B201" s="220"/>
      <c r="C201" s="203"/>
      <c r="D201" s="203"/>
      <c r="E201" s="204"/>
      <c r="F201" s="204"/>
      <c r="G201" s="204"/>
      <c r="H201" s="204"/>
      <c r="I201" s="205">
        <f t="shared" si="3"/>
        <v>0</v>
      </c>
      <c r="J201" s="206">
        <v>0</v>
      </c>
      <c r="K201" s="207">
        <f>+IF(J201=0,0,IF(J201="","",VLOOKUP(J201,'PLANTILLA '!$H$139:$I$216,2,0)))</f>
        <v>0</v>
      </c>
      <c r="L201" s="218"/>
      <c r="M201" s="215"/>
    </row>
    <row r="202" spans="2:13" s="211" customFormat="1" ht="72.75" customHeight="1" x14ac:dyDescent="0.2">
      <c r="B202" s="220"/>
      <c r="C202" s="203"/>
      <c r="D202" s="203"/>
      <c r="E202" s="204"/>
      <c r="F202" s="204"/>
      <c r="G202" s="204"/>
      <c r="H202" s="204"/>
      <c r="I202" s="205">
        <f t="shared" si="3"/>
        <v>0</v>
      </c>
      <c r="J202" s="206">
        <v>0</v>
      </c>
      <c r="K202" s="207">
        <f>+IF(J202=0,0,IF(J202="","",VLOOKUP(J202,'PLANTILLA '!$H$139:$I$216,2,0)))</f>
        <v>0</v>
      </c>
      <c r="L202" s="218"/>
      <c r="M202" s="215"/>
    </row>
    <row r="203" spans="2:13" s="211" customFormat="1" ht="72.75" customHeight="1" x14ac:dyDescent="0.2">
      <c r="B203" s="220"/>
      <c r="C203" s="203"/>
      <c r="D203" s="203"/>
      <c r="E203" s="204"/>
      <c r="F203" s="204"/>
      <c r="G203" s="204"/>
      <c r="H203" s="204"/>
      <c r="I203" s="205">
        <f t="shared" si="3"/>
        <v>0</v>
      </c>
      <c r="J203" s="206">
        <v>0</v>
      </c>
      <c r="K203" s="207">
        <f>+IF(J203=0,0,IF(J203="","",VLOOKUP(J203,'PLANTILLA '!$H$139:$I$216,2,0)))</f>
        <v>0</v>
      </c>
      <c r="L203" s="218"/>
      <c r="M203" s="215"/>
    </row>
    <row r="204" spans="2:13" s="211" customFormat="1" ht="72.75" customHeight="1" x14ac:dyDescent="0.2">
      <c r="B204" s="220"/>
      <c r="C204" s="203"/>
      <c r="D204" s="203"/>
      <c r="E204" s="204"/>
      <c r="F204" s="204"/>
      <c r="G204" s="204"/>
      <c r="H204" s="204"/>
      <c r="I204" s="205">
        <f t="shared" si="3"/>
        <v>0</v>
      </c>
      <c r="J204" s="206">
        <v>0</v>
      </c>
      <c r="K204" s="207">
        <f>+IF(J204=0,0,IF(J204="","",VLOOKUP(J204,'PLANTILLA '!$H$139:$I$216,2,0)))</f>
        <v>0</v>
      </c>
      <c r="L204" s="218"/>
      <c r="M204" s="215"/>
    </row>
    <row r="205" spans="2:13" s="211" customFormat="1" ht="72.75" customHeight="1" x14ac:dyDescent="0.2">
      <c r="B205" s="220"/>
      <c r="C205" s="203"/>
      <c r="D205" s="203"/>
      <c r="E205" s="204"/>
      <c r="F205" s="204"/>
      <c r="G205" s="204"/>
      <c r="H205" s="204"/>
      <c r="I205" s="205">
        <f t="shared" si="3"/>
        <v>0</v>
      </c>
      <c r="J205" s="206">
        <v>0</v>
      </c>
      <c r="K205" s="207">
        <f>+IF(J205=0,0,IF(J205="","",VLOOKUP(J205,'PLANTILLA '!$H$139:$I$216,2,0)))</f>
        <v>0</v>
      </c>
      <c r="L205" s="218"/>
      <c r="M205" s="215"/>
    </row>
    <row r="206" spans="2:13" s="211" customFormat="1" ht="72.75" customHeight="1" x14ac:dyDescent="0.2">
      <c r="B206" s="220"/>
      <c r="C206" s="203"/>
      <c r="D206" s="203"/>
      <c r="E206" s="204"/>
      <c r="F206" s="204"/>
      <c r="G206" s="204"/>
      <c r="H206" s="204"/>
      <c r="I206" s="205">
        <f t="shared" si="3"/>
        <v>0</v>
      </c>
      <c r="J206" s="206">
        <v>0</v>
      </c>
      <c r="K206" s="207">
        <f>+IF(J206=0,0,IF(J206="","",VLOOKUP(J206,'PLANTILLA '!$H$139:$I$216,2,0)))</f>
        <v>0</v>
      </c>
      <c r="L206" s="218"/>
      <c r="M206" s="215"/>
    </row>
    <row r="207" spans="2:13" s="211" customFormat="1" ht="72.75" customHeight="1" x14ac:dyDescent="0.2">
      <c r="B207" s="220"/>
      <c r="C207" s="203"/>
      <c r="D207" s="203"/>
      <c r="E207" s="204"/>
      <c r="F207" s="204"/>
      <c r="G207" s="204"/>
      <c r="H207" s="204"/>
      <c r="I207" s="205">
        <f t="shared" si="3"/>
        <v>0</v>
      </c>
      <c r="J207" s="206">
        <v>0</v>
      </c>
      <c r="K207" s="207">
        <f>+IF(J207=0,0,IF(J207="","",VLOOKUP(J207,'PLANTILLA '!$H$139:$I$216,2,0)))</f>
        <v>0</v>
      </c>
      <c r="L207" s="218"/>
      <c r="M207" s="215"/>
    </row>
    <row r="208" spans="2:13" s="211" customFormat="1" ht="72.75" customHeight="1" x14ac:dyDescent="0.2">
      <c r="B208" s="220"/>
      <c r="C208" s="203"/>
      <c r="D208" s="203"/>
      <c r="E208" s="204"/>
      <c r="F208" s="204"/>
      <c r="G208" s="204"/>
      <c r="H208" s="204"/>
      <c r="I208" s="205">
        <f t="shared" si="3"/>
        <v>0</v>
      </c>
      <c r="J208" s="206">
        <v>0</v>
      </c>
      <c r="K208" s="207">
        <f>+IF(J208=0,0,IF(J208="","",VLOOKUP(J208,'PLANTILLA '!$H$139:$I$216,2,0)))</f>
        <v>0</v>
      </c>
      <c r="L208" s="218"/>
      <c r="M208" s="215"/>
    </row>
    <row r="209" spans="2:18" s="211" customFormat="1" ht="72.75" customHeight="1" x14ac:dyDescent="0.2">
      <c r="B209" s="220"/>
      <c r="C209" s="203"/>
      <c r="D209" s="203"/>
      <c r="E209" s="204"/>
      <c r="F209" s="204"/>
      <c r="G209" s="204"/>
      <c r="H209" s="204"/>
      <c r="I209" s="205">
        <f t="shared" si="3"/>
        <v>0</v>
      </c>
      <c r="J209" s="206">
        <v>0</v>
      </c>
      <c r="K209" s="207">
        <f>+IF(J209=0,0,IF(J209="","",VLOOKUP(J209,'PLANTILLA '!$H$139:$I$216,2,0)))</f>
        <v>0</v>
      </c>
      <c r="L209" s="218"/>
      <c r="M209" s="215"/>
    </row>
    <row r="210" spans="2:18" s="211" customFormat="1" ht="72.75" customHeight="1" x14ac:dyDescent="0.2">
      <c r="B210" s="220"/>
      <c r="C210" s="203"/>
      <c r="D210" s="203"/>
      <c r="E210" s="204"/>
      <c r="F210" s="204"/>
      <c r="G210" s="204"/>
      <c r="H210" s="204"/>
      <c r="I210" s="205">
        <f t="shared" si="3"/>
        <v>0</v>
      </c>
      <c r="J210" s="206">
        <v>0</v>
      </c>
      <c r="K210" s="207">
        <f>+IF(J210=0,0,IF(J210="","",VLOOKUP(J210,'PLANTILLA '!$H$139:$I$216,2,0)))</f>
        <v>0</v>
      </c>
      <c r="L210" s="218"/>
      <c r="M210" s="215"/>
    </row>
    <row r="211" spans="2:18" s="211" customFormat="1" ht="72.75" customHeight="1" x14ac:dyDescent="0.2">
      <c r="B211" s="220"/>
      <c r="C211" s="203"/>
      <c r="D211" s="203"/>
      <c r="E211" s="204"/>
      <c r="F211" s="204"/>
      <c r="G211" s="204"/>
      <c r="H211" s="204"/>
      <c r="I211" s="205">
        <f t="shared" si="3"/>
        <v>0</v>
      </c>
      <c r="J211" s="206">
        <v>0</v>
      </c>
      <c r="K211" s="207">
        <f>+IF(J211=0,0,IF(J211="","",VLOOKUP(J211,'PLANTILLA '!$H$139:$I$216,2,0)))</f>
        <v>0</v>
      </c>
      <c r="L211" s="218"/>
      <c r="M211" s="215"/>
    </row>
    <row r="212" spans="2:18" s="211" customFormat="1" ht="72.75" customHeight="1" x14ac:dyDescent="0.2">
      <c r="B212" s="220"/>
      <c r="C212" s="203"/>
      <c r="D212" s="203"/>
      <c r="E212" s="204"/>
      <c r="F212" s="204"/>
      <c r="G212" s="204"/>
      <c r="H212" s="204"/>
      <c r="I212" s="205">
        <f t="shared" si="3"/>
        <v>0</v>
      </c>
      <c r="J212" s="206">
        <v>0</v>
      </c>
      <c r="K212" s="207">
        <f>+IF(J212=0,0,IF(J212="","",VLOOKUP(J212,'PLANTILLA '!$H$139:$I$216,2,0)))</f>
        <v>0</v>
      </c>
      <c r="L212" s="218"/>
      <c r="M212" s="215"/>
    </row>
    <row r="213" spans="2:18" s="211" customFormat="1" ht="72.75" customHeight="1" x14ac:dyDescent="0.2">
      <c r="B213" s="220"/>
      <c r="C213" s="203"/>
      <c r="D213" s="203"/>
      <c r="E213" s="204"/>
      <c r="F213" s="204"/>
      <c r="G213" s="204"/>
      <c r="H213" s="204"/>
      <c r="I213" s="205">
        <f t="shared" si="3"/>
        <v>0</v>
      </c>
      <c r="J213" s="206">
        <v>0</v>
      </c>
      <c r="K213" s="207">
        <f>+IF(J213=0,0,IF(J213="","",VLOOKUP(J213,'PLANTILLA '!$H$139:$I$216,2,0)))</f>
        <v>0</v>
      </c>
      <c r="L213" s="218"/>
      <c r="M213" s="215"/>
    </row>
    <row r="214" spans="2:18" s="211" customFormat="1" ht="72.75" customHeight="1" x14ac:dyDescent="0.2">
      <c r="B214" s="220"/>
      <c r="C214" s="203"/>
      <c r="D214" s="203"/>
      <c r="E214" s="204"/>
      <c r="F214" s="204"/>
      <c r="G214" s="204"/>
      <c r="H214" s="204"/>
      <c r="I214" s="205">
        <f t="shared" si="3"/>
        <v>0</v>
      </c>
      <c r="J214" s="206">
        <v>0</v>
      </c>
      <c r="K214" s="207">
        <f>+IF(J214=0,0,IF(J214="","",VLOOKUP(J214,'PLANTILLA '!$H$139:$I$216,2,0)))</f>
        <v>0</v>
      </c>
      <c r="L214" s="218"/>
      <c r="M214" s="215"/>
    </row>
    <row r="215" spans="2:18" s="211" customFormat="1" ht="72.75" customHeight="1" x14ac:dyDescent="0.2">
      <c r="B215" s="220"/>
      <c r="C215" s="203"/>
      <c r="D215" s="203"/>
      <c r="E215" s="204"/>
      <c r="F215" s="204"/>
      <c r="G215" s="204"/>
      <c r="H215" s="204"/>
      <c r="I215" s="205">
        <f t="shared" si="3"/>
        <v>0</v>
      </c>
      <c r="J215" s="206">
        <v>0</v>
      </c>
      <c r="K215" s="207">
        <f>+IF(J215=0,0,IF(J215="","",VLOOKUP(J215,'PLANTILLA '!$H$139:$I$216,2,0)))</f>
        <v>0</v>
      </c>
      <c r="L215" s="218"/>
      <c r="M215" s="215"/>
    </row>
    <row r="216" spans="2:18" ht="60" customHeight="1" thickBot="1" x14ac:dyDescent="0.3">
      <c r="B216" s="221"/>
      <c r="C216" s="221"/>
      <c r="D216" s="221"/>
      <c r="E216" s="222"/>
      <c r="F216" s="222"/>
      <c r="G216" s="222"/>
      <c r="H216" s="222"/>
      <c r="I216" s="406" t="s">
        <v>213</v>
      </c>
      <c r="J216" s="407"/>
      <c r="K216" s="223">
        <f>SUM(K83:K215)</f>
        <v>90797657</v>
      </c>
      <c r="L216" s="224"/>
      <c r="M216" s="225"/>
      <c r="N216" s="225"/>
      <c r="O216" s="225"/>
      <c r="P216" s="226"/>
    </row>
    <row r="217" spans="2:18" ht="33.200000000000003" customHeight="1" thickTop="1" thickBot="1" x14ac:dyDescent="0.25">
      <c r="F217" s="227"/>
      <c r="H217" s="3" t="s">
        <v>184</v>
      </c>
      <c r="L217" s="228" t="s">
        <v>184</v>
      </c>
      <c r="M217" s="225"/>
      <c r="N217" s="225"/>
      <c r="O217" s="225"/>
    </row>
    <row r="218" spans="2:18" ht="45" customHeight="1" thickBot="1" x14ac:dyDescent="0.3">
      <c r="B218" s="229"/>
      <c r="C218" s="230"/>
      <c r="D218" s="231"/>
      <c r="E218" s="408" t="s">
        <v>214</v>
      </c>
      <c r="F218" s="408"/>
      <c r="G218" s="408"/>
      <c r="H218" s="408"/>
      <c r="I218" s="409">
        <f>K216+G79+G80+M82</f>
        <v>541532631</v>
      </c>
      <c r="J218" s="409"/>
      <c r="K218" s="409"/>
      <c r="L218" s="409"/>
      <c r="M218" s="410"/>
      <c r="N218" s="410"/>
      <c r="O218" s="232"/>
      <c r="P218" s="232"/>
      <c r="Q218" s="233"/>
      <c r="R218" s="234"/>
    </row>
    <row r="219" spans="2:18" ht="11.85" customHeight="1" x14ac:dyDescent="0.2">
      <c r="B219" s="231"/>
      <c r="C219" s="231"/>
      <c r="D219" s="231"/>
      <c r="E219" s="411" t="s">
        <v>184</v>
      </c>
      <c r="F219" s="411"/>
      <c r="G219" s="411"/>
      <c r="H219" s="411"/>
      <c r="I219" s="411"/>
      <c r="J219" s="412"/>
      <c r="K219" s="412"/>
      <c r="L219" s="412"/>
    </row>
    <row r="220" spans="2:18" ht="26.1" customHeight="1" x14ac:dyDescent="0.2">
      <c r="H220" s="235"/>
      <c r="I220" s="236"/>
      <c r="J220" s="237"/>
      <c r="K220" s="238"/>
    </row>
    <row r="221" spans="2:18" ht="25.5" customHeight="1" x14ac:dyDescent="0.2">
      <c r="H221" s="235"/>
      <c r="I221" s="236"/>
      <c r="J221" s="237"/>
    </row>
    <row r="222" spans="2:18" ht="25.5" customHeight="1" x14ac:dyDescent="0.2">
      <c r="H222" s="235"/>
      <c r="I222" s="236"/>
      <c r="J222" s="237"/>
    </row>
    <row r="223" spans="2:18" ht="63" customHeight="1" x14ac:dyDescent="0.35">
      <c r="C223" s="415" t="s">
        <v>215</v>
      </c>
      <c r="D223" s="415"/>
      <c r="E223" s="416"/>
      <c r="F223" s="416"/>
    </row>
    <row r="224" spans="2:18" ht="40.700000000000003" customHeight="1" x14ac:dyDescent="0.35">
      <c r="C224" s="415" t="s">
        <v>216</v>
      </c>
      <c r="D224" s="415"/>
      <c r="E224" s="415" t="s">
        <v>217</v>
      </c>
      <c r="F224" s="415"/>
      <c r="J224" s="239"/>
      <c r="K224" s="239"/>
      <c r="M224" s="240"/>
    </row>
    <row r="225" spans="6:14" ht="38.450000000000003" customHeight="1" x14ac:dyDescent="0.35">
      <c r="L225" s="241"/>
    </row>
    <row r="226" spans="6:14" ht="26.1" customHeight="1" x14ac:dyDescent="0.45">
      <c r="F226" s="234"/>
      <c r="M226" s="242"/>
      <c r="N226" s="243"/>
    </row>
    <row r="227" spans="6:14" ht="26.1" customHeight="1" x14ac:dyDescent="0.35">
      <c r="K227" s="244"/>
    </row>
    <row r="228" spans="6:14" ht="26.1" customHeight="1" x14ac:dyDescent="0.2">
      <c r="J228" s="405"/>
      <c r="K228" s="405"/>
      <c r="L228" s="405"/>
      <c r="M228" s="405"/>
    </row>
    <row r="229" spans="6:14" ht="26.1" customHeight="1" x14ac:dyDescent="0.2">
      <c r="J229" s="245"/>
      <c r="K229" s="245"/>
      <c r="L229" s="99"/>
      <c r="M229" s="246"/>
    </row>
    <row r="230" spans="6:14" ht="26.1" customHeight="1" x14ac:dyDescent="0.2">
      <c r="J230" s="405"/>
      <c r="K230" s="405"/>
      <c r="L230" s="405"/>
      <c r="M230" s="405"/>
    </row>
    <row r="245" spans="7:7" ht="26.1" customHeight="1" x14ac:dyDescent="0.2">
      <c r="G245" s="3">
        <v>7850</v>
      </c>
    </row>
    <row r="65509" ht="12.75" customHeight="1" x14ac:dyDescent="0.2"/>
    <row r="65510" ht="12.75" customHeight="1" x14ac:dyDescent="0.2"/>
    <row r="65511" ht="12.75" customHeight="1" x14ac:dyDescent="0.2"/>
    <row r="65512" ht="12.75" customHeight="1" x14ac:dyDescent="0.2"/>
    <row r="65513" ht="12.75" customHeight="1" x14ac:dyDescent="0.2"/>
    <row r="65514" ht="12.75" customHeight="1" x14ac:dyDescent="0.2"/>
    <row r="65515" ht="12.75" customHeight="1" x14ac:dyDescent="0.2"/>
    <row r="65516" ht="12.75" customHeight="1" x14ac:dyDescent="0.2"/>
    <row r="65517" ht="12.75" customHeight="1" x14ac:dyDescent="0.2"/>
    <row r="65518" ht="12.75" customHeight="1" x14ac:dyDescent="0.2"/>
    <row r="65519" ht="12.75" customHeight="1" x14ac:dyDescent="0.2"/>
    <row r="65520" ht="12.75" customHeight="1" x14ac:dyDescent="0.2"/>
    <row r="65521" ht="12.75" customHeight="1" x14ac:dyDescent="0.2"/>
    <row r="65522" ht="12.75" customHeight="1" x14ac:dyDescent="0.2"/>
    <row r="65523" ht="12.75" customHeight="1" x14ac:dyDescent="0.2"/>
    <row r="65524" ht="12.75" customHeight="1" x14ac:dyDescent="0.2"/>
    <row r="65525" ht="12.75" customHeight="1" x14ac:dyDescent="0.2"/>
    <row r="65526" ht="12.75" customHeight="1" x14ac:dyDescent="0.2"/>
    <row r="65527" ht="12.75" customHeight="1" x14ac:dyDescent="0.2"/>
    <row r="65528" ht="12.75" customHeight="1" x14ac:dyDescent="0.2"/>
    <row r="65529" ht="12.75" customHeight="1" x14ac:dyDescent="0.2"/>
    <row r="65530" ht="12.75" customHeight="1" x14ac:dyDescent="0.2"/>
    <row r="65531" ht="12.75" customHeight="1" x14ac:dyDescent="0.2"/>
    <row r="65532" ht="12.75" customHeight="1" x14ac:dyDescent="0.2"/>
    <row r="65533" ht="12.75" customHeight="1" x14ac:dyDescent="0.2"/>
    <row r="65534" ht="12.75" customHeight="1" x14ac:dyDescent="0.2"/>
    <row r="65535" ht="12.75" customHeight="1" x14ac:dyDescent="0.2"/>
    <row r="65536" ht="12.75" customHeight="1" x14ac:dyDescent="0.2"/>
    <row r="65537" ht="12.75" customHeight="1" x14ac:dyDescent="0.2"/>
    <row r="65538" ht="12.75" customHeight="1" x14ac:dyDescent="0.2"/>
    <row r="65539" ht="12.75" customHeight="1" x14ac:dyDescent="0.2"/>
    <row r="65540" ht="12.75" customHeight="1" x14ac:dyDescent="0.2"/>
    <row r="65541" ht="12.75" customHeight="1" x14ac:dyDescent="0.2"/>
    <row r="65542" ht="12.75" customHeight="1" x14ac:dyDescent="0.2"/>
    <row r="65543" ht="12.75" customHeight="1" x14ac:dyDescent="0.2"/>
    <row r="65544" ht="12.75" customHeight="1" x14ac:dyDescent="0.2"/>
    <row r="65545" ht="12.75" customHeight="1" x14ac:dyDescent="0.2"/>
    <row r="65546" ht="12.75" customHeight="1" x14ac:dyDescent="0.2"/>
    <row r="65547" ht="12.75" customHeight="1" x14ac:dyDescent="0.2"/>
    <row r="65548" ht="12.75" customHeight="1" x14ac:dyDescent="0.2"/>
    <row r="65549" ht="12.75" customHeight="1" x14ac:dyDescent="0.2"/>
    <row r="65550" ht="12.75" customHeight="1" x14ac:dyDescent="0.2"/>
    <row r="65551" ht="12.75" customHeight="1" x14ac:dyDescent="0.2"/>
    <row r="65552" ht="12.75" customHeight="1" x14ac:dyDescent="0.2"/>
    <row r="65553" ht="12.75" customHeight="1" x14ac:dyDescent="0.2"/>
    <row r="65554" ht="12.75" customHeight="1" x14ac:dyDescent="0.2"/>
    <row r="65555" ht="12.75" customHeight="1" x14ac:dyDescent="0.2"/>
    <row r="65556" ht="12.75" customHeight="1" x14ac:dyDescent="0.2"/>
    <row r="65557" ht="12.75" customHeight="1" x14ac:dyDescent="0.2"/>
    <row r="65558" ht="12.75" customHeight="1" x14ac:dyDescent="0.2"/>
    <row r="65559" ht="12.75" customHeight="1" x14ac:dyDescent="0.2"/>
    <row r="65560" ht="12.75" customHeight="1" x14ac:dyDescent="0.2"/>
    <row r="65561" ht="12.75" customHeight="1" x14ac:dyDescent="0.2"/>
    <row r="65562" ht="12.75" customHeight="1" x14ac:dyDescent="0.2"/>
    <row r="65563" ht="12.75" customHeight="1" x14ac:dyDescent="0.2"/>
    <row r="65564" ht="12.75" customHeight="1" x14ac:dyDescent="0.2"/>
    <row r="65565" ht="12.75" customHeight="1" x14ac:dyDescent="0.2"/>
    <row r="65566" ht="12.75" customHeight="1" x14ac:dyDescent="0.2"/>
    <row r="65567" ht="12.75" customHeight="1" x14ac:dyDescent="0.2"/>
    <row r="65568" ht="12.75" customHeight="1" x14ac:dyDescent="0.2"/>
    <row r="65569" ht="12.75" customHeight="1" x14ac:dyDescent="0.2"/>
    <row r="65570" ht="12.75" customHeight="1" x14ac:dyDescent="0.2"/>
    <row r="65571" ht="12.75" customHeight="1" x14ac:dyDescent="0.2"/>
    <row r="65572" ht="12.75" customHeight="1" x14ac:dyDescent="0.2"/>
    <row r="65573" ht="12.75" customHeight="1" x14ac:dyDescent="0.2"/>
    <row r="65574" ht="12.75" customHeight="1" x14ac:dyDescent="0.2"/>
    <row r="65575" ht="12.75" customHeight="1" x14ac:dyDescent="0.2"/>
    <row r="65576" ht="12.75" customHeight="1" x14ac:dyDescent="0.2"/>
    <row r="65577" ht="12.75" customHeight="1" x14ac:dyDescent="0.2"/>
    <row r="65578" ht="12.75" customHeight="1" x14ac:dyDescent="0.2"/>
    <row r="65579" ht="12.75" customHeight="1" x14ac:dyDescent="0.2"/>
    <row r="65580" ht="12.75" customHeight="1" x14ac:dyDescent="0.2"/>
    <row r="65581" ht="12.75" customHeight="1" x14ac:dyDescent="0.2"/>
    <row r="65582" ht="12.75" customHeight="1" x14ac:dyDescent="0.2"/>
    <row r="65583" ht="12.75" customHeight="1" x14ac:dyDescent="0.2"/>
    <row r="65584" ht="12.75" customHeight="1" x14ac:dyDescent="0.2"/>
    <row r="65585" ht="12.75" customHeight="1" x14ac:dyDescent="0.2"/>
    <row r="65586" ht="12.75" customHeight="1" x14ac:dyDescent="0.2"/>
    <row r="65587" ht="12.75" customHeight="1" x14ac:dyDescent="0.2"/>
    <row r="65588" ht="12.75" customHeight="1" x14ac:dyDescent="0.2"/>
    <row r="65589" ht="12.75" customHeight="1" x14ac:dyDescent="0.2"/>
    <row r="65590" ht="12.75" customHeight="1" x14ac:dyDescent="0.2"/>
    <row r="65591" ht="12.75" customHeight="1" x14ac:dyDescent="0.2"/>
    <row r="65592" ht="12.75" customHeight="1" x14ac:dyDescent="0.2"/>
    <row r="65593" ht="12.75" customHeight="1" x14ac:dyDescent="0.2"/>
    <row r="65594" ht="12.75" customHeight="1" x14ac:dyDescent="0.2"/>
    <row r="65595" ht="12.75" customHeight="1" x14ac:dyDescent="0.2"/>
    <row r="65596" ht="12.75" customHeight="1" x14ac:dyDescent="0.2"/>
    <row r="65597" ht="12.75" customHeight="1" x14ac:dyDescent="0.2"/>
    <row r="65598" ht="12.75" customHeight="1" x14ac:dyDescent="0.2"/>
    <row r="65599" ht="12.75" customHeight="1" x14ac:dyDescent="0.2"/>
    <row r="65600" ht="12.75" customHeight="1" x14ac:dyDescent="0.2"/>
    <row r="65601" ht="12.75" customHeight="1" x14ac:dyDescent="0.2"/>
    <row r="65602" ht="12.75" customHeight="1" x14ac:dyDescent="0.2"/>
    <row r="65603" ht="12.75" customHeight="1" x14ac:dyDescent="0.2"/>
    <row r="65604" ht="12.75" customHeight="1" x14ac:dyDescent="0.2"/>
    <row r="65605" ht="12.75" customHeight="1" x14ac:dyDescent="0.2"/>
    <row r="65606" ht="12.75" customHeight="1" x14ac:dyDescent="0.2"/>
    <row r="65607" ht="12.75" customHeight="1" x14ac:dyDescent="0.2"/>
    <row r="65608" ht="12.75" customHeight="1" x14ac:dyDescent="0.2"/>
    <row r="65609" ht="12.75" customHeight="1" x14ac:dyDescent="0.2"/>
    <row r="65610" ht="12.75" customHeight="1" x14ac:dyDescent="0.2"/>
    <row r="65611" ht="12.75" customHeight="1" x14ac:dyDescent="0.2"/>
    <row r="65612" ht="12.75" customHeight="1" x14ac:dyDescent="0.2"/>
    <row r="65613" ht="12.75" customHeight="1" x14ac:dyDescent="0.2"/>
    <row r="65614" ht="12.75" customHeight="1" x14ac:dyDescent="0.2"/>
    <row r="65615" ht="12.75" customHeight="1" x14ac:dyDescent="0.2"/>
    <row r="65616" ht="12.75" customHeight="1" x14ac:dyDescent="0.2"/>
    <row r="65617" ht="12.75" customHeight="1" x14ac:dyDescent="0.2"/>
    <row r="65618" ht="12.75" customHeight="1" x14ac:dyDescent="0.2"/>
    <row r="65619" ht="12.75" customHeight="1" x14ac:dyDescent="0.2"/>
  </sheetData>
  <sheetProtection selectLockedCells="1" selectUnlockedCells="1"/>
  <autoFilter ref="G82:G219" xr:uid="{15E69909-782A-7246-A988-9E55967058A4}"/>
  <mergeCells count="55">
    <mergeCell ref="B81:K81"/>
    <mergeCell ref="C223:D223"/>
    <mergeCell ref="E223:F223"/>
    <mergeCell ref="C224:D224"/>
    <mergeCell ref="E224:F224"/>
    <mergeCell ref="J230:M230"/>
    <mergeCell ref="I216:J216"/>
    <mergeCell ref="E218:H218"/>
    <mergeCell ref="I218:L218"/>
    <mergeCell ref="M218:N218"/>
    <mergeCell ref="E219:I219"/>
    <mergeCell ref="J219:L219"/>
    <mergeCell ref="J228:M228"/>
    <mergeCell ref="K72:K75"/>
    <mergeCell ref="L73:L74"/>
    <mergeCell ref="M73:M74"/>
    <mergeCell ref="G79:J79"/>
    <mergeCell ref="G80:J80"/>
    <mergeCell ref="M64:M65"/>
    <mergeCell ref="B68:J68"/>
    <mergeCell ref="K68:K71"/>
    <mergeCell ref="K45:K48"/>
    <mergeCell ref="L46:L47"/>
    <mergeCell ref="M46:M47"/>
    <mergeCell ref="B50:J50"/>
    <mergeCell ref="K50:K53"/>
    <mergeCell ref="K54:K57"/>
    <mergeCell ref="L55:L56"/>
    <mergeCell ref="M55:M56"/>
    <mergeCell ref="B59:J59"/>
    <mergeCell ref="K59:K62"/>
    <mergeCell ref="K63:K66"/>
    <mergeCell ref="L64:L65"/>
    <mergeCell ref="B41:J41"/>
    <mergeCell ref="K41:K44"/>
    <mergeCell ref="K18:K21"/>
    <mergeCell ref="L19:L20"/>
    <mergeCell ref="M19:M20"/>
    <mergeCell ref="B23:J23"/>
    <mergeCell ref="K23:K26"/>
    <mergeCell ref="K27:K30"/>
    <mergeCell ref="L28:L29"/>
    <mergeCell ref="M28:M29"/>
    <mergeCell ref="B32:J32"/>
    <mergeCell ref="K32:K35"/>
    <mergeCell ref="K36:K39"/>
    <mergeCell ref="L37:L38"/>
    <mergeCell ref="M37:M38"/>
    <mergeCell ref="B14:J14"/>
    <mergeCell ref="K14:K17"/>
    <mergeCell ref="B1:J1"/>
    <mergeCell ref="B2:J2"/>
    <mergeCell ref="B5:J5"/>
    <mergeCell ref="K5:K8"/>
    <mergeCell ref="K9:K12"/>
  </mergeCells>
  <phoneticPr fontId="66" type="noConversion"/>
  <dataValidations count="3">
    <dataValidation type="time" operator="greaterThanOrEqual" allowBlank="1" showInputMessage="1" showErrorMessage="1" sqref="C83:D107 C113:D119 C122:D138 C160:D215" xr:uid="{CC4184C3-F829-0948-8D56-FD56A757D488}">
      <formula1>0</formula1>
    </dataValidation>
    <dataValidation type="list" allowBlank="1" showInputMessage="1" showErrorMessage="1" sqref="I220:I222" xr:uid="{9F653975-33B2-E74E-8A64-A101189AE893}">
      <formula1>$E$255:$E$258</formula1>
    </dataValidation>
    <dataValidation type="list" allowBlank="1" showInputMessage="1" showErrorMessage="1" sqref="H220:H222" xr:uid="{47D4FABF-50E3-A447-B6B0-2B5ABEFBD8BF}">
      <formula1>$I$254:$I$296</formula1>
    </dataValidation>
  </dataValidations>
  <pageMargins left="0.39374999999999999" right="0.39374999999999999" top="0.63124999999999998" bottom="0.63124999999999998" header="0.39374999999999999" footer="0.39374999999999999"/>
  <pageSetup paperSize="14" scale="10" firstPageNumber="0" orientation="landscape" horizontalDpi="300" verticalDpi="300" r:id="rId1"/>
  <headerFooter alignWithMargins="0">
    <oddHeader>&amp;C&amp;A</oddHeader>
    <oddFooter>&amp;CPágina &amp;P</oddFooter>
  </headerFooter>
  <drawing r:id="rId2"/>
  <extLst>
    <ext xmlns:x14="http://schemas.microsoft.com/office/spreadsheetml/2009/9/main" uri="{CCE6A557-97BC-4b89-ADB6-D9C93CAAB3DF}">
      <x14:dataValidations xmlns:xm="http://schemas.microsoft.com/office/excel/2006/main" count="2">
        <x14:dataValidation type="list" allowBlank="1" showInputMessage="1" showErrorMessage="1" xr:uid="{B660A31F-F3B7-4E98-9E0B-4BF1D3A00E78}">
          <x14:formula1>
            <xm:f>'PLANTILLA '!$H$139:$H$222</xm:f>
          </x14:formula1>
          <xm:sqref>J83:J161</xm:sqref>
        </x14:dataValidation>
        <x14:dataValidation type="list" allowBlank="1" showInputMessage="1" showErrorMessage="1" xr:uid="{9F365406-2A09-6E43-A965-3F60D8C9ED90}">
          <x14:formula1>
            <xm:f>'PLANTILLA '!$H$139:$H$226</xm:f>
          </x14:formula1>
          <xm:sqref>J162:J215</xm:sqref>
        </x14:dataValidation>
      </x14:dataValidations>
    </ext>
  </extLst>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F37281-980D-D948-B1E7-9E88CF0AD30B}">
  <sheetPr>
    <tabColor rgb="FF00B050"/>
  </sheetPr>
  <dimension ref="A1:AE222"/>
  <sheetViews>
    <sheetView view="pageBreakPreview" topLeftCell="D1" zoomScale="140" zoomScaleNormal="59" zoomScaleSheetLayoutView="140" workbookViewId="0">
      <selection activeCell="E71" sqref="E71"/>
    </sheetView>
  </sheetViews>
  <sheetFormatPr baseColWidth="10" defaultColWidth="11.42578125" defaultRowHeight="12.75" x14ac:dyDescent="0.2"/>
  <cols>
    <col min="1" max="1" width="43.140625" style="3" customWidth="1"/>
    <col min="2" max="2" width="27.42578125" style="3" customWidth="1"/>
    <col min="3" max="3" width="20.85546875" style="3" customWidth="1"/>
    <col min="4" max="4" width="33.42578125" style="3" customWidth="1"/>
    <col min="5" max="5" width="28.7109375" style="3" customWidth="1"/>
    <col min="6" max="6" width="54.42578125" style="3" customWidth="1"/>
    <col min="7" max="7" width="52.85546875" style="3" customWidth="1"/>
    <col min="8" max="8" width="21.7109375" style="3" customWidth="1"/>
    <col min="9" max="9" width="28.140625" style="3" customWidth="1"/>
    <col min="10" max="10" width="64.85546875" style="3" customWidth="1"/>
    <col min="11" max="11" width="17.28515625" style="3" customWidth="1"/>
    <col min="12" max="12" width="18.140625" style="3" customWidth="1"/>
    <col min="13" max="13" width="20.85546875" style="3" customWidth="1"/>
    <col min="14" max="14" width="25.7109375" style="3" customWidth="1"/>
    <col min="15" max="15" width="43.42578125" style="301" customWidth="1"/>
    <col min="16" max="16" width="29.28515625" style="3" customWidth="1"/>
    <col min="17" max="17" width="23.85546875" style="3" customWidth="1"/>
    <col min="18" max="18" width="18.140625" style="3" customWidth="1"/>
    <col min="19" max="19" width="35.42578125" style="3" customWidth="1"/>
    <col min="20" max="20" width="20.28515625" style="3" customWidth="1"/>
    <col min="21" max="21" width="19" style="3" customWidth="1"/>
    <col min="22" max="23" width="25.42578125" style="3" customWidth="1"/>
    <col min="24" max="24" width="42.7109375" style="3" customWidth="1"/>
    <col min="25" max="25" width="22" style="3" customWidth="1"/>
    <col min="26" max="26" width="86.42578125" style="3" customWidth="1"/>
    <col min="27" max="27" width="43.140625" style="3" customWidth="1"/>
    <col min="28" max="29" width="11.42578125" style="3"/>
    <col min="30" max="30" width="14.42578125" style="3" customWidth="1"/>
    <col min="31" max="31" width="20" style="3" customWidth="1"/>
    <col min="32" max="264" width="11.42578125" style="3"/>
    <col min="265" max="265" width="43.7109375" style="3" customWidth="1"/>
    <col min="266" max="266" width="18.28515625" style="3" customWidth="1"/>
    <col min="267" max="267" width="35.42578125" style="3" customWidth="1"/>
    <col min="268" max="268" width="56.42578125" style="3" customWidth="1"/>
    <col min="269" max="269" width="121.28515625" style="3" customWidth="1"/>
    <col min="270" max="270" width="6" style="3" customWidth="1"/>
    <col min="271" max="271" width="33.42578125" style="3" customWidth="1"/>
    <col min="272" max="272" width="14.28515625" style="3" customWidth="1"/>
    <col min="273" max="273" width="12.7109375" style="3" customWidth="1"/>
    <col min="274" max="274" width="20.85546875" style="3" customWidth="1"/>
    <col min="275" max="275" width="16" style="3" customWidth="1"/>
    <col min="276" max="276" width="5.85546875" style="3" customWidth="1"/>
    <col min="277" max="277" width="35.42578125" style="3" customWidth="1"/>
    <col min="278" max="278" width="17.42578125" style="3" customWidth="1"/>
    <col min="279" max="279" width="14.140625" style="3" customWidth="1"/>
    <col min="280" max="280" width="22" style="3" customWidth="1"/>
    <col min="281" max="282" width="11.42578125" style="3"/>
    <col min="283" max="283" width="22.42578125" style="3" customWidth="1"/>
    <col min="284" max="285" width="11.42578125" style="3"/>
    <col min="286" max="286" width="14.42578125" style="3" customWidth="1"/>
    <col min="287" max="287" width="20" style="3" customWidth="1"/>
    <col min="288" max="520" width="11.42578125" style="3"/>
    <col min="521" max="521" width="43.7109375" style="3" customWidth="1"/>
    <col min="522" max="522" width="18.28515625" style="3" customWidth="1"/>
    <col min="523" max="523" width="35.42578125" style="3" customWidth="1"/>
    <col min="524" max="524" width="56.42578125" style="3" customWidth="1"/>
    <col min="525" max="525" width="121.28515625" style="3" customWidth="1"/>
    <col min="526" max="526" width="6" style="3" customWidth="1"/>
    <col min="527" max="527" width="33.42578125" style="3" customWidth="1"/>
    <col min="528" max="528" width="14.28515625" style="3" customWidth="1"/>
    <col min="529" max="529" width="12.7109375" style="3" customWidth="1"/>
    <col min="530" max="530" width="20.85546875" style="3" customWidth="1"/>
    <col min="531" max="531" width="16" style="3" customWidth="1"/>
    <col min="532" max="532" width="5.85546875" style="3" customWidth="1"/>
    <col min="533" max="533" width="35.42578125" style="3" customWidth="1"/>
    <col min="534" max="534" width="17.42578125" style="3" customWidth="1"/>
    <col min="535" max="535" width="14.140625" style="3" customWidth="1"/>
    <col min="536" max="536" width="22" style="3" customWidth="1"/>
    <col min="537" max="538" width="11.42578125" style="3"/>
    <col min="539" max="539" width="22.42578125" style="3" customWidth="1"/>
    <col min="540" max="541" width="11.42578125" style="3"/>
    <col min="542" max="542" width="14.42578125" style="3" customWidth="1"/>
    <col min="543" max="543" width="20" style="3" customWidth="1"/>
    <col min="544" max="776" width="11.42578125" style="3"/>
    <col min="777" max="777" width="43.7109375" style="3" customWidth="1"/>
    <col min="778" max="778" width="18.28515625" style="3" customWidth="1"/>
    <col min="779" max="779" width="35.42578125" style="3" customWidth="1"/>
    <col min="780" max="780" width="56.42578125" style="3" customWidth="1"/>
    <col min="781" max="781" width="121.28515625" style="3" customWidth="1"/>
    <col min="782" max="782" width="6" style="3" customWidth="1"/>
    <col min="783" max="783" width="33.42578125" style="3" customWidth="1"/>
    <col min="784" max="784" width="14.28515625" style="3" customWidth="1"/>
    <col min="785" max="785" width="12.7109375" style="3" customWidth="1"/>
    <col min="786" max="786" width="20.85546875" style="3" customWidth="1"/>
    <col min="787" max="787" width="16" style="3" customWidth="1"/>
    <col min="788" max="788" width="5.85546875" style="3" customWidth="1"/>
    <col min="789" max="789" width="35.42578125" style="3" customWidth="1"/>
    <col min="790" max="790" width="17.42578125" style="3" customWidth="1"/>
    <col min="791" max="791" width="14.140625" style="3" customWidth="1"/>
    <col min="792" max="792" width="22" style="3" customWidth="1"/>
    <col min="793" max="794" width="11.42578125" style="3"/>
    <col min="795" max="795" width="22.42578125" style="3" customWidth="1"/>
    <col min="796" max="797" width="11.42578125" style="3"/>
    <col min="798" max="798" width="14.42578125" style="3" customWidth="1"/>
    <col min="799" max="799" width="20" style="3" customWidth="1"/>
    <col min="800" max="1032" width="11.42578125" style="3"/>
    <col min="1033" max="1033" width="43.7109375" style="3" customWidth="1"/>
    <col min="1034" max="1034" width="18.28515625" style="3" customWidth="1"/>
    <col min="1035" max="1035" width="35.42578125" style="3" customWidth="1"/>
    <col min="1036" max="1036" width="56.42578125" style="3" customWidth="1"/>
    <col min="1037" max="1037" width="121.28515625" style="3" customWidth="1"/>
    <col min="1038" max="1038" width="6" style="3" customWidth="1"/>
    <col min="1039" max="1039" width="33.42578125" style="3" customWidth="1"/>
    <col min="1040" max="1040" width="14.28515625" style="3" customWidth="1"/>
    <col min="1041" max="1041" width="12.7109375" style="3" customWidth="1"/>
    <col min="1042" max="1042" width="20.85546875" style="3" customWidth="1"/>
    <col min="1043" max="1043" width="16" style="3" customWidth="1"/>
    <col min="1044" max="1044" width="5.85546875" style="3" customWidth="1"/>
    <col min="1045" max="1045" width="35.42578125" style="3" customWidth="1"/>
    <col min="1046" max="1046" width="17.42578125" style="3" customWidth="1"/>
    <col min="1047" max="1047" width="14.140625" style="3" customWidth="1"/>
    <col min="1048" max="1048" width="22" style="3" customWidth="1"/>
    <col min="1049" max="1050" width="11.42578125" style="3"/>
    <col min="1051" max="1051" width="22.42578125" style="3" customWidth="1"/>
    <col min="1052" max="1053" width="11.42578125" style="3"/>
    <col min="1054" max="1054" width="14.42578125" style="3" customWidth="1"/>
    <col min="1055" max="1055" width="20" style="3" customWidth="1"/>
    <col min="1056" max="1288" width="11.42578125" style="3"/>
    <col min="1289" max="1289" width="43.7109375" style="3" customWidth="1"/>
    <col min="1290" max="1290" width="18.28515625" style="3" customWidth="1"/>
    <col min="1291" max="1291" width="35.42578125" style="3" customWidth="1"/>
    <col min="1292" max="1292" width="56.42578125" style="3" customWidth="1"/>
    <col min="1293" max="1293" width="121.28515625" style="3" customWidth="1"/>
    <col min="1294" max="1294" width="6" style="3" customWidth="1"/>
    <col min="1295" max="1295" width="33.42578125" style="3" customWidth="1"/>
    <col min="1296" max="1296" width="14.28515625" style="3" customWidth="1"/>
    <col min="1297" max="1297" width="12.7109375" style="3" customWidth="1"/>
    <col min="1298" max="1298" width="20.85546875" style="3" customWidth="1"/>
    <col min="1299" max="1299" width="16" style="3" customWidth="1"/>
    <col min="1300" max="1300" width="5.85546875" style="3" customWidth="1"/>
    <col min="1301" max="1301" width="35.42578125" style="3" customWidth="1"/>
    <col min="1302" max="1302" width="17.42578125" style="3" customWidth="1"/>
    <col min="1303" max="1303" width="14.140625" style="3" customWidth="1"/>
    <col min="1304" max="1304" width="22" style="3" customWidth="1"/>
    <col min="1305" max="1306" width="11.42578125" style="3"/>
    <col min="1307" max="1307" width="22.42578125" style="3" customWidth="1"/>
    <col min="1308" max="1309" width="11.42578125" style="3"/>
    <col min="1310" max="1310" width="14.42578125" style="3" customWidth="1"/>
    <col min="1311" max="1311" width="20" style="3" customWidth="1"/>
    <col min="1312" max="1544" width="11.42578125" style="3"/>
    <col min="1545" max="1545" width="43.7109375" style="3" customWidth="1"/>
    <col min="1546" max="1546" width="18.28515625" style="3" customWidth="1"/>
    <col min="1547" max="1547" width="35.42578125" style="3" customWidth="1"/>
    <col min="1548" max="1548" width="56.42578125" style="3" customWidth="1"/>
    <col min="1549" max="1549" width="121.28515625" style="3" customWidth="1"/>
    <col min="1550" max="1550" width="6" style="3" customWidth="1"/>
    <col min="1551" max="1551" width="33.42578125" style="3" customWidth="1"/>
    <col min="1552" max="1552" width="14.28515625" style="3" customWidth="1"/>
    <col min="1553" max="1553" width="12.7109375" style="3" customWidth="1"/>
    <col min="1554" max="1554" width="20.85546875" style="3" customWidth="1"/>
    <col min="1555" max="1555" width="16" style="3" customWidth="1"/>
    <col min="1556" max="1556" width="5.85546875" style="3" customWidth="1"/>
    <col min="1557" max="1557" width="35.42578125" style="3" customWidth="1"/>
    <col min="1558" max="1558" width="17.42578125" style="3" customWidth="1"/>
    <col min="1559" max="1559" width="14.140625" style="3" customWidth="1"/>
    <col min="1560" max="1560" width="22" style="3" customWidth="1"/>
    <col min="1561" max="1562" width="11.42578125" style="3"/>
    <col min="1563" max="1563" width="22.42578125" style="3" customWidth="1"/>
    <col min="1564" max="1565" width="11.42578125" style="3"/>
    <col min="1566" max="1566" width="14.42578125" style="3" customWidth="1"/>
    <col min="1567" max="1567" width="20" style="3" customWidth="1"/>
    <col min="1568" max="1800" width="11.42578125" style="3"/>
    <col min="1801" max="1801" width="43.7109375" style="3" customWidth="1"/>
    <col min="1802" max="1802" width="18.28515625" style="3" customWidth="1"/>
    <col min="1803" max="1803" width="35.42578125" style="3" customWidth="1"/>
    <col min="1804" max="1804" width="56.42578125" style="3" customWidth="1"/>
    <col min="1805" max="1805" width="121.28515625" style="3" customWidth="1"/>
    <col min="1806" max="1806" width="6" style="3" customWidth="1"/>
    <col min="1807" max="1807" width="33.42578125" style="3" customWidth="1"/>
    <col min="1808" max="1808" width="14.28515625" style="3" customWidth="1"/>
    <col min="1809" max="1809" width="12.7109375" style="3" customWidth="1"/>
    <col min="1810" max="1810" width="20.85546875" style="3" customWidth="1"/>
    <col min="1811" max="1811" width="16" style="3" customWidth="1"/>
    <col min="1812" max="1812" width="5.85546875" style="3" customWidth="1"/>
    <col min="1813" max="1813" width="35.42578125" style="3" customWidth="1"/>
    <col min="1814" max="1814" width="17.42578125" style="3" customWidth="1"/>
    <col min="1815" max="1815" width="14.140625" style="3" customWidth="1"/>
    <col min="1816" max="1816" width="22" style="3" customWidth="1"/>
    <col min="1817" max="1818" width="11.42578125" style="3"/>
    <col min="1819" max="1819" width="22.42578125" style="3" customWidth="1"/>
    <col min="1820" max="1821" width="11.42578125" style="3"/>
    <col min="1822" max="1822" width="14.42578125" style="3" customWidth="1"/>
    <col min="1823" max="1823" width="20" style="3" customWidth="1"/>
    <col min="1824" max="2056" width="11.42578125" style="3"/>
    <col min="2057" max="2057" width="43.7109375" style="3" customWidth="1"/>
    <col min="2058" max="2058" width="18.28515625" style="3" customWidth="1"/>
    <col min="2059" max="2059" width="35.42578125" style="3" customWidth="1"/>
    <col min="2060" max="2060" width="56.42578125" style="3" customWidth="1"/>
    <col min="2061" max="2061" width="121.28515625" style="3" customWidth="1"/>
    <col min="2062" max="2062" width="6" style="3" customWidth="1"/>
    <col min="2063" max="2063" width="33.42578125" style="3" customWidth="1"/>
    <col min="2064" max="2064" width="14.28515625" style="3" customWidth="1"/>
    <col min="2065" max="2065" width="12.7109375" style="3" customWidth="1"/>
    <col min="2066" max="2066" width="20.85546875" style="3" customWidth="1"/>
    <col min="2067" max="2067" width="16" style="3" customWidth="1"/>
    <col min="2068" max="2068" width="5.85546875" style="3" customWidth="1"/>
    <col min="2069" max="2069" width="35.42578125" style="3" customWidth="1"/>
    <col min="2070" max="2070" width="17.42578125" style="3" customWidth="1"/>
    <col min="2071" max="2071" width="14.140625" style="3" customWidth="1"/>
    <col min="2072" max="2072" width="22" style="3" customWidth="1"/>
    <col min="2073" max="2074" width="11.42578125" style="3"/>
    <col min="2075" max="2075" width="22.42578125" style="3" customWidth="1"/>
    <col min="2076" max="2077" width="11.42578125" style="3"/>
    <col min="2078" max="2078" width="14.42578125" style="3" customWidth="1"/>
    <col min="2079" max="2079" width="20" style="3" customWidth="1"/>
    <col min="2080" max="2312" width="11.42578125" style="3"/>
    <col min="2313" max="2313" width="43.7109375" style="3" customWidth="1"/>
    <col min="2314" max="2314" width="18.28515625" style="3" customWidth="1"/>
    <col min="2315" max="2315" width="35.42578125" style="3" customWidth="1"/>
    <col min="2316" max="2316" width="56.42578125" style="3" customWidth="1"/>
    <col min="2317" max="2317" width="121.28515625" style="3" customWidth="1"/>
    <col min="2318" max="2318" width="6" style="3" customWidth="1"/>
    <col min="2319" max="2319" width="33.42578125" style="3" customWidth="1"/>
    <col min="2320" max="2320" width="14.28515625" style="3" customWidth="1"/>
    <col min="2321" max="2321" width="12.7109375" style="3" customWidth="1"/>
    <col min="2322" max="2322" width="20.85546875" style="3" customWidth="1"/>
    <col min="2323" max="2323" width="16" style="3" customWidth="1"/>
    <col min="2324" max="2324" width="5.85546875" style="3" customWidth="1"/>
    <col min="2325" max="2325" width="35.42578125" style="3" customWidth="1"/>
    <col min="2326" max="2326" width="17.42578125" style="3" customWidth="1"/>
    <col min="2327" max="2327" width="14.140625" style="3" customWidth="1"/>
    <col min="2328" max="2328" width="22" style="3" customWidth="1"/>
    <col min="2329" max="2330" width="11.42578125" style="3"/>
    <col min="2331" max="2331" width="22.42578125" style="3" customWidth="1"/>
    <col min="2332" max="2333" width="11.42578125" style="3"/>
    <col min="2334" max="2334" width="14.42578125" style="3" customWidth="1"/>
    <col min="2335" max="2335" width="20" style="3" customWidth="1"/>
    <col min="2336" max="2568" width="11.42578125" style="3"/>
    <col min="2569" max="2569" width="43.7109375" style="3" customWidth="1"/>
    <col min="2570" max="2570" width="18.28515625" style="3" customWidth="1"/>
    <col min="2571" max="2571" width="35.42578125" style="3" customWidth="1"/>
    <col min="2572" max="2572" width="56.42578125" style="3" customWidth="1"/>
    <col min="2573" max="2573" width="121.28515625" style="3" customWidth="1"/>
    <col min="2574" max="2574" width="6" style="3" customWidth="1"/>
    <col min="2575" max="2575" width="33.42578125" style="3" customWidth="1"/>
    <col min="2576" max="2576" width="14.28515625" style="3" customWidth="1"/>
    <col min="2577" max="2577" width="12.7109375" style="3" customWidth="1"/>
    <col min="2578" max="2578" width="20.85546875" style="3" customWidth="1"/>
    <col min="2579" max="2579" width="16" style="3" customWidth="1"/>
    <col min="2580" max="2580" width="5.85546875" style="3" customWidth="1"/>
    <col min="2581" max="2581" width="35.42578125" style="3" customWidth="1"/>
    <col min="2582" max="2582" width="17.42578125" style="3" customWidth="1"/>
    <col min="2583" max="2583" width="14.140625" style="3" customWidth="1"/>
    <col min="2584" max="2584" width="22" style="3" customWidth="1"/>
    <col min="2585" max="2586" width="11.42578125" style="3"/>
    <col min="2587" max="2587" width="22.42578125" style="3" customWidth="1"/>
    <col min="2588" max="2589" width="11.42578125" style="3"/>
    <col min="2590" max="2590" width="14.42578125" style="3" customWidth="1"/>
    <col min="2591" max="2591" width="20" style="3" customWidth="1"/>
    <col min="2592" max="2824" width="11.42578125" style="3"/>
    <col min="2825" max="2825" width="43.7109375" style="3" customWidth="1"/>
    <col min="2826" max="2826" width="18.28515625" style="3" customWidth="1"/>
    <col min="2827" max="2827" width="35.42578125" style="3" customWidth="1"/>
    <col min="2828" max="2828" width="56.42578125" style="3" customWidth="1"/>
    <col min="2829" max="2829" width="121.28515625" style="3" customWidth="1"/>
    <col min="2830" max="2830" width="6" style="3" customWidth="1"/>
    <col min="2831" max="2831" width="33.42578125" style="3" customWidth="1"/>
    <col min="2832" max="2832" width="14.28515625" style="3" customWidth="1"/>
    <col min="2833" max="2833" width="12.7109375" style="3" customWidth="1"/>
    <col min="2834" max="2834" width="20.85546875" style="3" customWidth="1"/>
    <col min="2835" max="2835" width="16" style="3" customWidth="1"/>
    <col min="2836" max="2836" width="5.85546875" style="3" customWidth="1"/>
    <col min="2837" max="2837" width="35.42578125" style="3" customWidth="1"/>
    <col min="2838" max="2838" width="17.42578125" style="3" customWidth="1"/>
    <col min="2839" max="2839" width="14.140625" style="3" customWidth="1"/>
    <col min="2840" max="2840" width="22" style="3" customWidth="1"/>
    <col min="2841" max="2842" width="11.42578125" style="3"/>
    <col min="2843" max="2843" width="22.42578125" style="3" customWidth="1"/>
    <col min="2844" max="2845" width="11.42578125" style="3"/>
    <col min="2846" max="2846" width="14.42578125" style="3" customWidth="1"/>
    <col min="2847" max="2847" width="20" style="3" customWidth="1"/>
    <col min="2848" max="3080" width="11.42578125" style="3"/>
    <col min="3081" max="3081" width="43.7109375" style="3" customWidth="1"/>
    <col min="3082" max="3082" width="18.28515625" style="3" customWidth="1"/>
    <col min="3083" max="3083" width="35.42578125" style="3" customWidth="1"/>
    <col min="3084" max="3084" width="56.42578125" style="3" customWidth="1"/>
    <col min="3085" max="3085" width="121.28515625" style="3" customWidth="1"/>
    <col min="3086" max="3086" width="6" style="3" customWidth="1"/>
    <col min="3087" max="3087" width="33.42578125" style="3" customWidth="1"/>
    <col min="3088" max="3088" width="14.28515625" style="3" customWidth="1"/>
    <col min="3089" max="3089" width="12.7109375" style="3" customWidth="1"/>
    <col min="3090" max="3090" width="20.85546875" style="3" customWidth="1"/>
    <col min="3091" max="3091" width="16" style="3" customWidth="1"/>
    <col min="3092" max="3092" width="5.85546875" style="3" customWidth="1"/>
    <col min="3093" max="3093" width="35.42578125" style="3" customWidth="1"/>
    <col min="3094" max="3094" width="17.42578125" style="3" customWidth="1"/>
    <col min="3095" max="3095" width="14.140625" style="3" customWidth="1"/>
    <col min="3096" max="3096" width="22" style="3" customWidth="1"/>
    <col min="3097" max="3098" width="11.42578125" style="3"/>
    <col min="3099" max="3099" width="22.42578125" style="3" customWidth="1"/>
    <col min="3100" max="3101" width="11.42578125" style="3"/>
    <col min="3102" max="3102" width="14.42578125" style="3" customWidth="1"/>
    <col min="3103" max="3103" width="20" style="3" customWidth="1"/>
    <col min="3104" max="3336" width="11.42578125" style="3"/>
    <col min="3337" max="3337" width="43.7109375" style="3" customWidth="1"/>
    <col min="3338" max="3338" width="18.28515625" style="3" customWidth="1"/>
    <col min="3339" max="3339" width="35.42578125" style="3" customWidth="1"/>
    <col min="3340" max="3340" width="56.42578125" style="3" customWidth="1"/>
    <col min="3341" max="3341" width="121.28515625" style="3" customWidth="1"/>
    <col min="3342" max="3342" width="6" style="3" customWidth="1"/>
    <col min="3343" max="3343" width="33.42578125" style="3" customWidth="1"/>
    <col min="3344" max="3344" width="14.28515625" style="3" customWidth="1"/>
    <col min="3345" max="3345" width="12.7109375" style="3" customWidth="1"/>
    <col min="3346" max="3346" width="20.85546875" style="3" customWidth="1"/>
    <col min="3347" max="3347" width="16" style="3" customWidth="1"/>
    <col min="3348" max="3348" width="5.85546875" style="3" customWidth="1"/>
    <col min="3349" max="3349" width="35.42578125" style="3" customWidth="1"/>
    <col min="3350" max="3350" width="17.42578125" style="3" customWidth="1"/>
    <col min="3351" max="3351" width="14.140625" style="3" customWidth="1"/>
    <col min="3352" max="3352" width="22" style="3" customWidth="1"/>
    <col min="3353" max="3354" width="11.42578125" style="3"/>
    <col min="3355" max="3355" width="22.42578125" style="3" customWidth="1"/>
    <col min="3356" max="3357" width="11.42578125" style="3"/>
    <col min="3358" max="3358" width="14.42578125" style="3" customWidth="1"/>
    <col min="3359" max="3359" width="20" style="3" customWidth="1"/>
    <col min="3360" max="3592" width="11.42578125" style="3"/>
    <col min="3593" max="3593" width="43.7109375" style="3" customWidth="1"/>
    <col min="3594" max="3594" width="18.28515625" style="3" customWidth="1"/>
    <col min="3595" max="3595" width="35.42578125" style="3" customWidth="1"/>
    <col min="3596" max="3596" width="56.42578125" style="3" customWidth="1"/>
    <col min="3597" max="3597" width="121.28515625" style="3" customWidth="1"/>
    <col min="3598" max="3598" width="6" style="3" customWidth="1"/>
    <col min="3599" max="3599" width="33.42578125" style="3" customWidth="1"/>
    <col min="3600" max="3600" width="14.28515625" style="3" customWidth="1"/>
    <col min="3601" max="3601" width="12.7109375" style="3" customWidth="1"/>
    <col min="3602" max="3602" width="20.85546875" style="3" customWidth="1"/>
    <col min="3603" max="3603" width="16" style="3" customWidth="1"/>
    <col min="3604" max="3604" width="5.85546875" style="3" customWidth="1"/>
    <col min="3605" max="3605" width="35.42578125" style="3" customWidth="1"/>
    <col min="3606" max="3606" width="17.42578125" style="3" customWidth="1"/>
    <col min="3607" max="3607" width="14.140625" style="3" customWidth="1"/>
    <col min="3608" max="3608" width="22" style="3" customWidth="1"/>
    <col min="3609" max="3610" width="11.42578125" style="3"/>
    <col min="3611" max="3611" width="22.42578125" style="3" customWidth="1"/>
    <col min="3612" max="3613" width="11.42578125" style="3"/>
    <col min="3614" max="3614" width="14.42578125" style="3" customWidth="1"/>
    <col min="3615" max="3615" width="20" style="3" customWidth="1"/>
    <col min="3616" max="3848" width="11.42578125" style="3"/>
    <col min="3849" max="3849" width="43.7109375" style="3" customWidth="1"/>
    <col min="3850" max="3850" width="18.28515625" style="3" customWidth="1"/>
    <col min="3851" max="3851" width="35.42578125" style="3" customWidth="1"/>
    <col min="3852" max="3852" width="56.42578125" style="3" customWidth="1"/>
    <col min="3853" max="3853" width="121.28515625" style="3" customWidth="1"/>
    <col min="3854" max="3854" width="6" style="3" customWidth="1"/>
    <col min="3855" max="3855" width="33.42578125" style="3" customWidth="1"/>
    <col min="3856" max="3856" width="14.28515625" style="3" customWidth="1"/>
    <col min="3857" max="3857" width="12.7109375" style="3" customWidth="1"/>
    <col min="3858" max="3858" width="20.85546875" style="3" customWidth="1"/>
    <col min="3859" max="3859" width="16" style="3" customWidth="1"/>
    <col min="3860" max="3860" width="5.85546875" style="3" customWidth="1"/>
    <col min="3861" max="3861" width="35.42578125" style="3" customWidth="1"/>
    <col min="3862" max="3862" width="17.42578125" style="3" customWidth="1"/>
    <col min="3863" max="3863" width="14.140625" style="3" customWidth="1"/>
    <col min="3864" max="3864" width="22" style="3" customWidth="1"/>
    <col min="3865" max="3866" width="11.42578125" style="3"/>
    <col min="3867" max="3867" width="22.42578125" style="3" customWidth="1"/>
    <col min="3868" max="3869" width="11.42578125" style="3"/>
    <col min="3870" max="3870" width="14.42578125" style="3" customWidth="1"/>
    <col min="3871" max="3871" width="20" style="3" customWidth="1"/>
    <col min="3872" max="4104" width="11.42578125" style="3"/>
    <col min="4105" max="4105" width="43.7109375" style="3" customWidth="1"/>
    <col min="4106" max="4106" width="18.28515625" style="3" customWidth="1"/>
    <col min="4107" max="4107" width="35.42578125" style="3" customWidth="1"/>
    <col min="4108" max="4108" width="56.42578125" style="3" customWidth="1"/>
    <col min="4109" max="4109" width="121.28515625" style="3" customWidth="1"/>
    <col min="4110" max="4110" width="6" style="3" customWidth="1"/>
    <col min="4111" max="4111" width="33.42578125" style="3" customWidth="1"/>
    <col min="4112" max="4112" width="14.28515625" style="3" customWidth="1"/>
    <col min="4113" max="4113" width="12.7109375" style="3" customWidth="1"/>
    <col min="4114" max="4114" width="20.85546875" style="3" customWidth="1"/>
    <col min="4115" max="4115" width="16" style="3" customWidth="1"/>
    <col min="4116" max="4116" width="5.85546875" style="3" customWidth="1"/>
    <col min="4117" max="4117" width="35.42578125" style="3" customWidth="1"/>
    <col min="4118" max="4118" width="17.42578125" style="3" customWidth="1"/>
    <col min="4119" max="4119" width="14.140625" style="3" customWidth="1"/>
    <col min="4120" max="4120" width="22" style="3" customWidth="1"/>
    <col min="4121" max="4122" width="11.42578125" style="3"/>
    <col min="4123" max="4123" width="22.42578125" style="3" customWidth="1"/>
    <col min="4124" max="4125" width="11.42578125" style="3"/>
    <col min="4126" max="4126" width="14.42578125" style="3" customWidth="1"/>
    <col min="4127" max="4127" width="20" style="3" customWidth="1"/>
    <col min="4128" max="4360" width="11.42578125" style="3"/>
    <col min="4361" max="4361" width="43.7109375" style="3" customWidth="1"/>
    <col min="4362" max="4362" width="18.28515625" style="3" customWidth="1"/>
    <col min="4363" max="4363" width="35.42578125" style="3" customWidth="1"/>
    <col min="4364" max="4364" width="56.42578125" style="3" customWidth="1"/>
    <col min="4365" max="4365" width="121.28515625" style="3" customWidth="1"/>
    <col min="4366" max="4366" width="6" style="3" customWidth="1"/>
    <col min="4367" max="4367" width="33.42578125" style="3" customWidth="1"/>
    <col min="4368" max="4368" width="14.28515625" style="3" customWidth="1"/>
    <col min="4369" max="4369" width="12.7109375" style="3" customWidth="1"/>
    <col min="4370" max="4370" width="20.85546875" style="3" customWidth="1"/>
    <col min="4371" max="4371" width="16" style="3" customWidth="1"/>
    <col min="4372" max="4372" width="5.85546875" style="3" customWidth="1"/>
    <col min="4373" max="4373" width="35.42578125" style="3" customWidth="1"/>
    <col min="4374" max="4374" width="17.42578125" style="3" customWidth="1"/>
    <col min="4375" max="4375" width="14.140625" style="3" customWidth="1"/>
    <col min="4376" max="4376" width="22" style="3" customWidth="1"/>
    <col min="4377" max="4378" width="11.42578125" style="3"/>
    <col min="4379" max="4379" width="22.42578125" style="3" customWidth="1"/>
    <col min="4380" max="4381" width="11.42578125" style="3"/>
    <col min="4382" max="4382" width="14.42578125" style="3" customWidth="1"/>
    <col min="4383" max="4383" width="20" style="3" customWidth="1"/>
    <col min="4384" max="4616" width="11.42578125" style="3"/>
    <col min="4617" max="4617" width="43.7109375" style="3" customWidth="1"/>
    <col min="4618" max="4618" width="18.28515625" style="3" customWidth="1"/>
    <col min="4619" max="4619" width="35.42578125" style="3" customWidth="1"/>
    <col min="4620" max="4620" width="56.42578125" style="3" customWidth="1"/>
    <col min="4621" max="4621" width="121.28515625" style="3" customWidth="1"/>
    <col min="4622" max="4622" width="6" style="3" customWidth="1"/>
    <col min="4623" max="4623" width="33.42578125" style="3" customWidth="1"/>
    <col min="4624" max="4624" width="14.28515625" style="3" customWidth="1"/>
    <col min="4625" max="4625" width="12.7109375" style="3" customWidth="1"/>
    <col min="4626" max="4626" width="20.85546875" style="3" customWidth="1"/>
    <col min="4627" max="4627" width="16" style="3" customWidth="1"/>
    <col min="4628" max="4628" width="5.85546875" style="3" customWidth="1"/>
    <col min="4629" max="4629" width="35.42578125" style="3" customWidth="1"/>
    <col min="4630" max="4630" width="17.42578125" style="3" customWidth="1"/>
    <col min="4631" max="4631" width="14.140625" style="3" customWidth="1"/>
    <col min="4632" max="4632" width="22" style="3" customWidth="1"/>
    <col min="4633" max="4634" width="11.42578125" style="3"/>
    <col min="4635" max="4635" width="22.42578125" style="3" customWidth="1"/>
    <col min="4636" max="4637" width="11.42578125" style="3"/>
    <col min="4638" max="4638" width="14.42578125" style="3" customWidth="1"/>
    <col min="4639" max="4639" width="20" style="3" customWidth="1"/>
    <col min="4640" max="4872" width="11.42578125" style="3"/>
    <col min="4873" max="4873" width="43.7109375" style="3" customWidth="1"/>
    <col min="4874" max="4874" width="18.28515625" style="3" customWidth="1"/>
    <col min="4875" max="4875" width="35.42578125" style="3" customWidth="1"/>
    <col min="4876" max="4876" width="56.42578125" style="3" customWidth="1"/>
    <col min="4877" max="4877" width="121.28515625" style="3" customWidth="1"/>
    <col min="4878" max="4878" width="6" style="3" customWidth="1"/>
    <col min="4879" max="4879" width="33.42578125" style="3" customWidth="1"/>
    <col min="4880" max="4880" width="14.28515625" style="3" customWidth="1"/>
    <col min="4881" max="4881" width="12.7109375" style="3" customWidth="1"/>
    <col min="4882" max="4882" width="20.85546875" style="3" customWidth="1"/>
    <col min="4883" max="4883" width="16" style="3" customWidth="1"/>
    <col min="4884" max="4884" width="5.85546875" style="3" customWidth="1"/>
    <col min="4885" max="4885" width="35.42578125" style="3" customWidth="1"/>
    <col min="4886" max="4886" width="17.42578125" style="3" customWidth="1"/>
    <col min="4887" max="4887" width="14.140625" style="3" customWidth="1"/>
    <col min="4888" max="4888" width="22" style="3" customWidth="1"/>
    <col min="4889" max="4890" width="11.42578125" style="3"/>
    <col min="4891" max="4891" width="22.42578125" style="3" customWidth="1"/>
    <col min="4892" max="4893" width="11.42578125" style="3"/>
    <col min="4894" max="4894" width="14.42578125" style="3" customWidth="1"/>
    <col min="4895" max="4895" width="20" style="3" customWidth="1"/>
    <col min="4896" max="5128" width="11.42578125" style="3"/>
    <col min="5129" max="5129" width="43.7109375" style="3" customWidth="1"/>
    <col min="5130" max="5130" width="18.28515625" style="3" customWidth="1"/>
    <col min="5131" max="5131" width="35.42578125" style="3" customWidth="1"/>
    <col min="5132" max="5132" width="56.42578125" style="3" customWidth="1"/>
    <col min="5133" max="5133" width="121.28515625" style="3" customWidth="1"/>
    <col min="5134" max="5134" width="6" style="3" customWidth="1"/>
    <col min="5135" max="5135" width="33.42578125" style="3" customWidth="1"/>
    <col min="5136" max="5136" width="14.28515625" style="3" customWidth="1"/>
    <col min="5137" max="5137" width="12.7109375" style="3" customWidth="1"/>
    <col min="5138" max="5138" width="20.85546875" style="3" customWidth="1"/>
    <col min="5139" max="5139" width="16" style="3" customWidth="1"/>
    <col min="5140" max="5140" width="5.85546875" style="3" customWidth="1"/>
    <col min="5141" max="5141" width="35.42578125" style="3" customWidth="1"/>
    <col min="5142" max="5142" width="17.42578125" style="3" customWidth="1"/>
    <col min="5143" max="5143" width="14.140625" style="3" customWidth="1"/>
    <col min="5144" max="5144" width="22" style="3" customWidth="1"/>
    <col min="5145" max="5146" width="11.42578125" style="3"/>
    <col min="5147" max="5147" width="22.42578125" style="3" customWidth="1"/>
    <col min="5148" max="5149" width="11.42578125" style="3"/>
    <col min="5150" max="5150" width="14.42578125" style="3" customWidth="1"/>
    <col min="5151" max="5151" width="20" style="3" customWidth="1"/>
    <col min="5152" max="5384" width="11.42578125" style="3"/>
    <col min="5385" max="5385" width="43.7109375" style="3" customWidth="1"/>
    <col min="5386" max="5386" width="18.28515625" style="3" customWidth="1"/>
    <col min="5387" max="5387" width="35.42578125" style="3" customWidth="1"/>
    <col min="5388" max="5388" width="56.42578125" style="3" customWidth="1"/>
    <col min="5389" max="5389" width="121.28515625" style="3" customWidth="1"/>
    <col min="5390" max="5390" width="6" style="3" customWidth="1"/>
    <col min="5391" max="5391" width="33.42578125" style="3" customWidth="1"/>
    <col min="5392" max="5392" width="14.28515625" style="3" customWidth="1"/>
    <col min="5393" max="5393" width="12.7109375" style="3" customWidth="1"/>
    <col min="5394" max="5394" width="20.85546875" style="3" customWidth="1"/>
    <col min="5395" max="5395" width="16" style="3" customWidth="1"/>
    <col min="5396" max="5396" width="5.85546875" style="3" customWidth="1"/>
    <col min="5397" max="5397" width="35.42578125" style="3" customWidth="1"/>
    <col min="5398" max="5398" width="17.42578125" style="3" customWidth="1"/>
    <col min="5399" max="5399" width="14.140625" style="3" customWidth="1"/>
    <col min="5400" max="5400" width="22" style="3" customWidth="1"/>
    <col min="5401" max="5402" width="11.42578125" style="3"/>
    <col min="5403" max="5403" width="22.42578125" style="3" customWidth="1"/>
    <col min="5404" max="5405" width="11.42578125" style="3"/>
    <col min="5406" max="5406" width="14.42578125" style="3" customWidth="1"/>
    <col min="5407" max="5407" width="20" style="3" customWidth="1"/>
    <col min="5408" max="5640" width="11.42578125" style="3"/>
    <col min="5641" max="5641" width="43.7109375" style="3" customWidth="1"/>
    <col min="5642" max="5642" width="18.28515625" style="3" customWidth="1"/>
    <col min="5643" max="5643" width="35.42578125" style="3" customWidth="1"/>
    <col min="5644" max="5644" width="56.42578125" style="3" customWidth="1"/>
    <col min="5645" max="5645" width="121.28515625" style="3" customWidth="1"/>
    <col min="5646" max="5646" width="6" style="3" customWidth="1"/>
    <col min="5647" max="5647" width="33.42578125" style="3" customWidth="1"/>
    <col min="5648" max="5648" width="14.28515625" style="3" customWidth="1"/>
    <col min="5649" max="5649" width="12.7109375" style="3" customWidth="1"/>
    <col min="5650" max="5650" width="20.85546875" style="3" customWidth="1"/>
    <col min="5651" max="5651" width="16" style="3" customWidth="1"/>
    <col min="5652" max="5652" width="5.85546875" style="3" customWidth="1"/>
    <col min="5653" max="5653" width="35.42578125" style="3" customWidth="1"/>
    <col min="5654" max="5654" width="17.42578125" style="3" customWidth="1"/>
    <col min="5655" max="5655" width="14.140625" style="3" customWidth="1"/>
    <col min="5656" max="5656" width="22" style="3" customWidth="1"/>
    <col min="5657" max="5658" width="11.42578125" style="3"/>
    <col min="5659" max="5659" width="22.42578125" style="3" customWidth="1"/>
    <col min="5660" max="5661" width="11.42578125" style="3"/>
    <col min="5662" max="5662" width="14.42578125" style="3" customWidth="1"/>
    <col min="5663" max="5663" width="20" style="3" customWidth="1"/>
    <col min="5664" max="5896" width="11.42578125" style="3"/>
    <col min="5897" max="5897" width="43.7109375" style="3" customWidth="1"/>
    <col min="5898" max="5898" width="18.28515625" style="3" customWidth="1"/>
    <col min="5899" max="5899" width="35.42578125" style="3" customWidth="1"/>
    <col min="5900" max="5900" width="56.42578125" style="3" customWidth="1"/>
    <col min="5901" max="5901" width="121.28515625" style="3" customWidth="1"/>
    <col min="5902" max="5902" width="6" style="3" customWidth="1"/>
    <col min="5903" max="5903" width="33.42578125" style="3" customWidth="1"/>
    <col min="5904" max="5904" width="14.28515625" style="3" customWidth="1"/>
    <col min="5905" max="5905" width="12.7109375" style="3" customWidth="1"/>
    <col min="5906" max="5906" width="20.85546875" style="3" customWidth="1"/>
    <col min="5907" max="5907" width="16" style="3" customWidth="1"/>
    <col min="5908" max="5908" width="5.85546875" style="3" customWidth="1"/>
    <col min="5909" max="5909" width="35.42578125" style="3" customWidth="1"/>
    <col min="5910" max="5910" width="17.42578125" style="3" customWidth="1"/>
    <col min="5911" max="5911" width="14.140625" style="3" customWidth="1"/>
    <col min="5912" max="5912" width="22" style="3" customWidth="1"/>
    <col min="5913" max="5914" width="11.42578125" style="3"/>
    <col min="5915" max="5915" width="22.42578125" style="3" customWidth="1"/>
    <col min="5916" max="5917" width="11.42578125" style="3"/>
    <col min="5918" max="5918" width="14.42578125" style="3" customWidth="1"/>
    <col min="5919" max="5919" width="20" style="3" customWidth="1"/>
    <col min="5920" max="6152" width="11.42578125" style="3"/>
    <col min="6153" max="6153" width="43.7109375" style="3" customWidth="1"/>
    <col min="6154" max="6154" width="18.28515625" style="3" customWidth="1"/>
    <col min="6155" max="6155" width="35.42578125" style="3" customWidth="1"/>
    <col min="6156" max="6156" width="56.42578125" style="3" customWidth="1"/>
    <col min="6157" max="6157" width="121.28515625" style="3" customWidth="1"/>
    <col min="6158" max="6158" width="6" style="3" customWidth="1"/>
    <col min="6159" max="6159" width="33.42578125" style="3" customWidth="1"/>
    <col min="6160" max="6160" width="14.28515625" style="3" customWidth="1"/>
    <col min="6161" max="6161" width="12.7109375" style="3" customWidth="1"/>
    <col min="6162" max="6162" width="20.85546875" style="3" customWidth="1"/>
    <col min="6163" max="6163" width="16" style="3" customWidth="1"/>
    <col min="6164" max="6164" width="5.85546875" style="3" customWidth="1"/>
    <col min="6165" max="6165" width="35.42578125" style="3" customWidth="1"/>
    <col min="6166" max="6166" width="17.42578125" style="3" customWidth="1"/>
    <col min="6167" max="6167" width="14.140625" style="3" customWidth="1"/>
    <col min="6168" max="6168" width="22" style="3" customWidth="1"/>
    <col min="6169" max="6170" width="11.42578125" style="3"/>
    <col min="6171" max="6171" width="22.42578125" style="3" customWidth="1"/>
    <col min="6172" max="6173" width="11.42578125" style="3"/>
    <col min="6174" max="6174" width="14.42578125" style="3" customWidth="1"/>
    <col min="6175" max="6175" width="20" style="3" customWidth="1"/>
    <col min="6176" max="6408" width="11.42578125" style="3"/>
    <col min="6409" max="6409" width="43.7109375" style="3" customWidth="1"/>
    <col min="6410" max="6410" width="18.28515625" style="3" customWidth="1"/>
    <col min="6411" max="6411" width="35.42578125" style="3" customWidth="1"/>
    <col min="6412" max="6412" width="56.42578125" style="3" customWidth="1"/>
    <col min="6413" max="6413" width="121.28515625" style="3" customWidth="1"/>
    <col min="6414" max="6414" width="6" style="3" customWidth="1"/>
    <col min="6415" max="6415" width="33.42578125" style="3" customWidth="1"/>
    <col min="6416" max="6416" width="14.28515625" style="3" customWidth="1"/>
    <col min="6417" max="6417" width="12.7109375" style="3" customWidth="1"/>
    <col min="6418" max="6418" width="20.85546875" style="3" customWidth="1"/>
    <col min="6419" max="6419" width="16" style="3" customWidth="1"/>
    <col min="6420" max="6420" width="5.85546875" style="3" customWidth="1"/>
    <col min="6421" max="6421" width="35.42578125" style="3" customWidth="1"/>
    <col min="6422" max="6422" width="17.42578125" style="3" customWidth="1"/>
    <col min="6423" max="6423" width="14.140625" style="3" customWidth="1"/>
    <col min="6424" max="6424" width="22" style="3" customWidth="1"/>
    <col min="6425" max="6426" width="11.42578125" style="3"/>
    <col min="6427" max="6427" width="22.42578125" style="3" customWidth="1"/>
    <col min="6428" max="6429" width="11.42578125" style="3"/>
    <col min="6430" max="6430" width="14.42578125" style="3" customWidth="1"/>
    <col min="6431" max="6431" width="20" style="3" customWidth="1"/>
    <col min="6432" max="6664" width="11.42578125" style="3"/>
    <col min="6665" max="6665" width="43.7109375" style="3" customWidth="1"/>
    <col min="6666" max="6666" width="18.28515625" style="3" customWidth="1"/>
    <col min="6667" max="6667" width="35.42578125" style="3" customWidth="1"/>
    <col min="6668" max="6668" width="56.42578125" style="3" customWidth="1"/>
    <col min="6669" max="6669" width="121.28515625" style="3" customWidth="1"/>
    <col min="6670" max="6670" width="6" style="3" customWidth="1"/>
    <col min="6671" max="6671" width="33.42578125" style="3" customWidth="1"/>
    <col min="6672" max="6672" width="14.28515625" style="3" customWidth="1"/>
    <col min="6673" max="6673" width="12.7109375" style="3" customWidth="1"/>
    <col min="6674" max="6674" width="20.85546875" style="3" customWidth="1"/>
    <col min="6675" max="6675" width="16" style="3" customWidth="1"/>
    <col min="6676" max="6676" width="5.85546875" style="3" customWidth="1"/>
    <col min="6677" max="6677" width="35.42578125" style="3" customWidth="1"/>
    <col min="6678" max="6678" width="17.42578125" style="3" customWidth="1"/>
    <col min="6679" max="6679" width="14.140625" style="3" customWidth="1"/>
    <col min="6680" max="6680" width="22" style="3" customWidth="1"/>
    <col min="6681" max="6682" width="11.42578125" style="3"/>
    <col min="6683" max="6683" width="22.42578125" style="3" customWidth="1"/>
    <col min="6684" max="6685" width="11.42578125" style="3"/>
    <col min="6686" max="6686" width="14.42578125" style="3" customWidth="1"/>
    <col min="6687" max="6687" width="20" style="3" customWidth="1"/>
    <col min="6688" max="6920" width="11.42578125" style="3"/>
    <col min="6921" max="6921" width="43.7109375" style="3" customWidth="1"/>
    <col min="6922" max="6922" width="18.28515625" style="3" customWidth="1"/>
    <col min="6923" max="6923" width="35.42578125" style="3" customWidth="1"/>
    <col min="6924" max="6924" width="56.42578125" style="3" customWidth="1"/>
    <col min="6925" max="6925" width="121.28515625" style="3" customWidth="1"/>
    <col min="6926" max="6926" width="6" style="3" customWidth="1"/>
    <col min="6927" max="6927" width="33.42578125" style="3" customWidth="1"/>
    <col min="6928" max="6928" width="14.28515625" style="3" customWidth="1"/>
    <col min="6929" max="6929" width="12.7109375" style="3" customWidth="1"/>
    <col min="6930" max="6930" width="20.85546875" style="3" customWidth="1"/>
    <col min="6931" max="6931" width="16" style="3" customWidth="1"/>
    <col min="6932" max="6932" width="5.85546875" style="3" customWidth="1"/>
    <col min="6933" max="6933" width="35.42578125" style="3" customWidth="1"/>
    <col min="6934" max="6934" width="17.42578125" style="3" customWidth="1"/>
    <col min="6935" max="6935" width="14.140625" style="3" customWidth="1"/>
    <col min="6936" max="6936" width="22" style="3" customWidth="1"/>
    <col min="6937" max="6938" width="11.42578125" style="3"/>
    <col min="6939" max="6939" width="22.42578125" style="3" customWidth="1"/>
    <col min="6940" max="6941" width="11.42578125" style="3"/>
    <col min="6942" max="6942" width="14.42578125" style="3" customWidth="1"/>
    <col min="6943" max="6943" width="20" style="3" customWidth="1"/>
    <col min="6944" max="7176" width="11.42578125" style="3"/>
    <col min="7177" max="7177" width="43.7109375" style="3" customWidth="1"/>
    <col min="7178" max="7178" width="18.28515625" style="3" customWidth="1"/>
    <col min="7179" max="7179" width="35.42578125" style="3" customWidth="1"/>
    <col min="7180" max="7180" width="56.42578125" style="3" customWidth="1"/>
    <col min="7181" max="7181" width="121.28515625" style="3" customWidth="1"/>
    <col min="7182" max="7182" width="6" style="3" customWidth="1"/>
    <col min="7183" max="7183" width="33.42578125" style="3" customWidth="1"/>
    <col min="7184" max="7184" width="14.28515625" style="3" customWidth="1"/>
    <col min="7185" max="7185" width="12.7109375" style="3" customWidth="1"/>
    <col min="7186" max="7186" width="20.85546875" style="3" customWidth="1"/>
    <col min="7187" max="7187" width="16" style="3" customWidth="1"/>
    <col min="7188" max="7188" width="5.85546875" style="3" customWidth="1"/>
    <col min="7189" max="7189" width="35.42578125" style="3" customWidth="1"/>
    <col min="7190" max="7190" width="17.42578125" style="3" customWidth="1"/>
    <col min="7191" max="7191" width="14.140625" style="3" customWidth="1"/>
    <col min="7192" max="7192" width="22" style="3" customWidth="1"/>
    <col min="7193" max="7194" width="11.42578125" style="3"/>
    <col min="7195" max="7195" width="22.42578125" style="3" customWidth="1"/>
    <col min="7196" max="7197" width="11.42578125" style="3"/>
    <col min="7198" max="7198" width="14.42578125" style="3" customWidth="1"/>
    <col min="7199" max="7199" width="20" style="3" customWidth="1"/>
    <col min="7200" max="7432" width="11.42578125" style="3"/>
    <col min="7433" max="7433" width="43.7109375" style="3" customWidth="1"/>
    <col min="7434" max="7434" width="18.28515625" style="3" customWidth="1"/>
    <col min="7435" max="7435" width="35.42578125" style="3" customWidth="1"/>
    <col min="7436" max="7436" width="56.42578125" style="3" customWidth="1"/>
    <col min="7437" max="7437" width="121.28515625" style="3" customWidth="1"/>
    <col min="7438" max="7438" width="6" style="3" customWidth="1"/>
    <col min="7439" max="7439" width="33.42578125" style="3" customWidth="1"/>
    <col min="7440" max="7440" width="14.28515625" style="3" customWidth="1"/>
    <col min="7441" max="7441" width="12.7109375" style="3" customWidth="1"/>
    <col min="7442" max="7442" width="20.85546875" style="3" customWidth="1"/>
    <col min="7443" max="7443" width="16" style="3" customWidth="1"/>
    <col min="7444" max="7444" width="5.85546875" style="3" customWidth="1"/>
    <col min="7445" max="7445" width="35.42578125" style="3" customWidth="1"/>
    <col min="7446" max="7446" width="17.42578125" style="3" customWidth="1"/>
    <col min="7447" max="7447" width="14.140625" style="3" customWidth="1"/>
    <col min="7448" max="7448" width="22" style="3" customWidth="1"/>
    <col min="7449" max="7450" width="11.42578125" style="3"/>
    <col min="7451" max="7451" width="22.42578125" style="3" customWidth="1"/>
    <col min="7452" max="7453" width="11.42578125" style="3"/>
    <col min="7454" max="7454" width="14.42578125" style="3" customWidth="1"/>
    <col min="7455" max="7455" width="20" style="3" customWidth="1"/>
    <col min="7456" max="7688" width="11.42578125" style="3"/>
    <col min="7689" max="7689" width="43.7109375" style="3" customWidth="1"/>
    <col min="7690" max="7690" width="18.28515625" style="3" customWidth="1"/>
    <col min="7691" max="7691" width="35.42578125" style="3" customWidth="1"/>
    <col min="7692" max="7692" width="56.42578125" style="3" customWidth="1"/>
    <col min="7693" max="7693" width="121.28515625" style="3" customWidth="1"/>
    <col min="7694" max="7694" width="6" style="3" customWidth="1"/>
    <col min="7695" max="7695" width="33.42578125" style="3" customWidth="1"/>
    <col min="7696" max="7696" width="14.28515625" style="3" customWidth="1"/>
    <col min="7697" max="7697" width="12.7109375" style="3" customWidth="1"/>
    <col min="7698" max="7698" width="20.85546875" style="3" customWidth="1"/>
    <col min="7699" max="7699" width="16" style="3" customWidth="1"/>
    <col min="7700" max="7700" width="5.85546875" style="3" customWidth="1"/>
    <col min="7701" max="7701" width="35.42578125" style="3" customWidth="1"/>
    <col min="7702" max="7702" width="17.42578125" style="3" customWidth="1"/>
    <col min="7703" max="7703" width="14.140625" style="3" customWidth="1"/>
    <col min="7704" max="7704" width="22" style="3" customWidth="1"/>
    <col min="7705" max="7706" width="11.42578125" style="3"/>
    <col min="7707" max="7707" width="22.42578125" style="3" customWidth="1"/>
    <col min="7708" max="7709" width="11.42578125" style="3"/>
    <col min="7710" max="7710" width="14.42578125" style="3" customWidth="1"/>
    <col min="7711" max="7711" width="20" style="3" customWidth="1"/>
    <col min="7712" max="7944" width="11.42578125" style="3"/>
    <col min="7945" max="7945" width="43.7109375" style="3" customWidth="1"/>
    <col min="7946" max="7946" width="18.28515625" style="3" customWidth="1"/>
    <col min="7947" max="7947" width="35.42578125" style="3" customWidth="1"/>
    <col min="7948" max="7948" width="56.42578125" style="3" customWidth="1"/>
    <col min="7949" max="7949" width="121.28515625" style="3" customWidth="1"/>
    <col min="7950" max="7950" width="6" style="3" customWidth="1"/>
    <col min="7951" max="7951" width="33.42578125" style="3" customWidth="1"/>
    <col min="7952" max="7952" width="14.28515625" style="3" customWidth="1"/>
    <col min="7953" max="7953" width="12.7109375" style="3" customWidth="1"/>
    <col min="7954" max="7954" width="20.85546875" style="3" customWidth="1"/>
    <col min="7955" max="7955" width="16" style="3" customWidth="1"/>
    <col min="7956" max="7956" width="5.85546875" style="3" customWidth="1"/>
    <col min="7957" max="7957" width="35.42578125" style="3" customWidth="1"/>
    <col min="7958" max="7958" width="17.42578125" style="3" customWidth="1"/>
    <col min="7959" max="7959" width="14.140625" style="3" customWidth="1"/>
    <col min="7960" max="7960" width="22" style="3" customWidth="1"/>
    <col min="7961" max="7962" width="11.42578125" style="3"/>
    <col min="7963" max="7963" width="22.42578125" style="3" customWidth="1"/>
    <col min="7964" max="7965" width="11.42578125" style="3"/>
    <col min="7966" max="7966" width="14.42578125" style="3" customWidth="1"/>
    <col min="7967" max="7967" width="20" style="3" customWidth="1"/>
    <col min="7968" max="8200" width="11.42578125" style="3"/>
    <col min="8201" max="8201" width="43.7109375" style="3" customWidth="1"/>
    <col min="8202" max="8202" width="18.28515625" style="3" customWidth="1"/>
    <col min="8203" max="8203" width="35.42578125" style="3" customWidth="1"/>
    <col min="8204" max="8204" width="56.42578125" style="3" customWidth="1"/>
    <col min="8205" max="8205" width="121.28515625" style="3" customWidth="1"/>
    <col min="8206" max="8206" width="6" style="3" customWidth="1"/>
    <col min="8207" max="8207" width="33.42578125" style="3" customWidth="1"/>
    <col min="8208" max="8208" width="14.28515625" style="3" customWidth="1"/>
    <col min="8209" max="8209" width="12.7109375" style="3" customWidth="1"/>
    <col min="8210" max="8210" width="20.85546875" style="3" customWidth="1"/>
    <col min="8211" max="8211" width="16" style="3" customWidth="1"/>
    <col min="8212" max="8212" width="5.85546875" style="3" customWidth="1"/>
    <col min="8213" max="8213" width="35.42578125" style="3" customWidth="1"/>
    <col min="8214" max="8214" width="17.42578125" style="3" customWidth="1"/>
    <col min="8215" max="8215" width="14.140625" style="3" customWidth="1"/>
    <col min="8216" max="8216" width="22" style="3" customWidth="1"/>
    <col min="8217" max="8218" width="11.42578125" style="3"/>
    <col min="8219" max="8219" width="22.42578125" style="3" customWidth="1"/>
    <col min="8220" max="8221" width="11.42578125" style="3"/>
    <col min="8222" max="8222" width="14.42578125" style="3" customWidth="1"/>
    <col min="8223" max="8223" width="20" style="3" customWidth="1"/>
    <col min="8224" max="8456" width="11.42578125" style="3"/>
    <col min="8457" max="8457" width="43.7109375" style="3" customWidth="1"/>
    <col min="8458" max="8458" width="18.28515625" style="3" customWidth="1"/>
    <col min="8459" max="8459" width="35.42578125" style="3" customWidth="1"/>
    <col min="8460" max="8460" width="56.42578125" style="3" customWidth="1"/>
    <col min="8461" max="8461" width="121.28515625" style="3" customWidth="1"/>
    <col min="8462" max="8462" width="6" style="3" customWidth="1"/>
    <col min="8463" max="8463" width="33.42578125" style="3" customWidth="1"/>
    <col min="8464" max="8464" width="14.28515625" style="3" customWidth="1"/>
    <col min="8465" max="8465" width="12.7109375" style="3" customWidth="1"/>
    <col min="8466" max="8466" width="20.85546875" style="3" customWidth="1"/>
    <col min="8467" max="8467" width="16" style="3" customWidth="1"/>
    <col min="8468" max="8468" width="5.85546875" style="3" customWidth="1"/>
    <col min="8469" max="8469" width="35.42578125" style="3" customWidth="1"/>
    <col min="8470" max="8470" width="17.42578125" style="3" customWidth="1"/>
    <col min="8471" max="8471" width="14.140625" style="3" customWidth="1"/>
    <col min="8472" max="8472" width="22" style="3" customWidth="1"/>
    <col min="8473" max="8474" width="11.42578125" style="3"/>
    <col min="8475" max="8475" width="22.42578125" style="3" customWidth="1"/>
    <col min="8476" max="8477" width="11.42578125" style="3"/>
    <col min="8478" max="8478" width="14.42578125" style="3" customWidth="1"/>
    <col min="8479" max="8479" width="20" style="3" customWidth="1"/>
    <col min="8480" max="8712" width="11.42578125" style="3"/>
    <col min="8713" max="8713" width="43.7109375" style="3" customWidth="1"/>
    <col min="8714" max="8714" width="18.28515625" style="3" customWidth="1"/>
    <col min="8715" max="8715" width="35.42578125" style="3" customWidth="1"/>
    <col min="8716" max="8716" width="56.42578125" style="3" customWidth="1"/>
    <col min="8717" max="8717" width="121.28515625" style="3" customWidth="1"/>
    <col min="8718" max="8718" width="6" style="3" customWidth="1"/>
    <col min="8719" max="8719" width="33.42578125" style="3" customWidth="1"/>
    <col min="8720" max="8720" width="14.28515625" style="3" customWidth="1"/>
    <col min="8721" max="8721" width="12.7109375" style="3" customWidth="1"/>
    <col min="8722" max="8722" width="20.85546875" style="3" customWidth="1"/>
    <col min="8723" max="8723" width="16" style="3" customWidth="1"/>
    <col min="8724" max="8724" width="5.85546875" style="3" customWidth="1"/>
    <col min="8725" max="8725" width="35.42578125" style="3" customWidth="1"/>
    <col min="8726" max="8726" width="17.42578125" style="3" customWidth="1"/>
    <col min="8727" max="8727" width="14.140625" style="3" customWidth="1"/>
    <col min="8728" max="8728" width="22" style="3" customWidth="1"/>
    <col min="8729" max="8730" width="11.42578125" style="3"/>
    <col min="8731" max="8731" width="22.42578125" style="3" customWidth="1"/>
    <col min="8732" max="8733" width="11.42578125" style="3"/>
    <col min="8734" max="8734" width="14.42578125" style="3" customWidth="1"/>
    <col min="8735" max="8735" width="20" style="3" customWidth="1"/>
    <col min="8736" max="8968" width="11.42578125" style="3"/>
    <col min="8969" max="8969" width="43.7109375" style="3" customWidth="1"/>
    <col min="8970" max="8970" width="18.28515625" style="3" customWidth="1"/>
    <col min="8971" max="8971" width="35.42578125" style="3" customWidth="1"/>
    <col min="8972" max="8972" width="56.42578125" style="3" customWidth="1"/>
    <col min="8973" max="8973" width="121.28515625" style="3" customWidth="1"/>
    <col min="8974" max="8974" width="6" style="3" customWidth="1"/>
    <col min="8975" max="8975" width="33.42578125" style="3" customWidth="1"/>
    <col min="8976" max="8976" width="14.28515625" style="3" customWidth="1"/>
    <col min="8977" max="8977" width="12.7109375" style="3" customWidth="1"/>
    <col min="8978" max="8978" width="20.85546875" style="3" customWidth="1"/>
    <col min="8979" max="8979" width="16" style="3" customWidth="1"/>
    <col min="8980" max="8980" width="5.85546875" style="3" customWidth="1"/>
    <col min="8981" max="8981" width="35.42578125" style="3" customWidth="1"/>
    <col min="8982" max="8982" width="17.42578125" style="3" customWidth="1"/>
    <col min="8983" max="8983" width="14.140625" style="3" customWidth="1"/>
    <col min="8984" max="8984" width="22" style="3" customWidth="1"/>
    <col min="8985" max="8986" width="11.42578125" style="3"/>
    <col min="8987" max="8987" width="22.42578125" style="3" customWidth="1"/>
    <col min="8988" max="8989" width="11.42578125" style="3"/>
    <col min="8990" max="8990" width="14.42578125" style="3" customWidth="1"/>
    <col min="8991" max="8991" width="20" style="3" customWidth="1"/>
    <col min="8992" max="9224" width="11.42578125" style="3"/>
    <col min="9225" max="9225" width="43.7109375" style="3" customWidth="1"/>
    <col min="9226" max="9226" width="18.28515625" style="3" customWidth="1"/>
    <col min="9227" max="9227" width="35.42578125" style="3" customWidth="1"/>
    <col min="9228" max="9228" width="56.42578125" style="3" customWidth="1"/>
    <col min="9229" max="9229" width="121.28515625" style="3" customWidth="1"/>
    <col min="9230" max="9230" width="6" style="3" customWidth="1"/>
    <col min="9231" max="9231" width="33.42578125" style="3" customWidth="1"/>
    <col min="9232" max="9232" width="14.28515625" style="3" customWidth="1"/>
    <col min="9233" max="9233" width="12.7109375" style="3" customWidth="1"/>
    <col min="9234" max="9234" width="20.85546875" style="3" customWidth="1"/>
    <col min="9235" max="9235" width="16" style="3" customWidth="1"/>
    <col min="9236" max="9236" width="5.85546875" style="3" customWidth="1"/>
    <col min="9237" max="9237" width="35.42578125" style="3" customWidth="1"/>
    <col min="9238" max="9238" width="17.42578125" style="3" customWidth="1"/>
    <col min="9239" max="9239" width="14.140625" style="3" customWidth="1"/>
    <col min="9240" max="9240" width="22" style="3" customWidth="1"/>
    <col min="9241" max="9242" width="11.42578125" style="3"/>
    <col min="9243" max="9243" width="22.42578125" style="3" customWidth="1"/>
    <col min="9244" max="9245" width="11.42578125" style="3"/>
    <col min="9246" max="9246" width="14.42578125" style="3" customWidth="1"/>
    <col min="9247" max="9247" width="20" style="3" customWidth="1"/>
    <col min="9248" max="9480" width="11.42578125" style="3"/>
    <col min="9481" max="9481" width="43.7109375" style="3" customWidth="1"/>
    <col min="9482" max="9482" width="18.28515625" style="3" customWidth="1"/>
    <col min="9483" max="9483" width="35.42578125" style="3" customWidth="1"/>
    <col min="9484" max="9484" width="56.42578125" style="3" customWidth="1"/>
    <col min="9485" max="9485" width="121.28515625" style="3" customWidth="1"/>
    <col min="9486" max="9486" width="6" style="3" customWidth="1"/>
    <col min="9487" max="9487" width="33.42578125" style="3" customWidth="1"/>
    <col min="9488" max="9488" width="14.28515625" style="3" customWidth="1"/>
    <col min="9489" max="9489" width="12.7109375" style="3" customWidth="1"/>
    <col min="9490" max="9490" width="20.85546875" style="3" customWidth="1"/>
    <col min="9491" max="9491" width="16" style="3" customWidth="1"/>
    <col min="9492" max="9492" width="5.85546875" style="3" customWidth="1"/>
    <col min="9493" max="9493" width="35.42578125" style="3" customWidth="1"/>
    <col min="9494" max="9494" width="17.42578125" style="3" customWidth="1"/>
    <col min="9495" max="9495" width="14.140625" style="3" customWidth="1"/>
    <col min="9496" max="9496" width="22" style="3" customWidth="1"/>
    <col min="9497" max="9498" width="11.42578125" style="3"/>
    <col min="9499" max="9499" width="22.42578125" style="3" customWidth="1"/>
    <col min="9500" max="9501" width="11.42578125" style="3"/>
    <col min="9502" max="9502" width="14.42578125" style="3" customWidth="1"/>
    <col min="9503" max="9503" width="20" style="3" customWidth="1"/>
    <col min="9504" max="9736" width="11.42578125" style="3"/>
    <col min="9737" max="9737" width="43.7109375" style="3" customWidth="1"/>
    <col min="9738" max="9738" width="18.28515625" style="3" customWidth="1"/>
    <col min="9739" max="9739" width="35.42578125" style="3" customWidth="1"/>
    <col min="9740" max="9740" width="56.42578125" style="3" customWidth="1"/>
    <col min="9741" max="9741" width="121.28515625" style="3" customWidth="1"/>
    <col min="9742" max="9742" width="6" style="3" customWidth="1"/>
    <col min="9743" max="9743" width="33.42578125" style="3" customWidth="1"/>
    <col min="9744" max="9744" width="14.28515625" style="3" customWidth="1"/>
    <col min="9745" max="9745" width="12.7109375" style="3" customWidth="1"/>
    <col min="9746" max="9746" width="20.85546875" style="3" customWidth="1"/>
    <col min="9747" max="9747" width="16" style="3" customWidth="1"/>
    <col min="9748" max="9748" width="5.85546875" style="3" customWidth="1"/>
    <col min="9749" max="9749" width="35.42578125" style="3" customWidth="1"/>
    <col min="9750" max="9750" width="17.42578125" style="3" customWidth="1"/>
    <col min="9751" max="9751" width="14.140625" style="3" customWidth="1"/>
    <col min="9752" max="9752" width="22" style="3" customWidth="1"/>
    <col min="9753" max="9754" width="11.42578125" style="3"/>
    <col min="9755" max="9755" width="22.42578125" style="3" customWidth="1"/>
    <col min="9756" max="9757" width="11.42578125" style="3"/>
    <col min="9758" max="9758" width="14.42578125" style="3" customWidth="1"/>
    <col min="9759" max="9759" width="20" style="3" customWidth="1"/>
    <col min="9760" max="9992" width="11.42578125" style="3"/>
    <col min="9993" max="9993" width="43.7109375" style="3" customWidth="1"/>
    <col min="9994" max="9994" width="18.28515625" style="3" customWidth="1"/>
    <col min="9995" max="9995" width="35.42578125" style="3" customWidth="1"/>
    <col min="9996" max="9996" width="56.42578125" style="3" customWidth="1"/>
    <col min="9997" max="9997" width="121.28515625" style="3" customWidth="1"/>
    <col min="9998" max="9998" width="6" style="3" customWidth="1"/>
    <col min="9999" max="9999" width="33.42578125" style="3" customWidth="1"/>
    <col min="10000" max="10000" width="14.28515625" style="3" customWidth="1"/>
    <col min="10001" max="10001" width="12.7109375" style="3" customWidth="1"/>
    <col min="10002" max="10002" width="20.85546875" style="3" customWidth="1"/>
    <col min="10003" max="10003" width="16" style="3" customWidth="1"/>
    <col min="10004" max="10004" width="5.85546875" style="3" customWidth="1"/>
    <col min="10005" max="10005" width="35.42578125" style="3" customWidth="1"/>
    <col min="10006" max="10006" width="17.42578125" style="3" customWidth="1"/>
    <col min="10007" max="10007" width="14.140625" style="3" customWidth="1"/>
    <col min="10008" max="10008" width="22" style="3" customWidth="1"/>
    <col min="10009" max="10010" width="11.42578125" style="3"/>
    <col min="10011" max="10011" width="22.42578125" style="3" customWidth="1"/>
    <col min="10012" max="10013" width="11.42578125" style="3"/>
    <col min="10014" max="10014" width="14.42578125" style="3" customWidth="1"/>
    <col min="10015" max="10015" width="20" style="3" customWidth="1"/>
    <col min="10016" max="10248" width="11.42578125" style="3"/>
    <col min="10249" max="10249" width="43.7109375" style="3" customWidth="1"/>
    <col min="10250" max="10250" width="18.28515625" style="3" customWidth="1"/>
    <col min="10251" max="10251" width="35.42578125" style="3" customWidth="1"/>
    <col min="10252" max="10252" width="56.42578125" style="3" customWidth="1"/>
    <col min="10253" max="10253" width="121.28515625" style="3" customWidth="1"/>
    <col min="10254" max="10254" width="6" style="3" customWidth="1"/>
    <col min="10255" max="10255" width="33.42578125" style="3" customWidth="1"/>
    <col min="10256" max="10256" width="14.28515625" style="3" customWidth="1"/>
    <col min="10257" max="10257" width="12.7109375" style="3" customWidth="1"/>
    <col min="10258" max="10258" width="20.85546875" style="3" customWidth="1"/>
    <col min="10259" max="10259" width="16" style="3" customWidth="1"/>
    <col min="10260" max="10260" width="5.85546875" style="3" customWidth="1"/>
    <col min="10261" max="10261" width="35.42578125" style="3" customWidth="1"/>
    <col min="10262" max="10262" width="17.42578125" style="3" customWidth="1"/>
    <col min="10263" max="10263" width="14.140625" style="3" customWidth="1"/>
    <col min="10264" max="10264" width="22" style="3" customWidth="1"/>
    <col min="10265" max="10266" width="11.42578125" style="3"/>
    <col min="10267" max="10267" width="22.42578125" style="3" customWidth="1"/>
    <col min="10268" max="10269" width="11.42578125" style="3"/>
    <col min="10270" max="10270" width="14.42578125" style="3" customWidth="1"/>
    <col min="10271" max="10271" width="20" style="3" customWidth="1"/>
    <col min="10272" max="10504" width="11.42578125" style="3"/>
    <col min="10505" max="10505" width="43.7109375" style="3" customWidth="1"/>
    <col min="10506" max="10506" width="18.28515625" style="3" customWidth="1"/>
    <col min="10507" max="10507" width="35.42578125" style="3" customWidth="1"/>
    <col min="10508" max="10508" width="56.42578125" style="3" customWidth="1"/>
    <col min="10509" max="10509" width="121.28515625" style="3" customWidth="1"/>
    <col min="10510" max="10510" width="6" style="3" customWidth="1"/>
    <col min="10511" max="10511" width="33.42578125" style="3" customWidth="1"/>
    <col min="10512" max="10512" width="14.28515625" style="3" customWidth="1"/>
    <col min="10513" max="10513" width="12.7109375" style="3" customWidth="1"/>
    <col min="10514" max="10514" width="20.85546875" style="3" customWidth="1"/>
    <col min="10515" max="10515" width="16" style="3" customWidth="1"/>
    <col min="10516" max="10516" width="5.85546875" style="3" customWidth="1"/>
    <col min="10517" max="10517" width="35.42578125" style="3" customWidth="1"/>
    <col min="10518" max="10518" width="17.42578125" style="3" customWidth="1"/>
    <col min="10519" max="10519" width="14.140625" style="3" customWidth="1"/>
    <col min="10520" max="10520" width="22" style="3" customWidth="1"/>
    <col min="10521" max="10522" width="11.42578125" style="3"/>
    <col min="10523" max="10523" width="22.42578125" style="3" customWidth="1"/>
    <col min="10524" max="10525" width="11.42578125" style="3"/>
    <col min="10526" max="10526" width="14.42578125" style="3" customWidth="1"/>
    <col min="10527" max="10527" width="20" style="3" customWidth="1"/>
    <col min="10528" max="10760" width="11.42578125" style="3"/>
    <col min="10761" max="10761" width="43.7109375" style="3" customWidth="1"/>
    <col min="10762" max="10762" width="18.28515625" style="3" customWidth="1"/>
    <col min="10763" max="10763" width="35.42578125" style="3" customWidth="1"/>
    <col min="10764" max="10764" width="56.42578125" style="3" customWidth="1"/>
    <col min="10765" max="10765" width="121.28515625" style="3" customWidth="1"/>
    <col min="10766" max="10766" width="6" style="3" customWidth="1"/>
    <col min="10767" max="10767" width="33.42578125" style="3" customWidth="1"/>
    <col min="10768" max="10768" width="14.28515625" style="3" customWidth="1"/>
    <col min="10769" max="10769" width="12.7109375" style="3" customWidth="1"/>
    <col min="10770" max="10770" width="20.85546875" style="3" customWidth="1"/>
    <col min="10771" max="10771" width="16" style="3" customWidth="1"/>
    <col min="10772" max="10772" width="5.85546875" style="3" customWidth="1"/>
    <col min="10773" max="10773" width="35.42578125" style="3" customWidth="1"/>
    <col min="10774" max="10774" width="17.42578125" style="3" customWidth="1"/>
    <col min="10775" max="10775" width="14.140625" style="3" customWidth="1"/>
    <col min="10776" max="10776" width="22" style="3" customWidth="1"/>
    <col min="10777" max="10778" width="11.42578125" style="3"/>
    <col min="10779" max="10779" width="22.42578125" style="3" customWidth="1"/>
    <col min="10780" max="10781" width="11.42578125" style="3"/>
    <col min="10782" max="10782" width="14.42578125" style="3" customWidth="1"/>
    <col min="10783" max="10783" width="20" style="3" customWidth="1"/>
    <col min="10784" max="11016" width="11.42578125" style="3"/>
    <col min="11017" max="11017" width="43.7109375" style="3" customWidth="1"/>
    <col min="11018" max="11018" width="18.28515625" style="3" customWidth="1"/>
    <col min="11019" max="11019" width="35.42578125" style="3" customWidth="1"/>
    <col min="11020" max="11020" width="56.42578125" style="3" customWidth="1"/>
    <col min="11021" max="11021" width="121.28515625" style="3" customWidth="1"/>
    <col min="11022" max="11022" width="6" style="3" customWidth="1"/>
    <col min="11023" max="11023" width="33.42578125" style="3" customWidth="1"/>
    <col min="11024" max="11024" width="14.28515625" style="3" customWidth="1"/>
    <col min="11025" max="11025" width="12.7109375" style="3" customWidth="1"/>
    <col min="11026" max="11026" width="20.85546875" style="3" customWidth="1"/>
    <col min="11027" max="11027" width="16" style="3" customWidth="1"/>
    <col min="11028" max="11028" width="5.85546875" style="3" customWidth="1"/>
    <col min="11029" max="11029" width="35.42578125" style="3" customWidth="1"/>
    <col min="11030" max="11030" width="17.42578125" style="3" customWidth="1"/>
    <col min="11031" max="11031" width="14.140625" style="3" customWidth="1"/>
    <col min="11032" max="11032" width="22" style="3" customWidth="1"/>
    <col min="11033" max="11034" width="11.42578125" style="3"/>
    <col min="11035" max="11035" width="22.42578125" style="3" customWidth="1"/>
    <col min="11036" max="11037" width="11.42578125" style="3"/>
    <col min="11038" max="11038" width="14.42578125" style="3" customWidth="1"/>
    <col min="11039" max="11039" width="20" style="3" customWidth="1"/>
    <col min="11040" max="11272" width="11.42578125" style="3"/>
    <col min="11273" max="11273" width="43.7109375" style="3" customWidth="1"/>
    <col min="11274" max="11274" width="18.28515625" style="3" customWidth="1"/>
    <col min="11275" max="11275" width="35.42578125" style="3" customWidth="1"/>
    <col min="11276" max="11276" width="56.42578125" style="3" customWidth="1"/>
    <col min="11277" max="11277" width="121.28515625" style="3" customWidth="1"/>
    <col min="11278" max="11278" width="6" style="3" customWidth="1"/>
    <col min="11279" max="11279" width="33.42578125" style="3" customWidth="1"/>
    <col min="11280" max="11280" width="14.28515625" style="3" customWidth="1"/>
    <col min="11281" max="11281" width="12.7109375" style="3" customWidth="1"/>
    <col min="11282" max="11282" width="20.85546875" style="3" customWidth="1"/>
    <col min="11283" max="11283" width="16" style="3" customWidth="1"/>
    <col min="11284" max="11284" width="5.85546875" style="3" customWidth="1"/>
    <col min="11285" max="11285" width="35.42578125" style="3" customWidth="1"/>
    <col min="11286" max="11286" width="17.42578125" style="3" customWidth="1"/>
    <col min="11287" max="11287" width="14.140625" style="3" customWidth="1"/>
    <col min="11288" max="11288" width="22" style="3" customWidth="1"/>
    <col min="11289" max="11290" width="11.42578125" style="3"/>
    <col min="11291" max="11291" width="22.42578125" style="3" customWidth="1"/>
    <col min="11292" max="11293" width="11.42578125" style="3"/>
    <col min="11294" max="11294" width="14.42578125" style="3" customWidth="1"/>
    <col min="11295" max="11295" width="20" style="3" customWidth="1"/>
    <col min="11296" max="11528" width="11.42578125" style="3"/>
    <col min="11529" max="11529" width="43.7109375" style="3" customWidth="1"/>
    <col min="11530" max="11530" width="18.28515625" style="3" customWidth="1"/>
    <col min="11531" max="11531" width="35.42578125" style="3" customWidth="1"/>
    <col min="11532" max="11532" width="56.42578125" style="3" customWidth="1"/>
    <col min="11533" max="11533" width="121.28515625" style="3" customWidth="1"/>
    <col min="11534" max="11534" width="6" style="3" customWidth="1"/>
    <col min="11535" max="11535" width="33.42578125" style="3" customWidth="1"/>
    <col min="11536" max="11536" width="14.28515625" style="3" customWidth="1"/>
    <col min="11537" max="11537" width="12.7109375" style="3" customWidth="1"/>
    <col min="11538" max="11538" width="20.85546875" style="3" customWidth="1"/>
    <col min="11539" max="11539" width="16" style="3" customWidth="1"/>
    <col min="11540" max="11540" width="5.85546875" style="3" customWidth="1"/>
    <col min="11541" max="11541" width="35.42578125" style="3" customWidth="1"/>
    <col min="11542" max="11542" width="17.42578125" style="3" customWidth="1"/>
    <col min="11543" max="11543" width="14.140625" style="3" customWidth="1"/>
    <col min="11544" max="11544" width="22" style="3" customWidth="1"/>
    <col min="11545" max="11546" width="11.42578125" style="3"/>
    <col min="11547" max="11547" width="22.42578125" style="3" customWidth="1"/>
    <col min="11548" max="11549" width="11.42578125" style="3"/>
    <col min="11550" max="11550" width="14.42578125" style="3" customWidth="1"/>
    <col min="11551" max="11551" width="20" style="3" customWidth="1"/>
    <col min="11552" max="11784" width="11.42578125" style="3"/>
    <col min="11785" max="11785" width="43.7109375" style="3" customWidth="1"/>
    <col min="11786" max="11786" width="18.28515625" style="3" customWidth="1"/>
    <col min="11787" max="11787" width="35.42578125" style="3" customWidth="1"/>
    <col min="11788" max="11788" width="56.42578125" style="3" customWidth="1"/>
    <col min="11789" max="11789" width="121.28515625" style="3" customWidth="1"/>
    <col min="11790" max="11790" width="6" style="3" customWidth="1"/>
    <col min="11791" max="11791" width="33.42578125" style="3" customWidth="1"/>
    <col min="11792" max="11792" width="14.28515625" style="3" customWidth="1"/>
    <col min="11793" max="11793" width="12.7109375" style="3" customWidth="1"/>
    <col min="11794" max="11794" width="20.85546875" style="3" customWidth="1"/>
    <col min="11795" max="11795" width="16" style="3" customWidth="1"/>
    <col min="11796" max="11796" width="5.85546875" style="3" customWidth="1"/>
    <col min="11797" max="11797" width="35.42578125" style="3" customWidth="1"/>
    <col min="11798" max="11798" width="17.42578125" style="3" customWidth="1"/>
    <col min="11799" max="11799" width="14.140625" style="3" customWidth="1"/>
    <col min="11800" max="11800" width="22" style="3" customWidth="1"/>
    <col min="11801" max="11802" width="11.42578125" style="3"/>
    <col min="11803" max="11803" width="22.42578125" style="3" customWidth="1"/>
    <col min="11804" max="11805" width="11.42578125" style="3"/>
    <col min="11806" max="11806" width="14.42578125" style="3" customWidth="1"/>
    <col min="11807" max="11807" width="20" style="3" customWidth="1"/>
    <col min="11808" max="12040" width="11.42578125" style="3"/>
    <col min="12041" max="12041" width="43.7109375" style="3" customWidth="1"/>
    <col min="12042" max="12042" width="18.28515625" style="3" customWidth="1"/>
    <col min="12043" max="12043" width="35.42578125" style="3" customWidth="1"/>
    <col min="12044" max="12044" width="56.42578125" style="3" customWidth="1"/>
    <col min="12045" max="12045" width="121.28515625" style="3" customWidth="1"/>
    <col min="12046" max="12046" width="6" style="3" customWidth="1"/>
    <col min="12047" max="12047" width="33.42578125" style="3" customWidth="1"/>
    <col min="12048" max="12048" width="14.28515625" style="3" customWidth="1"/>
    <col min="12049" max="12049" width="12.7109375" style="3" customWidth="1"/>
    <col min="12050" max="12050" width="20.85546875" style="3" customWidth="1"/>
    <col min="12051" max="12051" width="16" style="3" customWidth="1"/>
    <col min="12052" max="12052" width="5.85546875" style="3" customWidth="1"/>
    <col min="12053" max="12053" width="35.42578125" style="3" customWidth="1"/>
    <col min="12054" max="12054" width="17.42578125" style="3" customWidth="1"/>
    <col min="12055" max="12055" width="14.140625" style="3" customWidth="1"/>
    <col min="12056" max="12056" width="22" style="3" customWidth="1"/>
    <col min="12057" max="12058" width="11.42578125" style="3"/>
    <col min="12059" max="12059" width="22.42578125" style="3" customWidth="1"/>
    <col min="12060" max="12061" width="11.42578125" style="3"/>
    <col min="12062" max="12062" width="14.42578125" style="3" customWidth="1"/>
    <col min="12063" max="12063" width="20" style="3" customWidth="1"/>
    <col min="12064" max="12296" width="11.42578125" style="3"/>
    <col min="12297" max="12297" width="43.7109375" style="3" customWidth="1"/>
    <col min="12298" max="12298" width="18.28515625" style="3" customWidth="1"/>
    <col min="12299" max="12299" width="35.42578125" style="3" customWidth="1"/>
    <col min="12300" max="12300" width="56.42578125" style="3" customWidth="1"/>
    <col min="12301" max="12301" width="121.28515625" style="3" customWidth="1"/>
    <col min="12302" max="12302" width="6" style="3" customWidth="1"/>
    <col min="12303" max="12303" width="33.42578125" style="3" customWidth="1"/>
    <col min="12304" max="12304" width="14.28515625" style="3" customWidth="1"/>
    <col min="12305" max="12305" width="12.7109375" style="3" customWidth="1"/>
    <col min="12306" max="12306" width="20.85546875" style="3" customWidth="1"/>
    <col min="12307" max="12307" width="16" style="3" customWidth="1"/>
    <col min="12308" max="12308" width="5.85546875" style="3" customWidth="1"/>
    <col min="12309" max="12309" width="35.42578125" style="3" customWidth="1"/>
    <col min="12310" max="12310" width="17.42578125" style="3" customWidth="1"/>
    <col min="12311" max="12311" width="14.140625" style="3" customWidth="1"/>
    <col min="12312" max="12312" width="22" style="3" customWidth="1"/>
    <col min="12313" max="12314" width="11.42578125" style="3"/>
    <col min="12315" max="12315" width="22.42578125" style="3" customWidth="1"/>
    <col min="12316" max="12317" width="11.42578125" style="3"/>
    <col min="12318" max="12318" width="14.42578125" style="3" customWidth="1"/>
    <col min="12319" max="12319" width="20" style="3" customWidth="1"/>
    <col min="12320" max="12552" width="11.42578125" style="3"/>
    <col min="12553" max="12553" width="43.7109375" style="3" customWidth="1"/>
    <col min="12554" max="12554" width="18.28515625" style="3" customWidth="1"/>
    <col min="12555" max="12555" width="35.42578125" style="3" customWidth="1"/>
    <col min="12556" max="12556" width="56.42578125" style="3" customWidth="1"/>
    <col min="12557" max="12557" width="121.28515625" style="3" customWidth="1"/>
    <col min="12558" max="12558" width="6" style="3" customWidth="1"/>
    <col min="12559" max="12559" width="33.42578125" style="3" customWidth="1"/>
    <col min="12560" max="12560" width="14.28515625" style="3" customWidth="1"/>
    <col min="12561" max="12561" width="12.7109375" style="3" customWidth="1"/>
    <col min="12562" max="12562" width="20.85546875" style="3" customWidth="1"/>
    <col min="12563" max="12563" width="16" style="3" customWidth="1"/>
    <col min="12564" max="12564" width="5.85546875" style="3" customWidth="1"/>
    <col min="12565" max="12565" width="35.42578125" style="3" customWidth="1"/>
    <col min="12566" max="12566" width="17.42578125" style="3" customWidth="1"/>
    <col min="12567" max="12567" width="14.140625" style="3" customWidth="1"/>
    <col min="12568" max="12568" width="22" style="3" customWidth="1"/>
    <col min="12569" max="12570" width="11.42578125" style="3"/>
    <col min="12571" max="12571" width="22.42578125" style="3" customWidth="1"/>
    <col min="12572" max="12573" width="11.42578125" style="3"/>
    <col min="12574" max="12574" width="14.42578125" style="3" customWidth="1"/>
    <col min="12575" max="12575" width="20" style="3" customWidth="1"/>
    <col min="12576" max="12808" width="11.42578125" style="3"/>
    <col min="12809" max="12809" width="43.7109375" style="3" customWidth="1"/>
    <col min="12810" max="12810" width="18.28515625" style="3" customWidth="1"/>
    <col min="12811" max="12811" width="35.42578125" style="3" customWidth="1"/>
    <col min="12812" max="12812" width="56.42578125" style="3" customWidth="1"/>
    <col min="12813" max="12813" width="121.28515625" style="3" customWidth="1"/>
    <col min="12814" max="12814" width="6" style="3" customWidth="1"/>
    <col min="12815" max="12815" width="33.42578125" style="3" customWidth="1"/>
    <col min="12816" max="12816" width="14.28515625" style="3" customWidth="1"/>
    <col min="12817" max="12817" width="12.7109375" style="3" customWidth="1"/>
    <col min="12818" max="12818" width="20.85546875" style="3" customWidth="1"/>
    <col min="12819" max="12819" width="16" style="3" customWidth="1"/>
    <col min="12820" max="12820" width="5.85546875" style="3" customWidth="1"/>
    <col min="12821" max="12821" width="35.42578125" style="3" customWidth="1"/>
    <col min="12822" max="12822" width="17.42578125" style="3" customWidth="1"/>
    <col min="12823" max="12823" width="14.140625" style="3" customWidth="1"/>
    <col min="12824" max="12824" width="22" style="3" customWidth="1"/>
    <col min="12825" max="12826" width="11.42578125" style="3"/>
    <col min="12827" max="12827" width="22.42578125" style="3" customWidth="1"/>
    <col min="12828" max="12829" width="11.42578125" style="3"/>
    <col min="12830" max="12830" width="14.42578125" style="3" customWidth="1"/>
    <col min="12831" max="12831" width="20" style="3" customWidth="1"/>
    <col min="12832" max="13064" width="11.42578125" style="3"/>
    <col min="13065" max="13065" width="43.7109375" style="3" customWidth="1"/>
    <col min="13066" max="13066" width="18.28515625" style="3" customWidth="1"/>
    <col min="13067" max="13067" width="35.42578125" style="3" customWidth="1"/>
    <col min="13068" max="13068" width="56.42578125" style="3" customWidth="1"/>
    <col min="13069" max="13069" width="121.28515625" style="3" customWidth="1"/>
    <col min="13070" max="13070" width="6" style="3" customWidth="1"/>
    <col min="13071" max="13071" width="33.42578125" style="3" customWidth="1"/>
    <col min="13072" max="13072" width="14.28515625" style="3" customWidth="1"/>
    <col min="13073" max="13073" width="12.7109375" style="3" customWidth="1"/>
    <col min="13074" max="13074" width="20.85546875" style="3" customWidth="1"/>
    <col min="13075" max="13075" width="16" style="3" customWidth="1"/>
    <col min="13076" max="13076" width="5.85546875" style="3" customWidth="1"/>
    <col min="13077" max="13077" width="35.42578125" style="3" customWidth="1"/>
    <col min="13078" max="13078" width="17.42578125" style="3" customWidth="1"/>
    <col min="13079" max="13079" width="14.140625" style="3" customWidth="1"/>
    <col min="13080" max="13080" width="22" style="3" customWidth="1"/>
    <col min="13081" max="13082" width="11.42578125" style="3"/>
    <col min="13083" max="13083" width="22.42578125" style="3" customWidth="1"/>
    <col min="13084" max="13085" width="11.42578125" style="3"/>
    <col min="13086" max="13086" width="14.42578125" style="3" customWidth="1"/>
    <col min="13087" max="13087" width="20" style="3" customWidth="1"/>
    <col min="13088" max="13320" width="11.42578125" style="3"/>
    <col min="13321" max="13321" width="43.7109375" style="3" customWidth="1"/>
    <col min="13322" max="13322" width="18.28515625" style="3" customWidth="1"/>
    <col min="13323" max="13323" width="35.42578125" style="3" customWidth="1"/>
    <col min="13324" max="13324" width="56.42578125" style="3" customWidth="1"/>
    <col min="13325" max="13325" width="121.28515625" style="3" customWidth="1"/>
    <col min="13326" max="13326" width="6" style="3" customWidth="1"/>
    <col min="13327" max="13327" width="33.42578125" style="3" customWidth="1"/>
    <col min="13328" max="13328" width="14.28515625" style="3" customWidth="1"/>
    <col min="13329" max="13329" width="12.7109375" style="3" customWidth="1"/>
    <col min="13330" max="13330" width="20.85546875" style="3" customWidth="1"/>
    <col min="13331" max="13331" width="16" style="3" customWidth="1"/>
    <col min="13332" max="13332" width="5.85546875" style="3" customWidth="1"/>
    <col min="13333" max="13333" width="35.42578125" style="3" customWidth="1"/>
    <col min="13334" max="13334" width="17.42578125" style="3" customWidth="1"/>
    <col min="13335" max="13335" width="14.140625" style="3" customWidth="1"/>
    <col min="13336" max="13336" width="22" style="3" customWidth="1"/>
    <col min="13337" max="13338" width="11.42578125" style="3"/>
    <col min="13339" max="13339" width="22.42578125" style="3" customWidth="1"/>
    <col min="13340" max="13341" width="11.42578125" style="3"/>
    <col min="13342" max="13342" width="14.42578125" style="3" customWidth="1"/>
    <col min="13343" max="13343" width="20" style="3" customWidth="1"/>
    <col min="13344" max="13576" width="11.42578125" style="3"/>
    <col min="13577" max="13577" width="43.7109375" style="3" customWidth="1"/>
    <col min="13578" max="13578" width="18.28515625" style="3" customWidth="1"/>
    <col min="13579" max="13579" width="35.42578125" style="3" customWidth="1"/>
    <col min="13580" max="13580" width="56.42578125" style="3" customWidth="1"/>
    <col min="13581" max="13581" width="121.28515625" style="3" customWidth="1"/>
    <col min="13582" max="13582" width="6" style="3" customWidth="1"/>
    <col min="13583" max="13583" width="33.42578125" style="3" customWidth="1"/>
    <col min="13584" max="13584" width="14.28515625" style="3" customWidth="1"/>
    <col min="13585" max="13585" width="12.7109375" style="3" customWidth="1"/>
    <col min="13586" max="13586" width="20.85546875" style="3" customWidth="1"/>
    <col min="13587" max="13587" width="16" style="3" customWidth="1"/>
    <col min="13588" max="13588" width="5.85546875" style="3" customWidth="1"/>
    <col min="13589" max="13589" width="35.42578125" style="3" customWidth="1"/>
    <col min="13590" max="13590" width="17.42578125" style="3" customWidth="1"/>
    <col min="13591" max="13591" width="14.140625" style="3" customWidth="1"/>
    <col min="13592" max="13592" width="22" style="3" customWidth="1"/>
    <col min="13593" max="13594" width="11.42578125" style="3"/>
    <col min="13595" max="13595" width="22.42578125" style="3" customWidth="1"/>
    <col min="13596" max="13597" width="11.42578125" style="3"/>
    <col min="13598" max="13598" width="14.42578125" style="3" customWidth="1"/>
    <col min="13599" max="13599" width="20" style="3" customWidth="1"/>
    <col min="13600" max="13832" width="11.42578125" style="3"/>
    <col min="13833" max="13833" width="43.7109375" style="3" customWidth="1"/>
    <col min="13834" max="13834" width="18.28515625" style="3" customWidth="1"/>
    <col min="13835" max="13835" width="35.42578125" style="3" customWidth="1"/>
    <col min="13836" max="13836" width="56.42578125" style="3" customWidth="1"/>
    <col min="13837" max="13837" width="121.28515625" style="3" customWidth="1"/>
    <col min="13838" max="13838" width="6" style="3" customWidth="1"/>
    <col min="13839" max="13839" width="33.42578125" style="3" customWidth="1"/>
    <col min="13840" max="13840" width="14.28515625" style="3" customWidth="1"/>
    <col min="13841" max="13841" width="12.7109375" style="3" customWidth="1"/>
    <col min="13842" max="13842" width="20.85546875" style="3" customWidth="1"/>
    <col min="13843" max="13843" width="16" style="3" customWidth="1"/>
    <col min="13844" max="13844" width="5.85546875" style="3" customWidth="1"/>
    <col min="13845" max="13845" width="35.42578125" style="3" customWidth="1"/>
    <col min="13846" max="13846" width="17.42578125" style="3" customWidth="1"/>
    <col min="13847" max="13847" width="14.140625" style="3" customWidth="1"/>
    <col min="13848" max="13848" width="22" style="3" customWidth="1"/>
    <col min="13849" max="13850" width="11.42578125" style="3"/>
    <col min="13851" max="13851" width="22.42578125" style="3" customWidth="1"/>
    <col min="13852" max="13853" width="11.42578125" style="3"/>
    <col min="13854" max="13854" width="14.42578125" style="3" customWidth="1"/>
    <col min="13855" max="13855" width="20" style="3" customWidth="1"/>
    <col min="13856" max="14088" width="11.42578125" style="3"/>
    <col min="14089" max="14089" width="43.7109375" style="3" customWidth="1"/>
    <col min="14090" max="14090" width="18.28515625" style="3" customWidth="1"/>
    <col min="14091" max="14091" width="35.42578125" style="3" customWidth="1"/>
    <col min="14092" max="14092" width="56.42578125" style="3" customWidth="1"/>
    <col min="14093" max="14093" width="121.28515625" style="3" customWidth="1"/>
    <col min="14094" max="14094" width="6" style="3" customWidth="1"/>
    <col min="14095" max="14095" width="33.42578125" style="3" customWidth="1"/>
    <col min="14096" max="14096" width="14.28515625" style="3" customWidth="1"/>
    <col min="14097" max="14097" width="12.7109375" style="3" customWidth="1"/>
    <col min="14098" max="14098" width="20.85546875" style="3" customWidth="1"/>
    <col min="14099" max="14099" width="16" style="3" customWidth="1"/>
    <col min="14100" max="14100" width="5.85546875" style="3" customWidth="1"/>
    <col min="14101" max="14101" width="35.42578125" style="3" customWidth="1"/>
    <col min="14102" max="14102" width="17.42578125" style="3" customWidth="1"/>
    <col min="14103" max="14103" width="14.140625" style="3" customWidth="1"/>
    <col min="14104" max="14104" width="22" style="3" customWidth="1"/>
    <col min="14105" max="14106" width="11.42578125" style="3"/>
    <col min="14107" max="14107" width="22.42578125" style="3" customWidth="1"/>
    <col min="14108" max="14109" width="11.42578125" style="3"/>
    <col min="14110" max="14110" width="14.42578125" style="3" customWidth="1"/>
    <col min="14111" max="14111" width="20" style="3" customWidth="1"/>
    <col min="14112" max="14344" width="11.42578125" style="3"/>
    <col min="14345" max="14345" width="43.7109375" style="3" customWidth="1"/>
    <col min="14346" max="14346" width="18.28515625" style="3" customWidth="1"/>
    <col min="14347" max="14347" width="35.42578125" style="3" customWidth="1"/>
    <col min="14348" max="14348" width="56.42578125" style="3" customWidth="1"/>
    <col min="14349" max="14349" width="121.28515625" style="3" customWidth="1"/>
    <col min="14350" max="14350" width="6" style="3" customWidth="1"/>
    <col min="14351" max="14351" width="33.42578125" style="3" customWidth="1"/>
    <col min="14352" max="14352" width="14.28515625" style="3" customWidth="1"/>
    <col min="14353" max="14353" width="12.7109375" style="3" customWidth="1"/>
    <col min="14354" max="14354" width="20.85546875" style="3" customWidth="1"/>
    <col min="14355" max="14355" width="16" style="3" customWidth="1"/>
    <col min="14356" max="14356" width="5.85546875" style="3" customWidth="1"/>
    <col min="14357" max="14357" width="35.42578125" style="3" customWidth="1"/>
    <col min="14358" max="14358" width="17.42578125" style="3" customWidth="1"/>
    <col min="14359" max="14359" width="14.140625" style="3" customWidth="1"/>
    <col min="14360" max="14360" width="22" style="3" customWidth="1"/>
    <col min="14361" max="14362" width="11.42578125" style="3"/>
    <col min="14363" max="14363" width="22.42578125" style="3" customWidth="1"/>
    <col min="14364" max="14365" width="11.42578125" style="3"/>
    <col min="14366" max="14366" width="14.42578125" style="3" customWidth="1"/>
    <col min="14367" max="14367" width="20" style="3" customWidth="1"/>
    <col min="14368" max="14600" width="11.42578125" style="3"/>
    <col min="14601" max="14601" width="43.7109375" style="3" customWidth="1"/>
    <col min="14602" max="14602" width="18.28515625" style="3" customWidth="1"/>
    <col min="14603" max="14603" width="35.42578125" style="3" customWidth="1"/>
    <col min="14604" max="14604" width="56.42578125" style="3" customWidth="1"/>
    <col min="14605" max="14605" width="121.28515625" style="3" customWidth="1"/>
    <col min="14606" max="14606" width="6" style="3" customWidth="1"/>
    <col min="14607" max="14607" width="33.42578125" style="3" customWidth="1"/>
    <col min="14608" max="14608" width="14.28515625" style="3" customWidth="1"/>
    <col min="14609" max="14609" width="12.7109375" style="3" customWidth="1"/>
    <col min="14610" max="14610" width="20.85546875" style="3" customWidth="1"/>
    <col min="14611" max="14611" width="16" style="3" customWidth="1"/>
    <col min="14612" max="14612" width="5.85546875" style="3" customWidth="1"/>
    <col min="14613" max="14613" width="35.42578125" style="3" customWidth="1"/>
    <col min="14614" max="14614" width="17.42578125" style="3" customWidth="1"/>
    <col min="14615" max="14615" width="14.140625" style="3" customWidth="1"/>
    <col min="14616" max="14616" width="22" style="3" customWidth="1"/>
    <col min="14617" max="14618" width="11.42578125" style="3"/>
    <col min="14619" max="14619" width="22.42578125" style="3" customWidth="1"/>
    <col min="14620" max="14621" width="11.42578125" style="3"/>
    <col min="14622" max="14622" width="14.42578125" style="3" customWidth="1"/>
    <col min="14623" max="14623" width="20" style="3" customWidth="1"/>
    <col min="14624" max="14856" width="11.42578125" style="3"/>
    <col min="14857" max="14857" width="43.7109375" style="3" customWidth="1"/>
    <col min="14858" max="14858" width="18.28515625" style="3" customWidth="1"/>
    <col min="14859" max="14859" width="35.42578125" style="3" customWidth="1"/>
    <col min="14860" max="14860" width="56.42578125" style="3" customWidth="1"/>
    <col min="14861" max="14861" width="121.28515625" style="3" customWidth="1"/>
    <col min="14862" max="14862" width="6" style="3" customWidth="1"/>
    <col min="14863" max="14863" width="33.42578125" style="3" customWidth="1"/>
    <col min="14864" max="14864" width="14.28515625" style="3" customWidth="1"/>
    <col min="14865" max="14865" width="12.7109375" style="3" customWidth="1"/>
    <col min="14866" max="14866" width="20.85546875" style="3" customWidth="1"/>
    <col min="14867" max="14867" width="16" style="3" customWidth="1"/>
    <col min="14868" max="14868" width="5.85546875" style="3" customWidth="1"/>
    <col min="14869" max="14869" width="35.42578125" style="3" customWidth="1"/>
    <col min="14870" max="14870" width="17.42578125" style="3" customWidth="1"/>
    <col min="14871" max="14871" width="14.140625" style="3" customWidth="1"/>
    <col min="14872" max="14872" width="22" style="3" customWidth="1"/>
    <col min="14873" max="14874" width="11.42578125" style="3"/>
    <col min="14875" max="14875" width="22.42578125" style="3" customWidth="1"/>
    <col min="14876" max="14877" width="11.42578125" style="3"/>
    <col min="14878" max="14878" width="14.42578125" style="3" customWidth="1"/>
    <col min="14879" max="14879" width="20" style="3" customWidth="1"/>
    <col min="14880" max="15112" width="11.42578125" style="3"/>
    <col min="15113" max="15113" width="43.7109375" style="3" customWidth="1"/>
    <col min="15114" max="15114" width="18.28515625" style="3" customWidth="1"/>
    <col min="15115" max="15115" width="35.42578125" style="3" customWidth="1"/>
    <col min="15116" max="15116" width="56.42578125" style="3" customWidth="1"/>
    <col min="15117" max="15117" width="121.28515625" style="3" customWidth="1"/>
    <col min="15118" max="15118" width="6" style="3" customWidth="1"/>
    <col min="15119" max="15119" width="33.42578125" style="3" customWidth="1"/>
    <col min="15120" max="15120" width="14.28515625" style="3" customWidth="1"/>
    <col min="15121" max="15121" width="12.7109375" style="3" customWidth="1"/>
    <col min="15122" max="15122" width="20.85546875" style="3" customWidth="1"/>
    <col min="15123" max="15123" width="16" style="3" customWidth="1"/>
    <col min="15124" max="15124" width="5.85546875" style="3" customWidth="1"/>
    <col min="15125" max="15125" width="35.42578125" style="3" customWidth="1"/>
    <col min="15126" max="15126" width="17.42578125" style="3" customWidth="1"/>
    <col min="15127" max="15127" width="14.140625" style="3" customWidth="1"/>
    <col min="15128" max="15128" width="22" style="3" customWidth="1"/>
    <col min="15129" max="15130" width="11.42578125" style="3"/>
    <col min="15131" max="15131" width="22.42578125" style="3" customWidth="1"/>
    <col min="15132" max="15133" width="11.42578125" style="3"/>
    <col min="15134" max="15134" width="14.42578125" style="3" customWidth="1"/>
    <col min="15135" max="15135" width="20" style="3" customWidth="1"/>
    <col min="15136" max="15368" width="11.42578125" style="3"/>
    <col min="15369" max="15369" width="43.7109375" style="3" customWidth="1"/>
    <col min="15370" max="15370" width="18.28515625" style="3" customWidth="1"/>
    <col min="15371" max="15371" width="35.42578125" style="3" customWidth="1"/>
    <col min="15372" max="15372" width="56.42578125" style="3" customWidth="1"/>
    <col min="15373" max="15373" width="121.28515625" style="3" customWidth="1"/>
    <col min="15374" max="15374" width="6" style="3" customWidth="1"/>
    <col min="15375" max="15375" width="33.42578125" style="3" customWidth="1"/>
    <col min="15376" max="15376" width="14.28515625" style="3" customWidth="1"/>
    <col min="15377" max="15377" width="12.7109375" style="3" customWidth="1"/>
    <col min="15378" max="15378" width="20.85546875" style="3" customWidth="1"/>
    <col min="15379" max="15379" width="16" style="3" customWidth="1"/>
    <col min="15380" max="15380" width="5.85546875" style="3" customWidth="1"/>
    <col min="15381" max="15381" width="35.42578125" style="3" customWidth="1"/>
    <col min="15382" max="15382" width="17.42578125" style="3" customWidth="1"/>
    <col min="15383" max="15383" width="14.140625" style="3" customWidth="1"/>
    <col min="15384" max="15384" width="22" style="3" customWidth="1"/>
    <col min="15385" max="15386" width="11.42578125" style="3"/>
    <col min="15387" max="15387" width="22.42578125" style="3" customWidth="1"/>
    <col min="15388" max="15389" width="11.42578125" style="3"/>
    <col min="15390" max="15390" width="14.42578125" style="3" customWidth="1"/>
    <col min="15391" max="15391" width="20" style="3" customWidth="1"/>
    <col min="15392" max="15624" width="11.42578125" style="3"/>
    <col min="15625" max="15625" width="43.7109375" style="3" customWidth="1"/>
    <col min="15626" max="15626" width="18.28515625" style="3" customWidth="1"/>
    <col min="15627" max="15627" width="35.42578125" style="3" customWidth="1"/>
    <col min="15628" max="15628" width="56.42578125" style="3" customWidth="1"/>
    <col min="15629" max="15629" width="121.28515625" style="3" customWidth="1"/>
    <col min="15630" max="15630" width="6" style="3" customWidth="1"/>
    <col min="15631" max="15631" width="33.42578125" style="3" customWidth="1"/>
    <col min="15632" max="15632" width="14.28515625" style="3" customWidth="1"/>
    <col min="15633" max="15633" width="12.7109375" style="3" customWidth="1"/>
    <col min="15634" max="15634" width="20.85546875" style="3" customWidth="1"/>
    <col min="15635" max="15635" width="16" style="3" customWidth="1"/>
    <col min="15636" max="15636" width="5.85546875" style="3" customWidth="1"/>
    <col min="15637" max="15637" width="35.42578125" style="3" customWidth="1"/>
    <col min="15638" max="15638" width="17.42578125" style="3" customWidth="1"/>
    <col min="15639" max="15639" width="14.140625" style="3" customWidth="1"/>
    <col min="15640" max="15640" width="22" style="3" customWidth="1"/>
    <col min="15641" max="15642" width="11.42578125" style="3"/>
    <col min="15643" max="15643" width="22.42578125" style="3" customWidth="1"/>
    <col min="15644" max="15645" width="11.42578125" style="3"/>
    <col min="15646" max="15646" width="14.42578125" style="3" customWidth="1"/>
    <col min="15647" max="15647" width="20" style="3" customWidth="1"/>
    <col min="15648" max="15880" width="11.42578125" style="3"/>
    <col min="15881" max="15881" width="43.7109375" style="3" customWidth="1"/>
    <col min="15882" max="15882" width="18.28515625" style="3" customWidth="1"/>
    <col min="15883" max="15883" width="35.42578125" style="3" customWidth="1"/>
    <col min="15884" max="15884" width="56.42578125" style="3" customWidth="1"/>
    <col min="15885" max="15885" width="121.28515625" style="3" customWidth="1"/>
    <col min="15886" max="15886" width="6" style="3" customWidth="1"/>
    <col min="15887" max="15887" width="33.42578125" style="3" customWidth="1"/>
    <col min="15888" max="15888" width="14.28515625" style="3" customWidth="1"/>
    <col min="15889" max="15889" width="12.7109375" style="3" customWidth="1"/>
    <col min="15890" max="15890" width="20.85546875" style="3" customWidth="1"/>
    <col min="15891" max="15891" width="16" style="3" customWidth="1"/>
    <col min="15892" max="15892" width="5.85546875" style="3" customWidth="1"/>
    <col min="15893" max="15893" width="35.42578125" style="3" customWidth="1"/>
    <col min="15894" max="15894" width="17.42578125" style="3" customWidth="1"/>
    <col min="15895" max="15895" width="14.140625" style="3" customWidth="1"/>
    <col min="15896" max="15896" width="22" style="3" customWidth="1"/>
    <col min="15897" max="15898" width="11.42578125" style="3"/>
    <col min="15899" max="15899" width="22.42578125" style="3" customWidth="1"/>
    <col min="15900" max="15901" width="11.42578125" style="3"/>
    <col min="15902" max="15902" width="14.42578125" style="3" customWidth="1"/>
    <col min="15903" max="15903" width="20" style="3" customWidth="1"/>
    <col min="15904" max="16136" width="11.42578125" style="3"/>
    <col min="16137" max="16137" width="43.7109375" style="3" customWidth="1"/>
    <col min="16138" max="16138" width="18.28515625" style="3" customWidth="1"/>
    <col min="16139" max="16139" width="35.42578125" style="3" customWidth="1"/>
    <col min="16140" max="16140" width="56.42578125" style="3" customWidth="1"/>
    <col min="16141" max="16141" width="121.28515625" style="3" customWidth="1"/>
    <col min="16142" max="16142" width="6" style="3" customWidth="1"/>
    <col min="16143" max="16143" width="33.42578125" style="3" customWidth="1"/>
    <col min="16144" max="16144" width="14.28515625" style="3" customWidth="1"/>
    <col min="16145" max="16145" width="12.7109375" style="3" customWidth="1"/>
    <col min="16146" max="16146" width="20.85546875" style="3" customWidth="1"/>
    <col min="16147" max="16147" width="16" style="3" customWidth="1"/>
    <col min="16148" max="16148" width="5.85546875" style="3" customWidth="1"/>
    <col min="16149" max="16149" width="35.42578125" style="3" customWidth="1"/>
    <col min="16150" max="16150" width="17.42578125" style="3" customWidth="1"/>
    <col min="16151" max="16151" width="14.140625" style="3" customWidth="1"/>
    <col min="16152" max="16152" width="22" style="3" customWidth="1"/>
    <col min="16153" max="16154" width="11.42578125" style="3"/>
    <col min="16155" max="16155" width="22.42578125" style="3" customWidth="1"/>
    <col min="16156" max="16157" width="11.42578125" style="3"/>
    <col min="16158" max="16158" width="14.42578125" style="3" customWidth="1"/>
    <col min="16159" max="16159" width="20" style="3" customWidth="1"/>
    <col min="16160" max="16384" width="11.42578125" style="3"/>
  </cols>
  <sheetData>
    <row r="1" spans="1:31" ht="15.75" x14ac:dyDescent="0.2">
      <c r="A1" s="422" t="s">
        <v>0</v>
      </c>
      <c r="B1" s="422"/>
      <c r="C1" s="422"/>
      <c r="D1" s="422"/>
      <c r="E1" s="422"/>
      <c r="F1" s="422"/>
      <c r="G1" s="422"/>
      <c r="H1" s="2"/>
      <c r="I1" s="2"/>
      <c r="J1" s="2"/>
      <c r="K1" s="2"/>
      <c r="L1" s="2"/>
      <c r="M1" s="2"/>
      <c r="N1" s="2"/>
      <c r="O1" s="295"/>
      <c r="P1" s="2"/>
      <c r="Q1" s="2"/>
      <c r="R1" s="2"/>
      <c r="S1" s="2"/>
      <c r="T1" s="2"/>
      <c r="U1" s="2"/>
      <c r="V1" s="2"/>
      <c r="W1" s="2"/>
      <c r="X1" s="2"/>
      <c r="Y1" s="2"/>
    </row>
    <row r="2" spans="1:31" ht="15.75" x14ac:dyDescent="0.2">
      <c r="A2" s="422" t="s">
        <v>1</v>
      </c>
      <c r="B2" s="422"/>
      <c r="C2" s="422"/>
      <c r="D2" s="422"/>
      <c r="E2" s="422"/>
      <c r="F2" s="422"/>
      <c r="G2" s="422"/>
      <c r="H2" s="2"/>
      <c r="I2" s="423" t="s">
        <v>2</v>
      </c>
      <c r="J2" s="424"/>
      <c r="K2" s="424"/>
      <c r="L2" s="424"/>
      <c r="M2" s="424"/>
      <c r="N2" s="424"/>
      <c r="O2" s="424"/>
      <c r="P2" s="425"/>
      <c r="Q2" s="2"/>
      <c r="R2" s="418" t="s">
        <v>3</v>
      </c>
      <c r="S2" s="419"/>
      <c r="T2" s="419"/>
      <c r="U2" s="419"/>
      <c r="V2" s="419"/>
      <c r="W2" s="419"/>
      <c r="X2" s="419"/>
      <c r="Y2" s="420"/>
      <c r="AA2" s="417"/>
      <c r="AB2" s="417"/>
      <c r="AC2" s="417"/>
      <c r="AD2" s="417"/>
      <c r="AE2" s="417"/>
    </row>
    <row r="3" spans="1:31" ht="28.5" customHeight="1" x14ac:dyDescent="0.2">
      <c r="A3" s="1" t="s">
        <v>4</v>
      </c>
      <c r="B3" s="5" t="s">
        <v>5</v>
      </c>
      <c r="C3" s="5" t="s">
        <v>6</v>
      </c>
      <c r="D3" s="5" t="s">
        <v>7</v>
      </c>
      <c r="E3" s="5" t="s">
        <v>8</v>
      </c>
      <c r="F3" s="6" t="s">
        <v>9</v>
      </c>
      <c r="G3" s="5" t="s">
        <v>10</v>
      </c>
      <c r="H3" s="2"/>
      <c r="I3" s="7" t="s">
        <v>11</v>
      </c>
      <c r="J3" s="7" t="s">
        <v>4</v>
      </c>
      <c r="K3" s="8" t="s">
        <v>5</v>
      </c>
      <c r="L3" s="8" t="s">
        <v>6</v>
      </c>
      <c r="M3" s="8" t="s">
        <v>7</v>
      </c>
      <c r="N3" s="8" t="s">
        <v>8</v>
      </c>
      <c r="O3" s="8" t="s">
        <v>9</v>
      </c>
      <c r="P3" s="8" t="s">
        <v>10</v>
      </c>
      <c r="Q3" s="2"/>
      <c r="R3" s="303" t="s">
        <v>11</v>
      </c>
      <c r="S3" s="304" t="s">
        <v>4</v>
      </c>
      <c r="T3" s="305" t="s">
        <v>5</v>
      </c>
      <c r="U3" s="305" t="s">
        <v>6</v>
      </c>
      <c r="V3" s="305" t="s">
        <v>7</v>
      </c>
      <c r="W3" s="305" t="s">
        <v>8</v>
      </c>
      <c r="X3" s="305" t="s">
        <v>9</v>
      </c>
      <c r="Y3" s="305" t="s">
        <v>10</v>
      </c>
      <c r="AA3" s="4"/>
      <c r="AB3" s="9"/>
      <c r="AC3" s="9"/>
      <c r="AD3" s="9"/>
      <c r="AE3" s="9"/>
    </row>
    <row r="4" spans="1:31" ht="31.5" x14ac:dyDescent="0.25">
      <c r="A4" s="10" t="s">
        <v>12</v>
      </c>
      <c r="B4" s="11" t="str">
        <f>+IF(F4=0,0,MID(F4,LEN(F4)-4,3))</f>
        <v xml:space="preserve">04 </v>
      </c>
      <c r="C4" s="12">
        <v>1</v>
      </c>
      <c r="D4" s="12" t="s">
        <v>229</v>
      </c>
      <c r="E4" s="13" t="str">
        <f>+IF(F4=0,0,CONCATENATE(MID(F4,FIND("-",F4,1)+1,4),"ORAS"))</f>
        <v>15 HORAS</v>
      </c>
      <c r="F4" s="14" t="s">
        <v>351</v>
      </c>
      <c r="G4" s="341">
        <f>+IF(F4="","",VLOOKUP(F4,$H$139:$I$217,2,FALSE))</f>
        <v>1955007</v>
      </c>
      <c r="H4" s="2"/>
      <c r="I4" s="15" t="s">
        <v>13</v>
      </c>
      <c r="J4" s="14" t="s">
        <v>16</v>
      </c>
      <c r="K4" s="11" t="str">
        <f>+IF(O4=0,0,MID(O4,LEN(O4)-4,3))</f>
        <v xml:space="preserve">03 </v>
      </c>
      <c r="L4" s="17">
        <v>1</v>
      </c>
      <c r="M4" s="12" t="s">
        <v>229</v>
      </c>
      <c r="N4" s="13" t="str">
        <f>+IF(O4=0,0,CONCATENATE(MID(O4,FIND("-",O4,1)+1,4),"ORAS"))</f>
        <v>15 HORAS</v>
      </c>
      <c r="O4" s="296" t="s">
        <v>394</v>
      </c>
      <c r="P4" s="341">
        <f>+IF(O4="","",VLOOKUP(O4,$H$139:$I$217,2,FALSE))</f>
        <v>1019917</v>
      </c>
      <c r="Q4" s="2"/>
      <c r="R4" s="306" t="s">
        <v>13</v>
      </c>
      <c r="S4" s="307" t="s">
        <v>14</v>
      </c>
      <c r="T4" s="308">
        <v>4</v>
      </c>
      <c r="U4" s="309">
        <v>1</v>
      </c>
      <c r="V4" s="310" t="s">
        <v>229</v>
      </c>
      <c r="W4" s="13" t="str">
        <f>+IF(X4=0,0,CONCATENATE(MID(X4,FIND("-",X4,1)+1,4),"ORAS"))</f>
        <v>15 HORAS</v>
      </c>
      <c r="X4" s="296" t="s">
        <v>366</v>
      </c>
      <c r="Y4" s="341">
        <f>+IF(X4="","",VLOOKUP(X4,$H$139:$I$217,2,FALSE))</f>
        <v>1691890</v>
      </c>
      <c r="AA4" s="20"/>
      <c r="AB4" s="21"/>
      <c r="AC4" s="21"/>
      <c r="AD4" s="22"/>
      <c r="AE4" s="23"/>
    </row>
    <row r="5" spans="1:31" ht="31.5" x14ac:dyDescent="0.25">
      <c r="A5" s="14" t="s">
        <v>15</v>
      </c>
      <c r="B5" s="11" t="str">
        <f t="shared" ref="B5:B10" si="0">+IF(F5=0,0,MID(F5,LEN(F5)-4,3))</f>
        <v xml:space="preserve">03 </v>
      </c>
      <c r="C5" s="18">
        <v>1</v>
      </c>
      <c r="D5" s="12" t="s">
        <v>229</v>
      </c>
      <c r="E5" s="13" t="str">
        <f t="shared" ref="E5:E10" si="1">+IF(F5=0,0,CONCATENATE(MID(F5,FIND("-",F5,1)+1,4),"ORAS"))</f>
        <v>15 HORAS</v>
      </c>
      <c r="F5" s="14" t="s">
        <v>352</v>
      </c>
      <c r="G5" s="341">
        <f t="shared" ref="G5:G12" si="2">+IF(F5="","",VLOOKUP(F5,$H$139:$I$217,2,FALSE))</f>
        <v>1795972</v>
      </c>
      <c r="H5" s="2"/>
      <c r="I5" s="15" t="s">
        <v>13</v>
      </c>
      <c r="J5" s="14" t="s">
        <v>384</v>
      </c>
      <c r="K5" s="11" t="str">
        <f t="shared" ref="K5:K8" si="3">+IF(O5=0,0,MID(O5,LEN(O5)-4,3))</f>
        <v xml:space="preserve">02 </v>
      </c>
      <c r="L5" s="17">
        <v>1</v>
      </c>
      <c r="M5" s="12" t="s">
        <v>229</v>
      </c>
      <c r="N5" s="13" t="str">
        <f t="shared" ref="N5:N8" si="4">+IF(O5=0,0,CONCATENATE(MID(O5,FIND("-",O5,1)+1,4),"ORAS"))</f>
        <v>15 HORAS</v>
      </c>
      <c r="O5" s="296" t="s">
        <v>368</v>
      </c>
      <c r="P5" s="341">
        <f t="shared" ref="P5:P8" si="5">+IF(O5="","",VLOOKUP(O5,$H$139:$I$217,2,FALSE))</f>
        <v>1308251</v>
      </c>
      <c r="Q5" s="2"/>
      <c r="R5" s="313" t="s">
        <v>13</v>
      </c>
      <c r="S5" s="314" t="s">
        <v>17</v>
      </c>
      <c r="T5" s="308">
        <v>4</v>
      </c>
      <c r="U5" s="315">
        <v>1</v>
      </c>
      <c r="V5" s="310" t="s">
        <v>229</v>
      </c>
      <c r="W5" s="13" t="str">
        <f>+IF(X5=0,0,CONCATENATE(MID(X5,FIND("-",X5,1)+1,4),"ORAS"))</f>
        <v>15 HORAS</v>
      </c>
      <c r="X5" s="296" t="s">
        <v>366</v>
      </c>
      <c r="Y5" s="341">
        <f>+IF(X5="","",VLOOKUP(X5,$H$139:$I$217,2,FALSE))</f>
        <v>1691890</v>
      </c>
      <c r="AA5" s="20"/>
      <c r="AB5" s="21"/>
      <c r="AC5" s="21"/>
      <c r="AD5" s="22"/>
      <c r="AE5" s="23"/>
    </row>
    <row r="6" spans="1:31" ht="31.5" x14ac:dyDescent="0.25">
      <c r="A6" s="14" t="s">
        <v>18</v>
      </c>
      <c r="B6" s="11" t="str">
        <f t="shared" si="0"/>
        <v xml:space="preserve">03 </v>
      </c>
      <c r="C6" s="18">
        <v>1</v>
      </c>
      <c r="D6" s="12" t="s">
        <v>229</v>
      </c>
      <c r="E6" s="13" t="str">
        <f t="shared" si="1"/>
        <v>15 HORAS</v>
      </c>
      <c r="F6" s="14" t="s">
        <v>352</v>
      </c>
      <c r="G6" s="341">
        <f t="shared" si="2"/>
        <v>1795972</v>
      </c>
      <c r="H6" s="2"/>
      <c r="I6" s="15"/>
      <c r="J6" s="14"/>
      <c r="K6" s="11">
        <f t="shared" si="3"/>
        <v>0</v>
      </c>
      <c r="L6" s="17"/>
      <c r="M6" s="12"/>
      <c r="N6" s="13">
        <f t="shared" si="4"/>
        <v>0</v>
      </c>
      <c r="O6" s="296">
        <v>0</v>
      </c>
      <c r="P6" s="341">
        <f t="shared" si="5"/>
        <v>0</v>
      </c>
      <c r="Q6" s="2"/>
      <c r="R6" s="313" t="s">
        <v>13</v>
      </c>
      <c r="S6" s="314" t="s">
        <v>19</v>
      </c>
      <c r="T6" s="308">
        <v>4</v>
      </c>
      <c r="U6" s="315">
        <v>1</v>
      </c>
      <c r="V6" s="310" t="s">
        <v>229</v>
      </c>
      <c r="W6" s="13" t="str">
        <f>+IF(X6=0,0,CONCATENATE(MID(X6,FIND("-",X6,1)+1,4),"ORAS"))</f>
        <v>15 HORAS</v>
      </c>
      <c r="X6" s="296" t="s">
        <v>366</v>
      </c>
      <c r="Y6" s="341">
        <f>+IF(X6="","",VLOOKUP(X6,$H$139:$I$217,2,FALSE))</f>
        <v>1691890</v>
      </c>
      <c r="AA6" s="20"/>
      <c r="AB6" s="21"/>
      <c r="AC6" s="21"/>
      <c r="AD6" s="22"/>
      <c r="AE6" s="23"/>
    </row>
    <row r="7" spans="1:31" ht="15.75" x14ac:dyDescent="0.25">
      <c r="A7" s="14" t="s">
        <v>20</v>
      </c>
      <c r="B7" s="11" t="str">
        <f t="shared" si="0"/>
        <v xml:space="preserve">03 </v>
      </c>
      <c r="C7" s="18">
        <v>1</v>
      </c>
      <c r="D7" s="12" t="s">
        <v>229</v>
      </c>
      <c r="E7" s="13" t="str">
        <f t="shared" si="1"/>
        <v>15 HORAS</v>
      </c>
      <c r="F7" s="14" t="s">
        <v>352</v>
      </c>
      <c r="G7" s="341">
        <f t="shared" si="2"/>
        <v>1795972</v>
      </c>
      <c r="H7" s="2"/>
      <c r="I7" s="15"/>
      <c r="J7" s="14"/>
      <c r="K7" s="11">
        <f t="shared" si="3"/>
        <v>0</v>
      </c>
      <c r="L7" s="17"/>
      <c r="M7" s="12"/>
      <c r="N7" s="13">
        <f t="shared" si="4"/>
        <v>0</v>
      </c>
      <c r="O7" s="296">
        <v>0</v>
      </c>
      <c r="P7" s="341">
        <f t="shared" si="5"/>
        <v>0</v>
      </c>
      <c r="Q7" s="2"/>
      <c r="R7" s="317"/>
      <c r="S7" s="319"/>
      <c r="T7" s="320"/>
      <c r="U7" s="321"/>
      <c r="V7" s="310"/>
      <c r="W7" s="311"/>
      <c r="X7" s="316">
        <v>0</v>
      </c>
      <c r="Y7" s="342">
        <v>0</v>
      </c>
      <c r="AA7" s="20"/>
      <c r="AB7" s="20"/>
      <c r="AC7" s="20"/>
      <c r="AD7" s="20"/>
      <c r="AE7" s="20"/>
    </row>
    <row r="8" spans="1:31" ht="15.75" x14ac:dyDescent="0.25">
      <c r="A8" s="14" t="s">
        <v>21</v>
      </c>
      <c r="B8" s="11" t="str">
        <f t="shared" si="0"/>
        <v xml:space="preserve">03 </v>
      </c>
      <c r="C8" s="18">
        <v>1</v>
      </c>
      <c r="D8" s="12" t="s">
        <v>229</v>
      </c>
      <c r="E8" s="13" t="str">
        <f t="shared" si="1"/>
        <v>15 HORAS</v>
      </c>
      <c r="F8" s="14" t="s">
        <v>352</v>
      </c>
      <c r="G8" s="341">
        <f t="shared" si="2"/>
        <v>1795972</v>
      </c>
      <c r="H8" s="2"/>
      <c r="I8" s="15"/>
      <c r="J8" s="14"/>
      <c r="K8" s="11">
        <f t="shared" si="3"/>
        <v>0</v>
      </c>
      <c r="L8" s="17"/>
      <c r="M8" s="12"/>
      <c r="N8" s="13">
        <f t="shared" si="4"/>
        <v>0</v>
      </c>
      <c r="O8" s="296">
        <v>0</v>
      </c>
      <c r="P8" s="341">
        <f t="shared" si="5"/>
        <v>0</v>
      </c>
      <c r="Q8" s="2"/>
      <c r="R8" s="306"/>
      <c r="S8" s="322"/>
      <c r="T8" s="315"/>
      <c r="U8" s="309">
        <v>3</v>
      </c>
      <c r="V8" s="323"/>
      <c r="W8" s="312"/>
      <c r="X8" s="316"/>
      <c r="Y8" s="324"/>
      <c r="AA8" s="20"/>
      <c r="AB8" s="20"/>
      <c r="AC8" s="20"/>
      <c r="AD8" s="20"/>
      <c r="AE8" s="20"/>
    </row>
    <row r="9" spans="1:31" ht="15.75" x14ac:dyDescent="0.25">
      <c r="A9" s="25" t="s">
        <v>381</v>
      </c>
      <c r="B9" s="11" t="str">
        <f t="shared" si="0"/>
        <v xml:space="preserve">03 </v>
      </c>
      <c r="C9" s="18">
        <v>1</v>
      </c>
      <c r="D9" s="12" t="s">
        <v>229</v>
      </c>
      <c r="E9" s="13" t="str">
        <f t="shared" si="1"/>
        <v>15 HORAS</v>
      </c>
      <c r="F9" s="14" t="s">
        <v>352</v>
      </c>
      <c r="G9" s="341">
        <f t="shared" si="2"/>
        <v>1795972</v>
      </c>
      <c r="H9" s="2"/>
      <c r="I9" s="15"/>
      <c r="J9" s="14"/>
      <c r="K9" s="11">
        <f>+IF(O9=0,0,MID(O9,LEN(O9)-4,3))</f>
        <v>0</v>
      </c>
      <c r="L9" s="17"/>
      <c r="M9" s="12"/>
      <c r="N9" s="13">
        <f>+IF(O9=0,0,CONCATENATE(MID(O9,FIND("-",O9,1)+1,4),"ORAS"))</f>
        <v>0</v>
      </c>
      <c r="O9" s="296">
        <v>0</v>
      </c>
      <c r="P9" s="341">
        <f>+IF(O9="","",VLOOKUP(O9,$H$139:$I$217,2,FALSE))</f>
        <v>0</v>
      </c>
      <c r="Q9" s="2"/>
      <c r="R9" s="325"/>
      <c r="S9" s="318"/>
      <c r="T9" s="318"/>
      <c r="U9" s="318"/>
      <c r="V9" s="326"/>
      <c r="W9" s="326"/>
      <c r="X9" s="326"/>
      <c r="Y9" s="327"/>
      <c r="AA9" s="20"/>
      <c r="AB9" s="20"/>
      <c r="AC9" s="20"/>
      <c r="AD9" s="20"/>
      <c r="AE9" s="20"/>
    </row>
    <row r="10" spans="1:31" ht="15.75" x14ac:dyDescent="0.25">
      <c r="A10" s="25" t="s">
        <v>382</v>
      </c>
      <c r="B10" s="11" t="str">
        <f t="shared" si="0"/>
        <v xml:space="preserve">04 </v>
      </c>
      <c r="C10" s="18">
        <v>1</v>
      </c>
      <c r="D10" s="12" t="s">
        <v>229</v>
      </c>
      <c r="E10" s="13" t="str">
        <f t="shared" si="1"/>
        <v>15 HORAS</v>
      </c>
      <c r="F10" s="14" t="s">
        <v>351</v>
      </c>
      <c r="G10" s="341">
        <f t="shared" si="2"/>
        <v>1955007</v>
      </c>
      <c r="H10" s="2"/>
      <c r="I10" s="26"/>
      <c r="J10" s="14"/>
      <c r="K10" s="16"/>
      <c r="L10" s="27"/>
      <c r="M10" s="27"/>
      <c r="N10" s="14"/>
      <c r="O10" s="296"/>
      <c r="P10" s="28"/>
      <c r="Q10" s="2"/>
      <c r="R10" s="325"/>
      <c r="S10" s="318"/>
      <c r="T10" s="318"/>
      <c r="U10" s="318"/>
      <c r="V10" s="326"/>
      <c r="W10" s="326"/>
      <c r="X10" s="326"/>
      <c r="Y10" s="327"/>
      <c r="AA10" s="20"/>
      <c r="AB10" s="20"/>
      <c r="AC10" s="20"/>
      <c r="AD10" s="20"/>
      <c r="AE10" s="20"/>
    </row>
    <row r="11" spans="1:31" ht="15.75" x14ac:dyDescent="0.25">
      <c r="A11" s="25" t="s">
        <v>393</v>
      </c>
      <c r="B11" s="11" t="str">
        <f>+IF(F11=0,0,MID(F11,LEN(F11)-4,3))</f>
        <v xml:space="preserve">04 </v>
      </c>
      <c r="C11" s="18">
        <v>1</v>
      </c>
      <c r="D11" s="18" t="s">
        <v>229</v>
      </c>
      <c r="E11" s="13" t="str">
        <f>+IF(F11=0,0,CONCATENATE(MID(F11,FIND("-",F11,1)+1,4),"ORAS"))</f>
        <v>15 HORAS</v>
      </c>
      <c r="F11" s="14" t="s">
        <v>351</v>
      </c>
      <c r="G11" s="341">
        <f t="shared" si="2"/>
        <v>1955007</v>
      </c>
      <c r="H11" s="2"/>
      <c r="I11" s="26"/>
      <c r="J11" s="14"/>
      <c r="K11" s="16"/>
      <c r="L11" s="27"/>
      <c r="M11" s="27"/>
      <c r="N11" s="14"/>
      <c r="O11" s="296"/>
      <c r="P11" s="29"/>
      <c r="Q11" s="2"/>
      <c r="R11" s="325"/>
      <c r="S11" s="318"/>
      <c r="T11" s="318"/>
      <c r="U11" s="318"/>
      <c r="V11" s="326"/>
      <c r="W11" s="326"/>
      <c r="X11" s="326"/>
      <c r="Y11" s="327"/>
      <c r="AA11" s="20"/>
      <c r="AB11" s="20"/>
      <c r="AC11" s="20"/>
      <c r="AD11" s="20"/>
      <c r="AE11" s="20"/>
    </row>
    <row r="12" spans="1:31" ht="15.75" x14ac:dyDescent="0.25">
      <c r="A12" s="30"/>
      <c r="B12" s="11"/>
      <c r="C12" s="18"/>
      <c r="D12" s="18"/>
      <c r="E12" s="13"/>
      <c r="F12" s="14"/>
      <c r="G12" s="341" t="str">
        <f t="shared" si="2"/>
        <v/>
      </c>
      <c r="H12" s="2"/>
      <c r="I12" s="26"/>
      <c r="J12" s="14"/>
      <c r="K12" s="16"/>
      <c r="L12" s="27"/>
      <c r="M12" s="27"/>
      <c r="N12" s="14"/>
      <c r="O12" s="296"/>
      <c r="P12" s="29"/>
      <c r="Q12" s="2"/>
      <c r="R12" s="325"/>
      <c r="S12" s="318"/>
      <c r="T12" s="318"/>
      <c r="U12" s="318"/>
      <c r="V12" s="326"/>
      <c r="W12" s="326"/>
      <c r="X12" s="326"/>
      <c r="Y12" s="327"/>
      <c r="AA12" s="20"/>
      <c r="AB12" s="20"/>
      <c r="AC12" s="20"/>
      <c r="AD12" s="20"/>
      <c r="AE12" s="20"/>
    </row>
    <row r="13" spans="1:31" ht="15.75" x14ac:dyDescent="0.25">
      <c r="A13" s="31"/>
      <c r="B13" s="11">
        <f>+B10+B9+B8+B7+B6+B5+B4</f>
        <v>23</v>
      </c>
      <c r="C13" s="11">
        <f>+C10+C9+C8+C7+C6+C5+C4</f>
        <v>7</v>
      </c>
      <c r="D13" s="32"/>
      <c r="E13" s="32"/>
      <c r="F13" s="14"/>
      <c r="G13" s="33">
        <f>SUM(G4:G12)</f>
        <v>14844881</v>
      </c>
      <c r="H13" s="2"/>
      <c r="I13" s="26"/>
      <c r="J13" s="14"/>
      <c r="K13" s="16"/>
      <c r="L13" s="17"/>
      <c r="M13" s="27"/>
      <c r="N13" s="14"/>
      <c r="O13" s="296"/>
      <c r="P13" s="34"/>
      <c r="Q13" s="2"/>
      <c r="R13" s="418" t="s">
        <v>22</v>
      </c>
      <c r="S13" s="419"/>
      <c r="T13" s="419"/>
      <c r="U13" s="419"/>
      <c r="V13" s="419"/>
      <c r="W13" s="419"/>
      <c r="X13" s="419"/>
      <c r="Y13" s="420"/>
      <c r="AA13" s="20"/>
      <c r="AB13" s="20"/>
      <c r="AC13" s="20"/>
      <c r="AD13" s="20"/>
      <c r="AE13" s="20"/>
    </row>
    <row r="14" spans="1:31" ht="16.5" customHeight="1" x14ac:dyDescent="0.25">
      <c r="A14" s="426" t="s">
        <v>23</v>
      </c>
      <c r="B14" s="426"/>
      <c r="C14" s="426"/>
      <c r="D14" s="426"/>
      <c r="E14" s="426"/>
      <c r="F14" s="426"/>
      <c r="G14" s="426"/>
      <c r="H14" s="2"/>
      <c r="I14" s="26"/>
      <c r="J14" s="14"/>
      <c r="K14" s="16"/>
      <c r="L14" s="17"/>
      <c r="M14" s="27"/>
      <c r="N14" s="14"/>
      <c r="O14" s="296"/>
      <c r="P14" s="35"/>
      <c r="Q14" s="2"/>
      <c r="R14" s="303" t="s">
        <v>11</v>
      </c>
      <c r="S14" s="304" t="s">
        <v>4</v>
      </c>
      <c r="T14" s="305" t="s">
        <v>5</v>
      </c>
      <c r="U14" s="305" t="s">
        <v>6</v>
      </c>
      <c r="V14" s="305" t="s">
        <v>7</v>
      </c>
      <c r="W14" s="305" t="s">
        <v>8</v>
      </c>
      <c r="X14" s="305" t="s">
        <v>9</v>
      </c>
      <c r="Y14" s="305" t="s">
        <v>10</v>
      </c>
      <c r="Z14" s="36"/>
    </row>
    <row r="15" spans="1:31" ht="15.75" x14ac:dyDescent="0.2">
      <c r="A15" s="1" t="s">
        <v>4</v>
      </c>
      <c r="B15" s="5" t="s">
        <v>5</v>
      </c>
      <c r="C15" s="5" t="s">
        <v>6</v>
      </c>
      <c r="D15" s="5" t="s">
        <v>7</v>
      </c>
      <c r="E15" s="5" t="s">
        <v>8</v>
      </c>
      <c r="F15" s="37" t="s">
        <v>9</v>
      </c>
      <c r="G15" s="5" t="s">
        <v>10</v>
      </c>
      <c r="H15" s="2"/>
      <c r="I15" s="31"/>
      <c r="J15" s="31"/>
      <c r="K15" s="31"/>
      <c r="L15" s="31"/>
      <c r="M15" s="31"/>
      <c r="N15" s="14"/>
      <c r="O15" s="296"/>
      <c r="P15" s="38"/>
      <c r="Q15" s="2"/>
      <c r="R15" s="328" t="s">
        <v>13</v>
      </c>
      <c r="S15" s="307" t="s">
        <v>24</v>
      </c>
      <c r="T15" s="308">
        <v>0</v>
      </c>
      <c r="U15" s="307">
        <v>0</v>
      </c>
      <c r="V15" s="310" t="s">
        <v>229</v>
      </c>
      <c r="W15" s="13">
        <f>+IF(X15=0,0,CONCATENATE(MID(X15,FIND("-",X15,1)+1,4),"ORAS"))</f>
        <v>0</v>
      </c>
      <c r="X15" s="296">
        <v>0</v>
      </c>
      <c r="Y15" s="341">
        <f>+IF(X15="","",VLOOKUP(X15,$H$139:$I$217,2,FALSE))*T15</f>
        <v>0</v>
      </c>
    </row>
    <row r="16" spans="1:31" ht="18.75" customHeight="1" x14ac:dyDescent="0.2">
      <c r="A16" s="25"/>
      <c r="B16" s="11">
        <f>+IF(F16=0,0,MID(F16,LEN(F16)-4,3))</f>
        <v>0</v>
      </c>
      <c r="C16" s="276"/>
      <c r="D16" s="12"/>
      <c r="E16" s="13">
        <f>+IF(F16=0,0,CONCATENATE(MID(F16,FIND("-",F16,1)+1,4),"ORAS"))</f>
        <v>0</v>
      </c>
      <c r="F16" s="14">
        <v>0</v>
      </c>
      <c r="G16" s="341">
        <f t="shared" ref="G16:G21" si="6">+IF(F16="","",VLOOKUP(F16,$H$139:$I$217,2,FALSE))</f>
        <v>0</v>
      </c>
      <c r="H16" s="2"/>
      <c r="I16" s="427" t="s">
        <v>26</v>
      </c>
      <c r="J16" s="428"/>
      <c r="K16" s="428"/>
      <c r="L16" s="428"/>
      <c r="M16" s="428"/>
      <c r="N16" s="428"/>
      <c r="O16" s="428"/>
      <c r="P16" s="429"/>
      <c r="Q16" s="2"/>
      <c r="R16" s="329"/>
      <c r="S16" s="314"/>
      <c r="T16" s="330"/>
      <c r="U16" s="314"/>
      <c r="V16" s="323"/>
      <c r="W16" s="14">
        <f>+IF(X16=0,0,CONCATENATE(MID(X16,FIND("-",X16,1)+1,4),"ORAS"))</f>
        <v>0</v>
      </c>
      <c r="X16" s="296">
        <v>0</v>
      </c>
      <c r="Y16" s="35">
        <f>+IF(X16="","",VLOOKUP(X16,$H$139:$I$217,2,FALSE))*T16</f>
        <v>0</v>
      </c>
    </row>
    <row r="17" spans="1:31" ht="23.25" customHeight="1" x14ac:dyDescent="0.2">
      <c r="A17" s="40"/>
      <c r="B17" s="16"/>
      <c r="C17" s="275"/>
      <c r="D17" s="18"/>
      <c r="E17" s="14"/>
      <c r="F17" s="14">
        <v>0</v>
      </c>
      <c r="G17" s="341">
        <f t="shared" si="6"/>
        <v>0</v>
      </c>
      <c r="H17" s="2"/>
      <c r="I17" s="7" t="s">
        <v>11</v>
      </c>
      <c r="J17" s="7" t="s">
        <v>4</v>
      </c>
      <c r="K17" s="8" t="s">
        <v>5</v>
      </c>
      <c r="L17" s="8" t="s">
        <v>6</v>
      </c>
      <c r="M17" s="8" t="s">
        <v>7</v>
      </c>
      <c r="N17" s="8" t="s">
        <v>8</v>
      </c>
      <c r="O17" s="8" t="s">
        <v>9</v>
      </c>
      <c r="P17" s="8" t="s">
        <v>10</v>
      </c>
      <c r="Q17" s="2"/>
      <c r="R17" s="327"/>
      <c r="S17" s="327"/>
      <c r="T17" s="327"/>
      <c r="U17" s="327"/>
      <c r="V17" s="327"/>
      <c r="W17" s="327"/>
      <c r="X17" s="327"/>
      <c r="Y17" s="327"/>
    </row>
    <row r="18" spans="1:31" ht="31.5" x14ac:dyDescent="0.25">
      <c r="A18" s="40"/>
      <c r="B18" s="16"/>
      <c r="C18" s="275"/>
      <c r="D18" s="18"/>
      <c r="E18" s="14"/>
      <c r="F18" s="14">
        <v>0</v>
      </c>
      <c r="G18" s="341">
        <f t="shared" si="6"/>
        <v>0</v>
      </c>
      <c r="H18" s="2"/>
      <c r="I18" s="15" t="s">
        <v>227</v>
      </c>
      <c r="J18" s="14" t="s">
        <v>228</v>
      </c>
      <c r="K18" s="11" t="str">
        <f t="shared" ref="K18:K20" si="7">+IF(O18=0,0,MID(O18,LEN(O18)-4,3))</f>
        <v xml:space="preserve">02 </v>
      </c>
      <c r="L18" s="17">
        <v>1</v>
      </c>
      <c r="M18" s="12" t="s">
        <v>229</v>
      </c>
      <c r="N18" s="13" t="str">
        <f>+IF(O18=0,0,CONCATENATE(MID(O18,FIND("-",O18,1)+1,4),"ORAS"))</f>
        <v>15 HORAS</v>
      </c>
      <c r="O18" s="296" t="s">
        <v>353</v>
      </c>
      <c r="P18" s="341">
        <f t="shared" ref="P18:P22" si="8">+IF(O18="","",VLOOKUP(O18,$H$139:$I$217,2,FALSE))</f>
        <v>1435144</v>
      </c>
      <c r="Q18" s="2"/>
      <c r="R18" s="418" t="s">
        <v>27</v>
      </c>
      <c r="S18" s="419"/>
      <c r="T18" s="419"/>
      <c r="U18" s="419"/>
      <c r="V18" s="419"/>
      <c r="W18" s="419"/>
      <c r="X18" s="419"/>
      <c r="Y18" s="420"/>
    </row>
    <row r="19" spans="1:31" ht="31.5" x14ac:dyDescent="0.25">
      <c r="A19" s="41"/>
      <c r="B19" s="16"/>
      <c r="C19" s="18"/>
      <c r="D19" s="18"/>
      <c r="E19" s="14"/>
      <c r="F19" s="14">
        <v>0</v>
      </c>
      <c r="G19" s="341">
        <f t="shared" si="6"/>
        <v>0</v>
      </c>
      <c r="H19" s="2"/>
      <c r="I19" s="15" t="s">
        <v>13</v>
      </c>
      <c r="J19" s="14" t="s">
        <v>385</v>
      </c>
      <c r="K19" s="11" t="str">
        <f t="shared" si="7"/>
        <v xml:space="preserve">03 </v>
      </c>
      <c r="L19" s="42">
        <v>1</v>
      </c>
      <c r="M19" s="12" t="s">
        <v>229</v>
      </c>
      <c r="N19" s="13" t="str">
        <f>+IF(O19=0,0,CONCATENATE(MID(O19,FIND("-",O19,1)+1,4),"ORAS"))</f>
        <v>15 HORAS</v>
      </c>
      <c r="O19" s="296" t="s">
        <v>352</v>
      </c>
      <c r="P19" s="341">
        <f t="shared" si="8"/>
        <v>1795972</v>
      </c>
      <c r="Q19" s="2"/>
      <c r="R19" s="303" t="s">
        <v>11</v>
      </c>
      <c r="S19" s="304" t="s">
        <v>4</v>
      </c>
      <c r="T19" s="305" t="s">
        <v>5</v>
      </c>
      <c r="U19" s="305" t="s">
        <v>6</v>
      </c>
      <c r="V19" s="305" t="s">
        <v>7</v>
      </c>
      <c r="W19" s="305" t="s">
        <v>8</v>
      </c>
      <c r="X19" s="305" t="s">
        <v>9</v>
      </c>
      <c r="Y19" s="305" t="s">
        <v>10</v>
      </c>
      <c r="AA19" s="20"/>
      <c r="AB19" s="20"/>
      <c r="AC19" s="20"/>
      <c r="AD19" s="20"/>
      <c r="AE19" s="20"/>
    </row>
    <row r="20" spans="1:31" ht="31.5" x14ac:dyDescent="0.25">
      <c r="A20" s="43"/>
      <c r="B20" s="16"/>
      <c r="C20" s="44"/>
      <c r="D20" s="44"/>
      <c r="E20" s="14"/>
      <c r="F20" s="14">
        <v>0</v>
      </c>
      <c r="G20" s="341">
        <f t="shared" si="6"/>
        <v>0</v>
      </c>
      <c r="H20" s="2"/>
      <c r="I20" s="15" t="s">
        <v>13</v>
      </c>
      <c r="J20" s="13" t="s">
        <v>467</v>
      </c>
      <c r="K20" s="11" t="str">
        <f t="shared" si="7"/>
        <v xml:space="preserve">04 </v>
      </c>
      <c r="L20" s="45">
        <v>1</v>
      </c>
      <c r="M20" s="12" t="s">
        <v>229</v>
      </c>
      <c r="N20" s="13" t="str">
        <f>+IF(O20=0,0,CONCATENATE(MID(O20,FIND("-",O20,1)+1,4),"ORAS"))</f>
        <v>15 HORAS</v>
      </c>
      <c r="O20" s="296" t="s">
        <v>351</v>
      </c>
      <c r="P20" s="341">
        <f t="shared" si="8"/>
        <v>1955007</v>
      </c>
      <c r="Q20" s="2"/>
      <c r="R20" s="331" t="s">
        <v>28</v>
      </c>
      <c r="S20" s="307" t="s">
        <v>390</v>
      </c>
      <c r="T20" s="320" t="s">
        <v>25</v>
      </c>
      <c r="U20" s="307" t="s">
        <v>25</v>
      </c>
      <c r="V20" s="332" t="s">
        <v>229</v>
      </c>
      <c r="W20" s="14" t="e">
        <f t="shared" ref="W20:W29" si="9">+IF(X20=0,0,CONCATENATE(MID(X20,FIND("-",X20,1)+1,4),"ORAS"))</f>
        <v>#VALUE!</v>
      </c>
      <c r="X20" s="296" t="s">
        <v>413</v>
      </c>
      <c r="Y20" s="341">
        <f t="shared" ref="Y20:Y29" si="10">+IF(X20="","",VLOOKUP(X20,$H$139:$I$217,2,FALSE))</f>
        <v>477011</v>
      </c>
      <c r="AA20" s="20"/>
      <c r="AB20" s="20"/>
      <c r="AC20" s="20"/>
      <c r="AD20" s="20"/>
      <c r="AE20" s="20"/>
    </row>
    <row r="21" spans="1:31" ht="15.75" x14ac:dyDescent="0.25">
      <c r="A21" s="43"/>
      <c r="B21" s="16"/>
      <c r="C21" s="44"/>
      <c r="D21" s="44"/>
      <c r="E21" s="14"/>
      <c r="F21" s="14">
        <v>0</v>
      </c>
      <c r="G21" s="341">
        <f t="shared" si="6"/>
        <v>0</v>
      </c>
      <c r="H21" s="2"/>
      <c r="I21" s="26"/>
      <c r="J21" s="13"/>
      <c r="K21" s="16"/>
      <c r="L21" s="45"/>
      <c r="M21" s="19"/>
      <c r="N21" s="13"/>
      <c r="O21" s="296">
        <v>0</v>
      </c>
      <c r="P21" s="341">
        <f t="shared" si="8"/>
        <v>0</v>
      </c>
      <c r="Q21" s="2"/>
      <c r="R21" s="333" t="s">
        <v>28</v>
      </c>
      <c r="S21" s="314" t="s">
        <v>24</v>
      </c>
      <c r="T21" s="334" t="s">
        <v>25</v>
      </c>
      <c r="U21" s="314" t="s">
        <v>25</v>
      </c>
      <c r="V21" s="332" t="s">
        <v>229</v>
      </c>
      <c r="W21" s="14" t="str">
        <f t="shared" si="9"/>
        <v>15 HORAS</v>
      </c>
      <c r="X21" s="296" t="s">
        <v>403</v>
      </c>
      <c r="Y21" s="341">
        <f t="shared" si="10"/>
        <v>1128712</v>
      </c>
      <c r="AA21" s="20"/>
      <c r="AB21" s="20"/>
      <c r="AC21" s="20"/>
      <c r="AD21" s="20"/>
      <c r="AE21" s="20"/>
    </row>
    <row r="22" spans="1:31" ht="15.75" x14ac:dyDescent="0.25">
      <c r="A22" s="46" t="s">
        <v>29</v>
      </c>
      <c r="B22" s="47">
        <f>SUM(B4:B13)+B16+B17+B18+B19+B20+B21</f>
        <v>23</v>
      </c>
      <c r="C22" s="47">
        <f>+C4+C5+C6+C7+C8+C9+C10+C16</f>
        <v>7</v>
      </c>
      <c r="D22" s="48"/>
      <c r="E22" s="49"/>
      <c r="F22" s="48"/>
      <c r="G22" s="33">
        <f>SUM(G13,G16:G21)</f>
        <v>14844881</v>
      </c>
      <c r="H22" s="2"/>
      <c r="I22" s="26"/>
      <c r="J22" s="14"/>
      <c r="K22" s="16"/>
      <c r="L22" s="42"/>
      <c r="M22" s="42"/>
      <c r="N22" s="13"/>
      <c r="O22" s="296">
        <v>0</v>
      </c>
      <c r="P22" s="341">
        <f t="shared" si="8"/>
        <v>0</v>
      </c>
      <c r="Q22" s="2"/>
      <c r="R22" s="333" t="s">
        <v>28</v>
      </c>
      <c r="S22" s="314" t="s">
        <v>24</v>
      </c>
      <c r="T22" s="334" t="s">
        <v>25</v>
      </c>
      <c r="U22" s="314" t="s">
        <v>25</v>
      </c>
      <c r="V22" s="332" t="s">
        <v>229</v>
      </c>
      <c r="W22" s="14" t="str">
        <f t="shared" si="9"/>
        <v>15 HORAS</v>
      </c>
      <c r="X22" s="296" t="s">
        <v>403</v>
      </c>
      <c r="Y22" s="341">
        <f t="shared" si="10"/>
        <v>1128712</v>
      </c>
      <c r="AA22" s="20"/>
      <c r="AB22" s="20"/>
      <c r="AC22" s="20"/>
      <c r="AD22" s="20"/>
      <c r="AE22" s="20"/>
    </row>
    <row r="23" spans="1:31" ht="15.75" x14ac:dyDescent="0.25">
      <c r="A23" s="430" t="s">
        <v>30</v>
      </c>
      <c r="B23" s="430"/>
      <c r="C23" s="430"/>
      <c r="D23" s="430"/>
      <c r="E23" s="430"/>
      <c r="F23" s="430"/>
      <c r="G23" s="430"/>
      <c r="H23" s="2"/>
      <c r="I23" s="51"/>
      <c r="J23" s="14"/>
      <c r="K23" s="16"/>
      <c r="L23" s="42"/>
      <c r="M23" s="19"/>
      <c r="N23" s="13"/>
      <c r="O23" s="296"/>
      <c r="P23" s="52"/>
      <c r="Q23" s="2"/>
      <c r="R23" s="329" t="s">
        <v>227</v>
      </c>
      <c r="S23" s="314" t="s">
        <v>391</v>
      </c>
      <c r="T23" s="334" t="s">
        <v>25</v>
      </c>
      <c r="U23" s="314" t="s">
        <v>25</v>
      </c>
      <c r="V23" s="335" t="s">
        <v>229</v>
      </c>
      <c r="W23" s="14" t="e">
        <f t="shared" si="9"/>
        <v>#VALUE!</v>
      </c>
      <c r="X23" s="296" t="s">
        <v>413</v>
      </c>
      <c r="Y23" s="341">
        <f t="shared" si="10"/>
        <v>477011</v>
      </c>
      <c r="AA23" s="20"/>
      <c r="AB23" s="20"/>
      <c r="AC23" s="20"/>
      <c r="AD23" s="20"/>
      <c r="AE23" s="20"/>
    </row>
    <row r="24" spans="1:31" ht="21.95" customHeight="1" x14ac:dyDescent="0.25">
      <c r="A24" s="430" t="s">
        <v>1</v>
      </c>
      <c r="B24" s="430"/>
      <c r="C24" s="430"/>
      <c r="D24" s="430"/>
      <c r="E24" s="430"/>
      <c r="F24" s="430"/>
      <c r="G24" s="430"/>
      <c r="H24" s="2"/>
      <c r="I24" s="26"/>
      <c r="J24" s="53"/>
      <c r="K24" s="16"/>
      <c r="L24" s="27"/>
      <c r="M24" s="27"/>
      <c r="N24" s="14"/>
      <c r="O24" s="296"/>
      <c r="P24" s="54"/>
      <c r="Q24" s="2"/>
      <c r="R24" s="329" t="s">
        <v>227</v>
      </c>
      <c r="S24" s="339" t="s">
        <v>386</v>
      </c>
      <c r="T24" s="336" t="s">
        <v>25</v>
      </c>
      <c r="U24" s="314">
        <v>1</v>
      </c>
      <c r="V24" s="337" t="s">
        <v>387</v>
      </c>
      <c r="W24" s="14" t="str">
        <f t="shared" si="9"/>
        <v>15 HORAS</v>
      </c>
      <c r="X24" s="296" t="s">
        <v>395</v>
      </c>
      <c r="Y24" s="341">
        <f t="shared" si="10"/>
        <v>832623</v>
      </c>
      <c r="AA24" s="20"/>
      <c r="AB24" s="20"/>
      <c r="AC24" s="20"/>
      <c r="AD24" s="20"/>
      <c r="AE24" s="20"/>
    </row>
    <row r="25" spans="1:31" ht="15.75" x14ac:dyDescent="0.25">
      <c r="A25" s="50" t="s">
        <v>4</v>
      </c>
      <c r="B25" s="55" t="s">
        <v>5</v>
      </c>
      <c r="C25" s="55" t="s">
        <v>6</v>
      </c>
      <c r="D25" s="55" t="s">
        <v>7</v>
      </c>
      <c r="E25" s="55" t="s">
        <v>8</v>
      </c>
      <c r="F25" s="55" t="s">
        <v>9</v>
      </c>
      <c r="G25" s="55" t="s">
        <v>10</v>
      </c>
      <c r="H25" s="2"/>
      <c r="I25" s="2"/>
      <c r="J25" s="56" t="s">
        <v>32</v>
      </c>
      <c r="K25" s="340">
        <f>K4+K5+K6+K7+K8+K9+K18+K19+K20</f>
        <v>14</v>
      </c>
      <c r="L25" s="57">
        <f>SUM(L4:L24)</f>
        <v>5</v>
      </c>
      <c r="M25" s="56"/>
      <c r="N25" s="56"/>
      <c r="O25" s="297"/>
      <c r="P25" s="58">
        <f>SUM(P4:P24)</f>
        <v>7514291</v>
      </c>
      <c r="Q25" s="2"/>
      <c r="R25" s="338" t="s">
        <v>31</v>
      </c>
      <c r="S25" s="339" t="s">
        <v>24</v>
      </c>
      <c r="T25" s="336" t="s">
        <v>25</v>
      </c>
      <c r="U25" s="314" t="s">
        <v>25</v>
      </c>
      <c r="V25" s="337" t="s">
        <v>387</v>
      </c>
      <c r="W25" s="14" t="str">
        <f t="shared" si="9"/>
        <v>15 HORAS</v>
      </c>
      <c r="X25" s="296" t="s">
        <v>403</v>
      </c>
      <c r="Y25" s="341">
        <f t="shared" si="10"/>
        <v>1128712</v>
      </c>
      <c r="AA25" s="62"/>
      <c r="AB25" s="62"/>
      <c r="AC25" s="62"/>
      <c r="AD25" s="62"/>
      <c r="AE25" s="63"/>
    </row>
    <row r="26" spans="1:31" ht="15.75" x14ac:dyDescent="0.25">
      <c r="A26" s="64" t="s">
        <v>33</v>
      </c>
      <c r="B26" s="11" t="str">
        <f t="shared" ref="B26:B28" si="11">+IF(F26=0,0,MID(F26,LEN(F26)-4,3))</f>
        <v xml:space="preserve">04 </v>
      </c>
      <c r="C26" s="12">
        <v>1</v>
      </c>
      <c r="D26" s="12" t="s">
        <v>229</v>
      </c>
      <c r="E26" s="13" t="str">
        <f>+IF(F26=0,0,CONCATENATE(MID(F26,FIND("-",F26,1)+1,4),"ORAS"))</f>
        <v>15 HORAS</v>
      </c>
      <c r="F26" s="14" t="s">
        <v>351</v>
      </c>
      <c r="G26" s="341">
        <f t="shared" ref="G26:G31" si="12">+IF(F26="","",VLOOKUP(F26,$H$139:$I$217,2,FALSE))</f>
        <v>1955007</v>
      </c>
      <c r="H26" s="2"/>
      <c r="I26" s="2"/>
      <c r="J26" s="2"/>
      <c r="K26" s="2"/>
      <c r="L26" s="2"/>
      <c r="M26" s="2"/>
      <c r="N26" s="2"/>
      <c r="O26" s="295"/>
      <c r="P26" s="2"/>
      <c r="Q26" s="2"/>
      <c r="R26" s="338" t="s">
        <v>31</v>
      </c>
      <c r="S26" s="307" t="s">
        <v>392</v>
      </c>
      <c r="T26" s="334" t="s">
        <v>25</v>
      </c>
      <c r="U26" s="314" t="s">
        <v>25</v>
      </c>
      <c r="V26" s="337" t="s">
        <v>388</v>
      </c>
      <c r="W26" s="14" t="e">
        <f t="shared" si="9"/>
        <v>#VALUE!</v>
      </c>
      <c r="X26" s="296" t="s">
        <v>413</v>
      </c>
      <c r="Y26" s="341">
        <f t="shared" si="10"/>
        <v>477011</v>
      </c>
      <c r="AA26" s="20"/>
      <c r="AB26" s="20"/>
      <c r="AC26" s="20"/>
      <c r="AD26" s="20"/>
      <c r="AE26" s="20"/>
    </row>
    <row r="27" spans="1:31" ht="20.100000000000001" customHeight="1" x14ac:dyDescent="0.25">
      <c r="A27" s="64" t="s">
        <v>34</v>
      </c>
      <c r="B27" s="11" t="str">
        <f t="shared" si="11"/>
        <v xml:space="preserve">04 </v>
      </c>
      <c r="C27" s="65">
        <v>1</v>
      </c>
      <c r="D27" s="12" t="s">
        <v>229</v>
      </c>
      <c r="E27" s="13" t="str">
        <f>+IF(F27=0,0,CONCATENATE(MID(F27,FIND("-",F27,1)+1,4),"ORAS"))</f>
        <v>15 HORAS</v>
      </c>
      <c r="F27" s="14" t="s">
        <v>351</v>
      </c>
      <c r="G27" s="341">
        <f t="shared" si="12"/>
        <v>1955007</v>
      </c>
      <c r="H27" s="2"/>
      <c r="I27" s="2"/>
      <c r="J27" s="2"/>
      <c r="K27" s="2"/>
      <c r="L27" s="2"/>
      <c r="M27" s="2"/>
      <c r="N27" s="2"/>
      <c r="O27" s="295"/>
      <c r="P27" s="2"/>
      <c r="Q27" s="2"/>
      <c r="R27" s="338"/>
      <c r="S27" s="307"/>
      <c r="T27" s="334"/>
      <c r="U27" s="314"/>
      <c r="V27" s="337"/>
      <c r="W27" s="14">
        <f t="shared" si="9"/>
        <v>0</v>
      </c>
      <c r="X27" s="296">
        <v>0</v>
      </c>
      <c r="Y27" s="341">
        <f t="shared" si="10"/>
        <v>0</v>
      </c>
    </row>
    <row r="28" spans="1:31" ht="15.75" customHeight="1" x14ac:dyDescent="0.25">
      <c r="A28" s="64" t="s">
        <v>35</v>
      </c>
      <c r="B28" s="11" t="str">
        <f t="shared" si="11"/>
        <v xml:space="preserve">04 </v>
      </c>
      <c r="C28" s="65">
        <v>1</v>
      </c>
      <c r="D28" s="12" t="s">
        <v>229</v>
      </c>
      <c r="E28" s="13" t="str">
        <f>+IF(F28=0,0,CONCATENATE(MID(F28,FIND("-",F28,1)+1,4),"ORAS"))</f>
        <v>15 HORAS</v>
      </c>
      <c r="F28" s="14" t="s">
        <v>351</v>
      </c>
      <c r="G28" s="341">
        <f t="shared" si="12"/>
        <v>1955007</v>
      </c>
      <c r="H28" s="2"/>
      <c r="I28" s="2"/>
      <c r="J28" s="2"/>
      <c r="K28" s="2"/>
      <c r="L28" s="2"/>
      <c r="M28" s="2"/>
      <c r="N28" s="2"/>
      <c r="O28" s="295"/>
      <c r="P28" s="2"/>
      <c r="Q28" s="2"/>
      <c r="R28" s="338"/>
      <c r="S28" s="314"/>
      <c r="T28" s="334"/>
      <c r="U28" s="314"/>
      <c r="V28" s="337"/>
      <c r="W28" s="14">
        <f t="shared" si="9"/>
        <v>0</v>
      </c>
      <c r="X28" s="296">
        <v>0</v>
      </c>
      <c r="Y28" s="341">
        <f t="shared" si="10"/>
        <v>0</v>
      </c>
    </row>
    <row r="29" spans="1:31" ht="15.75" x14ac:dyDescent="0.25">
      <c r="A29" s="66" t="s">
        <v>36</v>
      </c>
      <c r="B29" s="11" t="str">
        <f>+IF(F29=0,0,MID(F29,LEN(F29)-4,3))</f>
        <v xml:space="preserve">03 </v>
      </c>
      <c r="C29" s="12">
        <v>1</v>
      </c>
      <c r="D29" s="12" t="s">
        <v>229</v>
      </c>
      <c r="E29" s="13" t="str">
        <f>+IF(F29=0,0,CONCATENATE(MID(F29,FIND("-",F29,1)+1,4),"ORAS"))</f>
        <v>15 HORAS</v>
      </c>
      <c r="F29" s="14" t="s">
        <v>352</v>
      </c>
      <c r="G29" s="341">
        <f t="shared" si="12"/>
        <v>1795972</v>
      </c>
      <c r="H29" s="2"/>
      <c r="I29" s="2"/>
      <c r="J29" s="2"/>
      <c r="K29" s="2"/>
      <c r="L29" s="2"/>
      <c r="M29" s="2"/>
      <c r="N29" s="2"/>
      <c r="O29" s="295"/>
      <c r="P29" s="2"/>
      <c r="Q29" s="2"/>
      <c r="R29" s="338"/>
      <c r="S29" s="314"/>
      <c r="T29" s="334"/>
      <c r="U29" s="314"/>
      <c r="V29" s="337"/>
      <c r="W29" s="13">
        <f t="shared" si="9"/>
        <v>0</v>
      </c>
      <c r="X29" s="345">
        <v>0</v>
      </c>
      <c r="Y29" s="341">
        <f t="shared" si="10"/>
        <v>0</v>
      </c>
    </row>
    <row r="30" spans="1:31" ht="15.75" x14ac:dyDescent="0.25">
      <c r="A30" s="66"/>
      <c r="B30" s="39"/>
      <c r="C30" s="65"/>
      <c r="D30" s="19"/>
      <c r="E30" s="13"/>
      <c r="F30" s="14">
        <v>0</v>
      </c>
      <c r="G30" s="341">
        <f t="shared" si="12"/>
        <v>0</v>
      </c>
      <c r="H30" s="2"/>
      <c r="I30" s="2"/>
      <c r="J30" s="2"/>
      <c r="K30" s="2"/>
      <c r="L30" s="2"/>
      <c r="M30" s="2"/>
      <c r="N30" s="2"/>
      <c r="O30" s="295"/>
      <c r="P30" s="2"/>
      <c r="Q30" s="2"/>
      <c r="R30" s="338"/>
      <c r="S30" s="314"/>
      <c r="T30" s="334"/>
      <c r="U30" s="314"/>
      <c r="V30" s="337"/>
      <c r="W30" s="14">
        <f>+IF(X30=0,0,CONCATENATE(MID(X30,FIND("-",X30,1)+1,4),"ORAS"))</f>
        <v>0</v>
      </c>
      <c r="X30" s="296">
        <v>0</v>
      </c>
      <c r="Y30" s="35">
        <f>+IF(X30="","",VLOOKUP(X30,$H$139:$I$217,2,FALSE))</f>
        <v>0</v>
      </c>
    </row>
    <row r="31" spans="1:31" ht="15.75" x14ac:dyDescent="0.2">
      <c r="A31" s="66"/>
      <c r="B31" s="65"/>
      <c r="C31" s="65"/>
      <c r="D31" s="19"/>
      <c r="E31" s="13"/>
      <c r="F31" s="44"/>
      <c r="G31" s="341" t="str">
        <f t="shared" si="12"/>
        <v/>
      </c>
      <c r="H31" s="2"/>
      <c r="I31" s="2"/>
      <c r="J31" s="2"/>
      <c r="K31" s="2"/>
      <c r="L31" s="2"/>
      <c r="M31" s="2"/>
      <c r="N31" s="2"/>
      <c r="O31" s="295"/>
      <c r="P31" s="2"/>
      <c r="Q31" s="2"/>
      <c r="R31" s="2"/>
      <c r="S31" s="2"/>
      <c r="T31" s="2"/>
      <c r="U31" s="2"/>
      <c r="V31" s="2"/>
      <c r="W31" s="2"/>
      <c r="X31" s="2"/>
      <c r="Y31" s="2"/>
    </row>
    <row r="32" spans="1:31" ht="15.75" x14ac:dyDescent="0.2">
      <c r="A32" s="421" t="s">
        <v>23</v>
      </c>
      <c r="B32" s="421"/>
      <c r="C32" s="421"/>
      <c r="D32" s="421"/>
      <c r="E32" s="421"/>
      <c r="F32" s="421"/>
      <c r="G32" s="421"/>
      <c r="H32" s="2"/>
      <c r="I32" s="2"/>
      <c r="J32" s="2"/>
      <c r="K32" s="2"/>
      <c r="L32" s="2"/>
      <c r="M32" s="2"/>
      <c r="N32" s="2"/>
      <c r="O32" s="295"/>
      <c r="P32" s="2"/>
      <c r="Q32" s="2"/>
      <c r="R32" s="2"/>
      <c r="S32" s="2"/>
      <c r="T32" s="2"/>
      <c r="U32" s="2"/>
      <c r="V32" s="2"/>
      <c r="W32" s="2"/>
      <c r="X32" s="2"/>
      <c r="Y32" s="2"/>
    </row>
    <row r="33" spans="1:25" ht="15.75" x14ac:dyDescent="0.2">
      <c r="A33" s="50"/>
      <c r="B33" s="55" t="s">
        <v>5</v>
      </c>
      <c r="C33" s="55" t="s">
        <v>6</v>
      </c>
      <c r="D33" s="55" t="s">
        <v>7</v>
      </c>
      <c r="E33" s="55"/>
      <c r="F33" s="55" t="s">
        <v>9</v>
      </c>
      <c r="G33" s="55" t="s">
        <v>10</v>
      </c>
      <c r="H33" s="2"/>
      <c r="I33" s="2"/>
      <c r="J33" s="2"/>
      <c r="K33" s="2"/>
      <c r="L33" s="2"/>
      <c r="M33" s="2"/>
      <c r="N33" s="2"/>
      <c r="O33" s="295"/>
      <c r="P33" s="2"/>
      <c r="Q33" s="2"/>
      <c r="R33" s="2"/>
      <c r="S33" s="59" t="s">
        <v>32</v>
      </c>
      <c r="T33" s="60">
        <f>+T15+T16+T4+T5+T6+T7</f>
        <v>12</v>
      </c>
      <c r="U33" s="60">
        <f>SUM(U4:U7,U24)</f>
        <v>4</v>
      </c>
      <c r="V33" s="59"/>
      <c r="W33" s="59"/>
      <c r="X33" s="59"/>
      <c r="Y33" s="61">
        <f>SUM(Y4:Y30)</f>
        <v>10725462</v>
      </c>
    </row>
    <row r="34" spans="1:25" ht="15.75" x14ac:dyDescent="0.25">
      <c r="A34" s="10" t="s">
        <v>37</v>
      </c>
      <c r="B34" s="11" t="str">
        <f t="shared" ref="B34:B37" si="13">+IF(F34=0,0,MID(F34,LEN(F34)-4,3))</f>
        <v xml:space="preserve">03 </v>
      </c>
      <c r="C34" s="277">
        <v>1</v>
      </c>
      <c r="D34" s="12" t="s">
        <v>229</v>
      </c>
      <c r="E34" s="13" t="str">
        <f>+IF(F34=0,0,CONCATENATE(MID(F34,FIND("-",F34,1)+1,4),"ORAS"))</f>
        <v>15 HORAS</v>
      </c>
      <c r="F34" s="14" t="s">
        <v>367</v>
      </c>
      <c r="G34" s="341">
        <f t="shared" ref="G34:G39" si="14">+IF(F34="","",VLOOKUP(F34,$H$139:$I$217,2,FALSE))</f>
        <v>1505234</v>
      </c>
      <c r="H34" s="2"/>
      <c r="I34" s="2"/>
      <c r="J34" s="2"/>
      <c r="K34" s="2"/>
      <c r="L34" s="2"/>
      <c r="M34" s="2"/>
      <c r="N34" s="2"/>
      <c r="O34" s="295"/>
      <c r="P34" s="2"/>
      <c r="Q34" s="2"/>
      <c r="R34" s="2"/>
      <c r="S34" s="2"/>
      <c r="T34" s="2"/>
      <c r="U34" s="2"/>
      <c r="V34" s="2"/>
      <c r="W34" s="2"/>
      <c r="X34" s="2"/>
      <c r="Y34" s="67"/>
    </row>
    <row r="35" spans="1:25" ht="15.75" x14ac:dyDescent="0.25">
      <c r="A35" s="64" t="s">
        <v>38</v>
      </c>
      <c r="B35" s="11" t="str">
        <f t="shared" si="13"/>
        <v xml:space="preserve">03 </v>
      </c>
      <c r="C35" s="277">
        <v>1</v>
      </c>
      <c r="D35" s="12" t="s">
        <v>229</v>
      </c>
      <c r="E35" s="13" t="str">
        <f>+IF(F35=0,0,CONCATENATE(MID(F35,FIND("-",F35,1)+1,4),"ORAS"))</f>
        <v>15 HORAS</v>
      </c>
      <c r="F35" s="14" t="s">
        <v>367</v>
      </c>
      <c r="G35" s="341">
        <f t="shared" si="14"/>
        <v>1505234</v>
      </c>
      <c r="H35" s="2"/>
      <c r="I35" s="2"/>
      <c r="J35" s="2"/>
      <c r="K35" s="2"/>
      <c r="L35" s="2"/>
      <c r="M35" s="2"/>
      <c r="N35" s="2"/>
      <c r="O35" s="295"/>
      <c r="P35" s="2"/>
      <c r="Q35" s="2"/>
      <c r="R35" s="2"/>
      <c r="S35" s="2"/>
      <c r="T35" s="2"/>
      <c r="U35" s="2"/>
      <c r="V35" s="2"/>
      <c r="W35" s="2"/>
      <c r="X35" s="2"/>
      <c r="Y35" s="2"/>
    </row>
    <row r="36" spans="1:25" ht="15.75" x14ac:dyDescent="0.25">
      <c r="A36" s="64" t="s">
        <v>39</v>
      </c>
      <c r="B36" s="11" t="str">
        <f t="shared" si="13"/>
        <v xml:space="preserve">03 </v>
      </c>
      <c r="C36" s="277">
        <v>1</v>
      </c>
      <c r="D36" s="12" t="s">
        <v>229</v>
      </c>
      <c r="E36" s="13" t="str">
        <f>+IF(F36=0,0,CONCATENATE(MID(F36,FIND("-",F36,1)+1,4),"ORAS"))</f>
        <v>15 HORAS</v>
      </c>
      <c r="F36" s="14" t="s">
        <v>367</v>
      </c>
      <c r="G36" s="341">
        <f t="shared" si="14"/>
        <v>1505234</v>
      </c>
      <c r="H36" s="2"/>
      <c r="I36" s="2"/>
      <c r="J36" s="2"/>
      <c r="K36" s="2"/>
      <c r="L36" s="2"/>
      <c r="M36" s="2"/>
      <c r="N36" s="2"/>
      <c r="O36" s="295"/>
      <c r="P36" s="2"/>
      <c r="Q36" s="2"/>
      <c r="R36" s="2"/>
      <c r="S36" s="2"/>
      <c r="T36" s="2"/>
      <c r="U36" s="2"/>
      <c r="V36" s="2"/>
      <c r="W36" s="2"/>
      <c r="X36" s="2"/>
      <c r="Y36" s="2"/>
    </row>
    <row r="37" spans="1:25" ht="15.75" x14ac:dyDescent="0.25">
      <c r="A37" s="26" t="s">
        <v>383</v>
      </c>
      <c r="B37" s="11" t="str">
        <f t="shared" si="13"/>
        <v xml:space="preserve">03 </v>
      </c>
      <c r="C37" s="277">
        <v>1</v>
      </c>
      <c r="D37" s="12" t="s">
        <v>229</v>
      </c>
      <c r="E37" s="13" t="str">
        <f>+IF(F37=0,0,CONCATENATE(MID(F37,FIND("-",F37,1)+1,4),"ORAS"))</f>
        <v>15 HORAS</v>
      </c>
      <c r="F37" s="14" t="s">
        <v>367</v>
      </c>
      <c r="G37" s="341">
        <f t="shared" si="14"/>
        <v>1505234</v>
      </c>
      <c r="H37" s="2"/>
      <c r="I37" s="2"/>
      <c r="J37" s="2"/>
      <c r="K37" s="2"/>
      <c r="L37" s="2"/>
      <c r="M37" s="2"/>
      <c r="N37" s="2"/>
      <c r="O37" s="295"/>
      <c r="P37" s="2"/>
      <c r="Q37" s="2"/>
      <c r="R37" s="2"/>
      <c r="S37" s="2"/>
      <c r="T37" s="2"/>
      <c r="U37" s="2"/>
      <c r="V37" s="2"/>
      <c r="W37" s="2"/>
      <c r="X37" s="2"/>
      <c r="Y37" s="2"/>
    </row>
    <row r="38" spans="1:25" ht="15.75" x14ac:dyDescent="0.25">
      <c r="A38" s="68"/>
      <c r="B38" s="11">
        <f>+IF(F38=0,0,MID(F38,LEN(F38)-4,3))</f>
        <v>0</v>
      </c>
      <c r="C38" s="277"/>
      <c r="D38" s="12" t="s">
        <v>229</v>
      </c>
      <c r="E38" s="13">
        <f>+IF(F38=0,0,CONCATENATE(MID(F38,FIND("-",F38,1)+1,4),"ORAS"))</f>
        <v>0</v>
      </c>
      <c r="F38" s="14">
        <v>0</v>
      </c>
      <c r="G38" s="341">
        <f t="shared" si="14"/>
        <v>0</v>
      </c>
      <c r="H38" s="2"/>
      <c r="I38" s="2"/>
      <c r="J38" s="2"/>
      <c r="K38" s="2"/>
      <c r="L38" s="2"/>
      <c r="M38" s="2"/>
      <c r="N38" s="2"/>
      <c r="O38" s="295"/>
      <c r="P38" s="2"/>
      <c r="Q38" s="2"/>
      <c r="R38" s="2"/>
      <c r="S38" s="2"/>
      <c r="T38" s="2"/>
      <c r="U38" s="2"/>
      <c r="V38" s="2"/>
      <c r="W38" s="2"/>
      <c r="X38" s="2"/>
      <c r="Y38" s="2"/>
    </row>
    <row r="39" spans="1:25" ht="15.75" x14ac:dyDescent="0.2">
      <c r="A39" s="69"/>
      <c r="B39" s="16"/>
      <c r="C39" s="70"/>
      <c r="D39" s="32"/>
      <c r="E39" s="13"/>
      <c r="F39" s="14">
        <v>0</v>
      </c>
      <c r="G39" s="341">
        <f t="shared" si="14"/>
        <v>0</v>
      </c>
      <c r="H39" s="2"/>
      <c r="I39" s="2"/>
      <c r="J39" s="2"/>
      <c r="K39" s="2"/>
      <c r="L39" s="2"/>
      <c r="M39" s="2"/>
      <c r="N39" s="2"/>
      <c r="O39" s="295"/>
      <c r="P39" s="2"/>
      <c r="Q39" s="2"/>
      <c r="R39" s="2"/>
      <c r="S39" s="2"/>
      <c r="T39" s="2"/>
      <c r="U39" s="2"/>
      <c r="V39" s="2"/>
      <c r="W39" s="2"/>
      <c r="X39" s="2"/>
      <c r="Y39" s="2"/>
    </row>
    <row r="40" spans="1:25" ht="15.75" x14ac:dyDescent="0.2">
      <c r="A40" s="46" t="s">
        <v>29</v>
      </c>
      <c r="B40" s="47">
        <f>+B26+B27+B28+B34+B35+B36+B37+B38</f>
        <v>24</v>
      </c>
      <c r="C40" s="48">
        <f>SUM(C26:C32)+C34+C35+C36+C37+C38+C39</f>
        <v>8</v>
      </c>
      <c r="D40" s="48"/>
      <c r="E40" s="13">
        <f>+IF(F40=0,0,CONCATENATE(MID(F40,FIND("-",F40,1)+1,3),"ORAS"))</f>
        <v>0</v>
      </c>
      <c r="F40" s="48"/>
      <c r="G40" s="33">
        <f>SUM(G26:G31,G34:G39)</f>
        <v>13681929</v>
      </c>
      <c r="H40" s="2"/>
      <c r="I40" s="2"/>
      <c r="J40" s="2"/>
      <c r="K40" s="2"/>
      <c r="L40" s="2"/>
      <c r="M40" s="2"/>
      <c r="N40" s="2"/>
      <c r="O40" s="295"/>
      <c r="P40" s="2"/>
      <c r="Q40" s="2"/>
      <c r="R40" s="2"/>
      <c r="S40" s="2"/>
      <c r="T40" s="2"/>
      <c r="U40" s="2"/>
      <c r="V40" s="2"/>
      <c r="W40" s="2"/>
      <c r="X40" s="2"/>
      <c r="Y40" s="2"/>
    </row>
    <row r="41" spans="1:25" ht="15.75" x14ac:dyDescent="0.2">
      <c r="A41" s="436" t="s">
        <v>40</v>
      </c>
      <c r="B41" s="436"/>
      <c r="C41" s="436"/>
      <c r="D41" s="436"/>
      <c r="E41" s="436"/>
      <c r="F41" s="436"/>
      <c r="G41" s="436"/>
      <c r="H41" s="2"/>
      <c r="I41" s="2"/>
      <c r="J41" s="2"/>
      <c r="K41" s="2"/>
      <c r="L41" s="2"/>
      <c r="M41" s="2"/>
      <c r="N41" s="2"/>
      <c r="O41" s="295"/>
      <c r="P41" s="2"/>
      <c r="Q41" s="2"/>
      <c r="R41" s="2"/>
      <c r="S41" s="2"/>
      <c r="T41" s="2"/>
      <c r="U41" s="2"/>
      <c r="V41" s="2"/>
      <c r="W41" s="2"/>
      <c r="X41" s="2"/>
      <c r="Y41" s="2"/>
    </row>
    <row r="42" spans="1:25" ht="15.75" x14ac:dyDescent="0.2">
      <c r="A42" s="436" t="s">
        <v>1</v>
      </c>
      <c r="B42" s="436"/>
      <c r="C42" s="436"/>
      <c r="D42" s="436"/>
      <c r="E42" s="436"/>
      <c r="F42" s="436"/>
      <c r="G42" s="436"/>
      <c r="H42" s="2"/>
      <c r="I42" s="2"/>
      <c r="J42" s="2"/>
      <c r="K42" s="2"/>
      <c r="L42" s="2"/>
      <c r="M42" s="2"/>
      <c r="N42" s="2"/>
      <c r="O42" s="295"/>
      <c r="P42" s="2"/>
      <c r="Q42" s="2"/>
      <c r="R42" s="2"/>
      <c r="S42" s="2"/>
      <c r="T42" s="2"/>
      <c r="U42" s="2"/>
      <c r="V42" s="2"/>
      <c r="W42" s="2"/>
      <c r="X42" s="2"/>
      <c r="Y42" s="2"/>
    </row>
    <row r="43" spans="1:25" ht="15.75" x14ac:dyDescent="0.2">
      <c r="A43" s="71" t="s">
        <v>4</v>
      </c>
      <c r="B43" s="72" t="s">
        <v>5</v>
      </c>
      <c r="C43" s="72" t="s">
        <v>6</v>
      </c>
      <c r="D43" s="72" t="s">
        <v>7</v>
      </c>
      <c r="E43" s="72" t="s">
        <v>8</v>
      </c>
      <c r="F43" s="72" t="s">
        <v>9</v>
      </c>
      <c r="G43" s="72" t="s">
        <v>10</v>
      </c>
      <c r="H43" s="2"/>
      <c r="I43" s="2"/>
      <c r="J43" s="2"/>
      <c r="K43" s="2"/>
      <c r="L43" s="2"/>
      <c r="M43" s="2"/>
      <c r="N43" s="2"/>
      <c r="O43" s="295"/>
      <c r="P43" s="2"/>
      <c r="Q43" s="2"/>
      <c r="R43" s="2"/>
      <c r="S43" s="2"/>
      <c r="T43" s="2"/>
      <c r="U43" s="2"/>
      <c r="V43" s="2"/>
      <c r="W43" s="2"/>
      <c r="X43" s="2"/>
      <c r="Y43" s="2"/>
    </row>
    <row r="44" spans="1:25" ht="15.75" x14ac:dyDescent="0.2">
      <c r="A44" s="73"/>
      <c r="B44" s="74"/>
      <c r="C44" s="74"/>
      <c r="D44" s="75"/>
      <c r="E44" s="75"/>
      <c r="F44" s="75"/>
      <c r="G44" s="76"/>
      <c r="H44" s="2"/>
      <c r="I44" s="2"/>
      <c r="J44" s="2"/>
      <c r="K44" s="2"/>
      <c r="L44" s="2"/>
      <c r="M44" s="2"/>
      <c r="N44" s="2"/>
      <c r="O44" s="295"/>
      <c r="P44" s="2"/>
      <c r="Q44" s="2"/>
      <c r="R44" s="2"/>
      <c r="S44" s="2"/>
      <c r="T44" s="2"/>
      <c r="U44" s="2"/>
      <c r="V44" s="2"/>
      <c r="W44" s="2"/>
      <c r="X44" s="2"/>
      <c r="Y44" s="2"/>
    </row>
    <row r="45" spans="1:25" ht="1.5" customHeight="1" x14ac:dyDescent="0.2">
      <c r="A45" s="73"/>
      <c r="B45" s="74"/>
      <c r="C45" s="74"/>
      <c r="D45" s="74"/>
      <c r="E45" s="74"/>
      <c r="F45" s="74"/>
      <c r="G45" s="74"/>
      <c r="H45" s="2"/>
      <c r="I45" s="2"/>
      <c r="J45" s="2"/>
      <c r="K45" s="2"/>
      <c r="L45" s="2"/>
      <c r="M45" s="2"/>
      <c r="N45" s="2"/>
      <c r="O45" s="295"/>
      <c r="P45" s="2"/>
      <c r="Q45" s="2"/>
      <c r="R45" s="2"/>
      <c r="S45" s="2"/>
      <c r="T45" s="2"/>
      <c r="U45" s="2"/>
      <c r="V45" s="2"/>
      <c r="W45" s="2"/>
      <c r="X45" s="2"/>
      <c r="Y45" s="2"/>
    </row>
    <row r="46" spans="1:25" ht="15.75" x14ac:dyDescent="0.25">
      <c r="A46" s="41" t="s">
        <v>476</v>
      </c>
      <c r="B46" s="11" t="str">
        <f t="shared" ref="B46:B51" si="15">+IF(F46=0,0,MID(F46,LEN(F46)-4,3))</f>
        <v xml:space="preserve">04 </v>
      </c>
      <c r="C46" s="277">
        <v>1</v>
      </c>
      <c r="D46" s="12" t="s">
        <v>229</v>
      </c>
      <c r="E46" s="13" t="str">
        <f>+IF(F46=0,0,CONCATENATE(MID(F46,FIND("-",F46,1)+1,4),"ORAS"))</f>
        <v>15 HORAS</v>
      </c>
      <c r="F46" s="14" t="s">
        <v>351</v>
      </c>
      <c r="G46" s="341">
        <f t="shared" ref="G46:G51" si="16">+IF(F46="","",VLOOKUP(F46,$H$139:$I$217,2,FALSE))</f>
        <v>1955007</v>
      </c>
      <c r="H46" s="2"/>
      <c r="I46" s="2"/>
      <c r="J46" s="437"/>
      <c r="K46" s="437"/>
      <c r="L46" s="437"/>
      <c r="M46" s="437"/>
      <c r="N46" s="437"/>
      <c r="O46" s="437"/>
      <c r="P46" s="437"/>
      <c r="Q46" s="2"/>
      <c r="R46" s="2"/>
      <c r="S46" s="2"/>
      <c r="T46" s="2"/>
      <c r="U46" s="2"/>
      <c r="V46" s="2"/>
      <c r="W46" s="2"/>
      <c r="X46" s="2"/>
      <c r="Y46" s="2"/>
    </row>
    <row r="47" spans="1:25" ht="15.75" x14ac:dyDescent="0.2">
      <c r="A47" s="77" t="s">
        <v>477</v>
      </c>
      <c r="B47" s="11" t="str">
        <f t="shared" si="15"/>
        <v xml:space="preserve">04 </v>
      </c>
      <c r="C47" s="44">
        <v>1</v>
      </c>
      <c r="D47" s="12" t="s">
        <v>229</v>
      </c>
      <c r="E47" s="13" t="str">
        <f>+IF(F47=0,0,CONCATENATE(MID(F47,FIND("-",F47,1)+1,4),"ORAS"))</f>
        <v>15 HORAS</v>
      </c>
      <c r="F47" s="14" t="s">
        <v>351</v>
      </c>
      <c r="G47" s="341">
        <f t="shared" si="16"/>
        <v>1955007</v>
      </c>
      <c r="H47" s="2"/>
      <c r="I47" s="2"/>
      <c r="J47" s="437"/>
      <c r="K47" s="437"/>
      <c r="L47" s="437"/>
      <c r="M47" s="437"/>
      <c r="N47" s="437"/>
      <c r="O47" s="437"/>
      <c r="P47" s="437"/>
      <c r="Q47" s="2"/>
      <c r="R47" s="2"/>
      <c r="S47" s="2"/>
      <c r="T47" s="2"/>
      <c r="U47" s="2"/>
      <c r="V47" s="2"/>
      <c r="W47" s="2"/>
      <c r="X47" s="2"/>
      <c r="Y47" s="2"/>
    </row>
    <row r="48" spans="1:25" ht="15.75" x14ac:dyDescent="0.2">
      <c r="A48" s="77"/>
      <c r="B48" s="11">
        <f t="shared" si="15"/>
        <v>0</v>
      </c>
      <c r="C48" s="44"/>
      <c r="D48" s="44"/>
      <c r="E48" s="13"/>
      <c r="F48" s="14">
        <v>0</v>
      </c>
      <c r="G48" s="341">
        <f t="shared" si="16"/>
        <v>0</v>
      </c>
      <c r="H48" s="2"/>
      <c r="I48" s="2"/>
      <c r="J48" s="437"/>
      <c r="K48" s="437"/>
      <c r="L48" s="437"/>
      <c r="M48" s="437"/>
      <c r="N48" s="437"/>
      <c r="O48" s="437"/>
      <c r="P48" s="437"/>
      <c r="Q48" s="2"/>
      <c r="R48" s="2"/>
      <c r="S48" s="2"/>
      <c r="T48" s="2"/>
      <c r="U48" s="2"/>
      <c r="V48" s="2"/>
      <c r="W48" s="2"/>
      <c r="X48" s="2"/>
      <c r="Y48" s="2"/>
    </row>
    <row r="49" spans="1:25" ht="15.75" x14ac:dyDescent="0.2">
      <c r="A49" s="77"/>
      <c r="B49" s="11">
        <f t="shared" si="15"/>
        <v>0</v>
      </c>
      <c r="C49" s="44"/>
      <c r="D49" s="44"/>
      <c r="E49" s="13"/>
      <c r="F49" s="14">
        <v>0</v>
      </c>
      <c r="G49" s="341">
        <f t="shared" si="16"/>
        <v>0</v>
      </c>
      <c r="H49" s="2"/>
      <c r="I49" s="2"/>
      <c r="J49" s="437"/>
      <c r="K49" s="437"/>
      <c r="L49" s="437"/>
      <c r="M49" s="437"/>
      <c r="N49" s="437"/>
      <c r="O49" s="437"/>
      <c r="P49" s="437"/>
      <c r="Q49" s="2"/>
      <c r="R49" s="2"/>
      <c r="S49" s="2"/>
      <c r="T49" s="2"/>
      <c r="U49" s="2"/>
      <c r="V49" s="2"/>
      <c r="W49" s="2"/>
      <c r="X49" s="2"/>
      <c r="Y49" s="2"/>
    </row>
    <row r="50" spans="1:25" ht="15.75" x14ac:dyDescent="0.2">
      <c r="A50" s="77"/>
      <c r="B50" s="11">
        <f t="shared" si="15"/>
        <v>0</v>
      </c>
      <c r="C50" s="44"/>
      <c r="D50" s="44"/>
      <c r="E50" s="13"/>
      <c r="F50" s="14">
        <v>0</v>
      </c>
      <c r="G50" s="341">
        <f t="shared" si="16"/>
        <v>0</v>
      </c>
      <c r="H50" s="2"/>
      <c r="I50" s="2"/>
      <c r="J50" s="437"/>
      <c r="K50" s="437"/>
      <c r="L50" s="437"/>
      <c r="M50" s="437"/>
      <c r="N50" s="437"/>
      <c r="O50" s="437"/>
      <c r="P50" s="437"/>
      <c r="Q50" s="2"/>
      <c r="R50" s="2"/>
      <c r="S50" s="2"/>
      <c r="T50" s="2"/>
      <c r="U50" s="2"/>
      <c r="V50" s="2"/>
      <c r="W50" s="2"/>
      <c r="X50" s="2"/>
      <c r="Y50" s="2"/>
    </row>
    <row r="51" spans="1:25" ht="15.75" x14ac:dyDescent="0.2">
      <c r="A51" s="77"/>
      <c r="B51" s="11">
        <f t="shared" si="15"/>
        <v>0</v>
      </c>
      <c r="C51" s="44"/>
      <c r="D51" s="44"/>
      <c r="E51" s="13"/>
      <c r="F51" s="14">
        <v>0</v>
      </c>
      <c r="G51" s="341">
        <f t="shared" si="16"/>
        <v>0</v>
      </c>
      <c r="H51" s="2"/>
      <c r="I51" s="2"/>
      <c r="J51" s="437"/>
      <c r="K51" s="437"/>
      <c r="L51" s="437"/>
      <c r="M51" s="437"/>
      <c r="N51" s="437"/>
      <c r="O51" s="437"/>
      <c r="P51" s="437"/>
      <c r="Q51" s="2"/>
      <c r="R51" s="2"/>
      <c r="S51" s="2"/>
      <c r="T51" s="2"/>
      <c r="U51" s="2"/>
      <c r="V51" s="2"/>
      <c r="W51" s="2"/>
      <c r="X51" s="2"/>
      <c r="Y51" s="2"/>
    </row>
    <row r="52" spans="1:25" ht="15.75" x14ac:dyDescent="0.2">
      <c r="A52" s="438" t="s">
        <v>23</v>
      </c>
      <c r="B52" s="438"/>
      <c r="C52" s="438"/>
      <c r="D52" s="438"/>
      <c r="E52" s="438"/>
      <c r="F52" s="438"/>
      <c r="G52" s="438"/>
      <c r="H52" s="2"/>
      <c r="I52" s="2"/>
      <c r="J52" s="437"/>
      <c r="K52" s="437"/>
      <c r="L52" s="437"/>
      <c r="M52" s="437"/>
      <c r="N52" s="437"/>
      <c r="O52" s="437"/>
      <c r="P52" s="437"/>
      <c r="Q52" s="2"/>
      <c r="R52" s="2"/>
      <c r="S52" s="2"/>
      <c r="T52" s="2"/>
      <c r="U52" s="2"/>
      <c r="V52" s="2"/>
      <c r="W52" s="2"/>
      <c r="X52" s="2"/>
      <c r="Y52" s="2"/>
    </row>
    <row r="53" spans="1:25" ht="15.75" x14ac:dyDescent="0.2">
      <c r="A53" s="71" t="s">
        <v>4</v>
      </c>
      <c r="B53" s="72" t="s">
        <v>5</v>
      </c>
      <c r="C53" s="72" t="s">
        <v>6</v>
      </c>
      <c r="D53" s="72" t="s">
        <v>7</v>
      </c>
      <c r="E53" s="72" t="s">
        <v>8</v>
      </c>
      <c r="F53" s="72" t="s">
        <v>9</v>
      </c>
      <c r="G53" s="72" t="s">
        <v>10</v>
      </c>
      <c r="H53" s="2"/>
      <c r="I53" s="2"/>
      <c r="J53" s="437"/>
      <c r="K53" s="437"/>
      <c r="L53" s="437"/>
      <c r="M53" s="437"/>
      <c r="N53" s="437"/>
      <c r="O53" s="437"/>
      <c r="P53" s="437"/>
      <c r="Q53" s="2"/>
      <c r="R53" s="2"/>
      <c r="S53" s="2"/>
      <c r="T53" s="2"/>
      <c r="U53" s="2"/>
      <c r="V53" s="2"/>
      <c r="W53" s="2"/>
      <c r="X53" s="2"/>
      <c r="Y53" s="2"/>
    </row>
    <row r="54" spans="1:25" ht="15.75" x14ac:dyDescent="0.25">
      <c r="A54" s="41" t="s">
        <v>41</v>
      </c>
      <c r="B54" s="11" t="str">
        <f t="shared" ref="B54:B63" si="17">+IF(F54=0,0,MID(F54,LEN(F54)-4,3))</f>
        <v xml:space="preserve">03 </v>
      </c>
      <c r="C54" s="277">
        <v>1</v>
      </c>
      <c r="D54" s="12" t="s">
        <v>229</v>
      </c>
      <c r="E54" s="13" t="str">
        <f t="shared" ref="E54:E63" si="18">+IF(F54=0,0,CONCATENATE(MID(F54,FIND("-",F54,1)+1,4),"ORAS"))</f>
        <v>15 HORAS</v>
      </c>
      <c r="F54" s="14" t="s">
        <v>367</v>
      </c>
      <c r="G54" s="341">
        <f t="shared" ref="G54:G64" si="19">+IF(F54="","",VLOOKUP(F54,$H$139:$I$217,2,FALSE))</f>
        <v>1505234</v>
      </c>
      <c r="H54" s="2"/>
      <c r="I54" s="2"/>
      <c r="J54" s="437"/>
      <c r="K54" s="437"/>
      <c r="L54" s="437"/>
      <c r="M54" s="437"/>
      <c r="N54" s="437"/>
      <c r="O54" s="437"/>
      <c r="P54" s="437"/>
      <c r="Q54" s="2"/>
      <c r="R54" s="2"/>
      <c r="S54" s="2"/>
      <c r="T54" s="2"/>
      <c r="U54" s="2"/>
      <c r="V54" s="2"/>
      <c r="W54" s="2"/>
      <c r="X54" s="2"/>
      <c r="Y54" s="2"/>
    </row>
    <row r="55" spans="1:25" ht="15.75" x14ac:dyDescent="0.25">
      <c r="A55" s="41" t="s">
        <v>42</v>
      </c>
      <c r="B55" s="11" t="str">
        <f t="shared" si="17"/>
        <v xml:space="preserve">03 </v>
      </c>
      <c r="C55" s="277">
        <v>1</v>
      </c>
      <c r="D55" s="12" t="s">
        <v>229</v>
      </c>
      <c r="E55" s="13" t="str">
        <f t="shared" si="18"/>
        <v>15 HORAS</v>
      </c>
      <c r="F55" s="14" t="s">
        <v>367</v>
      </c>
      <c r="G55" s="341">
        <f t="shared" si="19"/>
        <v>1505234</v>
      </c>
      <c r="H55" s="2"/>
      <c r="I55" s="2"/>
      <c r="J55" s="437"/>
      <c r="K55" s="437"/>
      <c r="L55" s="437"/>
      <c r="M55" s="437"/>
      <c r="N55" s="437"/>
      <c r="O55" s="437"/>
      <c r="P55" s="437"/>
      <c r="Q55" s="2"/>
      <c r="R55" s="2"/>
      <c r="S55" s="2"/>
      <c r="T55" s="2"/>
      <c r="U55" s="2"/>
      <c r="V55" s="2"/>
      <c r="W55" s="2"/>
      <c r="X55" s="2"/>
      <c r="Y55" s="2"/>
    </row>
    <row r="56" spans="1:25" ht="15.75" x14ac:dyDescent="0.25">
      <c r="A56" s="41" t="s">
        <v>43</v>
      </c>
      <c r="B56" s="11" t="str">
        <f t="shared" si="17"/>
        <v xml:space="preserve">03 </v>
      </c>
      <c r="C56" s="277">
        <v>1</v>
      </c>
      <c r="D56" s="12" t="s">
        <v>229</v>
      </c>
      <c r="E56" s="13" t="str">
        <f t="shared" si="18"/>
        <v>15 HORAS</v>
      </c>
      <c r="F56" s="14" t="s">
        <v>367</v>
      </c>
      <c r="G56" s="341">
        <f t="shared" si="19"/>
        <v>1505234</v>
      </c>
      <c r="H56" s="2"/>
      <c r="I56" s="2"/>
      <c r="J56" s="437"/>
      <c r="K56" s="437"/>
      <c r="L56" s="437"/>
      <c r="M56" s="437"/>
      <c r="N56" s="437"/>
      <c r="O56" s="437"/>
      <c r="P56" s="437"/>
      <c r="Q56" s="2"/>
      <c r="R56" s="2"/>
      <c r="S56" s="2"/>
      <c r="T56" s="2"/>
      <c r="U56" s="2"/>
      <c r="V56" s="2"/>
      <c r="W56" s="2"/>
      <c r="X56" s="2"/>
      <c r="Y56" s="2"/>
    </row>
    <row r="57" spans="1:25" ht="15.75" x14ac:dyDescent="0.25">
      <c r="A57" s="41" t="s">
        <v>169</v>
      </c>
      <c r="B57" s="11" t="str">
        <f t="shared" si="17"/>
        <v xml:space="preserve">03 </v>
      </c>
      <c r="C57" s="277">
        <v>1</v>
      </c>
      <c r="D57" s="12" t="s">
        <v>229</v>
      </c>
      <c r="E57" s="13" t="str">
        <f t="shared" si="18"/>
        <v>15 HORAS</v>
      </c>
      <c r="F57" s="14" t="s">
        <v>367</v>
      </c>
      <c r="G57" s="341">
        <f t="shared" si="19"/>
        <v>1505234</v>
      </c>
      <c r="H57" s="2"/>
      <c r="I57" s="2"/>
      <c r="J57" s="437"/>
      <c r="K57" s="437"/>
      <c r="L57" s="437"/>
      <c r="M57" s="437"/>
      <c r="N57" s="437"/>
      <c r="O57" s="437"/>
      <c r="P57" s="437"/>
      <c r="Q57" s="2"/>
      <c r="R57" s="2"/>
      <c r="S57" s="2"/>
      <c r="T57" s="2"/>
      <c r="U57" s="2"/>
      <c r="V57" s="2"/>
      <c r="W57" s="2"/>
      <c r="X57" s="2"/>
      <c r="Y57" s="2"/>
    </row>
    <row r="58" spans="1:25" ht="15.75" x14ac:dyDescent="0.25">
      <c r="A58" s="79" t="s">
        <v>170</v>
      </c>
      <c r="B58" s="11" t="str">
        <f t="shared" si="17"/>
        <v xml:space="preserve">03 </v>
      </c>
      <c r="C58" s="277">
        <v>1</v>
      </c>
      <c r="D58" s="12" t="s">
        <v>229</v>
      </c>
      <c r="E58" s="13" t="str">
        <f t="shared" si="18"/>
        <v>15 HORAS</v>
      </c>
      <c r="F58" s="14" t="s">
        <v>367</v>
      </c>
      <c r="G58" s="341">
        <f t="shared" si="19"/>
        <v>1505234</v>
      </c>
      <c r="H58" s="2"/>
      <c r="I58" s="2"/>
      <c r="J58" s="437"/>
      <c r="K58" s="437"/>
      <c r="L58" s="437"/>
      <c r="M58" s="437"/>
      <c r="N58" s="437"/>
      <c r="O58" s="437"/>
      <c r="P58" s="437"/>
      <c r="Q58" s="2"/>
      <c r="R58" s="2"/>
      <c r="S58" s="2"/>
      <c r="T58" s="2"/>
      <c r="U58" s="2"/>
      <c r="V58" s="2"/>
      <c r="W58" s="2"/>
      <c r="X58" s="2"/>
      <c r="Y58" s="2"/>
    </row>
    <row r="59" spans="1:25" ht="15.75" x14ac:dyDescent="0.25">
      <c r="A59" s="79" t="s">
        <v>171</v>
      </c>
      <c r="B59" s="11" t="str">
        <f t="shared" si="17"/>
        <v xml:space="preserve">03 </v>
      </c>
      <c r="C59" s="277">
        <v>1</v>
      </c>
      <c r="D59" s="12" t="s">
        <v>229</v>
      </c>
      <c r="E59" s="13" t="str">
        <f t="shared" si="18"/>
        <v>15 HORAS</v>
      </c>
      <c r="F59" s="14" t="s">
        <v>367</v>
      </c>
      <c r="G59" s="341">
        <f t="shared" si="19"/>
        <v>1505234</v>
      </c>
      <c r="H59" s="2"/>
      <c r="I59" s="2"/>
      <c r="J59" s="437"/>
      <c r="K59" s="437"/>
      <c r="L59" s="437"/>
      <c r="M59" s="437"/>
      <c r="N59" s="437"/>
      <c r="O59" s="437"/>
      <c r="P59" s="437"/>
      <c r="Q59" s="2"/>
      <c r="R59" s="2"/>
      <c r="S59" s="2"/>
      <c r="T59" s="2"/>
      <c r="U59" s="2"/>
      <c r="V59" s="2"/>
      <c r="W59" s="2"/>
      <c r="X59" s="2"/>
      <c r="Y59" s="2"/>
    </row>
    <row r="60" spans="1:25" ht="15.75" x14ac:dyDescent="0.25">
      <c r="A60" s="79" t="s">
        <v>172</v>
      </c>
      <c r="B60" s="11" t="str">
        <f t="shared" si="17"/>
        <v xml:space="preserve">03 </v>
      </c>
      <c r="C60" s="277">
        <v>1</v>
      </c>
      <c r="D60" s="12" t="s">
        <v>229</v>
      </c>
      <c r="E60" s="13" t="str">
        <f t="shared" si="18"/>
        <v>15 HORAS</v>
      </c>
      <c r="F60" s="14" t="s">
        <v>367</v>
      </c>
      <c r="G60" s="341">
        <f t="shared" si="19"/>
        <v>1505234</v>
      </c>
      <c r="H60" s="2"/>
      <c r="I60" s="2"/>
      <c r="J60" s="437"/>
      <c r="K60" s="437"/>
      <c r="L60" s="437"/>
      <c r="M60" s="437"/>
      <c r="N60" s="437"/>
      <c r="O60" s="437"/>
      <c r="P60" s="437"/>
      <c r="Q60" s="2"/>
      <c r="R60" s="2"/>
      <c r="S60" s="2"/>
      <c r="T60" s="2"/>
      <c r="U60" s="2"/>
      <c r="V60" s="2"/>
      <c r="W60" s="2"/>
      <c r="X60" s="2"/>
      <c r="Y60" s="2"/>
    </row>
    <row r="61" spans="1:25" ht="15.75" x14ac:dyDescent="0.25">
      <c r="A61" s="79" t="s">
        <v>173</v>
      </c>
      <c r="B61" s="11" t="str">
        <f t="shared" si="17"/>
        <v xml:space="preserve">03 </v>
      </c>
      <c r="C61" s="277">
        <v>1</v>
      </c>
      <c r="D61" s="12" t="s">
        <v>229</v>
      </c>
      <c r="E61" s="13" t="str">
        <f t="shared" si="18"/>
        <v>15 HORAS</v>
      </c>
      <c r="F61" s="14" t="s">
        <v>367</v>
      </c>
      <c r="G61" s="341">
        <f t="shared" si="19"/>
        <v>1505234</v>
      </c>
      <c r="H61" s="2"/>
      <c r="I61" s="2"/>
      <c r="J61" s="437"/>
      <c r="K61" s="437"/>
      <c r="L61" s="437"/>
      <c r="M61" s="437"/>
      <c r="N61" s="437"/>
      <c r="O61" s="437"/>
      <c r="P61" s="437"/>
      <c r="Q61" s="2"/>
      <c r="R61" s="2"/>
      <c r="S61" s="2"/>
      <c r="T61" s="2"/>
      <c r="U61" s="2"/>
      <c r="V61" s="2"/>
      <c r="W61" s="2"/>
      <c r="X61" s="2"/>
      <c r="Y61" s="2"/>
    </row>
    <row r="62" spans="1:25" ht="15.75" x14ac:dyDescent="0.25">
      <c r="A62" s="78" t="s">
        <v>44</v>
      </c>
      <c r="B62" s="11" t="str">
        <f t="shared" si="17"/>
        <v xml:space="preserve">03 </v>
      </c>
      <c r="C62" s="277">
        <v>1</v>
      </c>
      <c r="D62" s="12" t="s">
        <v>229</v>
      </c>
      <c r="E62" s="13" t="str">
        <f t="shared" si="18"/>
        <v>15 HORAS</v>
      </c>
      <c r="F62" s="14" t="s">
        <v>367</v>
      </c>
      <c r="G62" s="341">
        <f t="shared" si="19"/>
        <v>1505234</v>
      </c>
      <c r="H62" s="2"/>
      <c r="I62" s="2"/>
      <c r="J62" s="437"/>
      <c r="K62" s="437"/>
      <c r="L62" s="437"/>
      <c r="M62" s="437"/>
      <c r="N62" s="437"/>
      <c r="O62" s="437"/>
      <c r="P62" s="437"/>
      <c r="Q62" s="2"/>
      <c r="R62" s="2"/>
      <c r="S62" s="2"/>
      <c r="T62" s="2"/>
      <c r="U62" s="2"/>
      <c r="V62" s="2"/>
      <c r="W62" s="2"/>
      <c r="X62" s="2"/>
      <c r="Y62" s="2"/>
    </row>
    <row r="63" spans="1:25" ht="15.75" x14ac:dyDescent="0.25">
      <c r="A63" s="78" t="s">
        <v>45</v>
      </c>
      <c r="B63" s="11" t="str">
        <f t="shared" si="17"/>
        <v xml:space="preserve">03 </v>
      </c>
      <c r="C63" s="277">
        <v>1</v>
      </c>
      <c r="D63" s="12" t="s">
        <v>229</v>
      </c>
      <c r="E63" s="13" t="str">
        <f t="shared" si="18"/>
        <v>15 HORAS</v>
      </c>
      <c r="F63" s="14" t="s">
        <v>367</v>
      </c>
      <c r="G63" s="341">
        <f t="shared" si="19"/>
        <v>1505234</v>
      </c>
      <c r="H63" s="2"/>
      <c r="I63" s="2"/>
      <c r="J63" s="437"/>
      <c r="K63" s="437"/>
      <c r="L63" s="437"/>
      <c r="M63" s="437"/>
      <c r="N63" s="437"/>
      <c r="O63" s="437"/>
      <c r="P63" s="437"/>
      <c r="Q63" s="2"/>
      <c r="R63" s="2"/>
      <c r="S63" s="2"/>
      <c r="T63" s="2"/>
      <c r="U63" s="2"/>
      <c r="V63" s="2"/>
      <c r="W63" s="2"/>
      <c r="X63" s="2"/>
      <c r="Y63" s="2"/>
    </row>
    <row r="64" spans="1:25" ht="15.75" x14ac:dyDescent="0.25">
      <c r="A64" s="77"/>
      <c r="B64" s="16"/>
      <c r="C64" s="277"/>
      <c r="D64" s="80"/>
      <c r="E64" s="14"/>
      <c r="F64" s="14"/>
      <c r="G64" s="341" t="str">
        <f t="shared" si="19"/>
        <v/>
      </c>
      <c r="H64" s="2"/>
      <c r="I64" s="2"/>
      <c r="J64" s="437"/>
      <c r="K64" s="437"/>
      <c r="L64" s="437"/>
      <c r="M64" s="437"/>
      <c r="N64" s="437"/>
      <c r="O64" s="437"/>
      <c r="P64" s="437"/>
      <c r="Q64" s="2"/>
      <c r="R64" s="2"/>
      <c r="S64" s="2"/>
      <c r="T64" s="2"/>
      <c r="U64" s="2"/>
      <c r="V64" s="2"/>
      <c r="W64" s="2"/>
      <c r="X64" s="2"/>
      <c r="Y64" s="2"/>
    </row>
    <row r="65" spans="1:31" ht="15.75" x14ac:dyDescent="0.2">
      <c r="A65" s="77" t="s">
        <v>29</v>
      </c>
      <c r="B65" s="48">
        <f>+B54+B55+B56+B57+B58+B64+B59+B60+B61+B62+B63+B46+B47+B48+B49+B50+B51</f>
        <v>38</v>
      </c>
      <c r="C65" s="48">
        <f>C59+C60+C61+C62+C63+C46+C47+C48+C49+C50+C54+C55+C56+C57+C58+C64</f>
        <v>12</v>
      </c>
      <c r="D65" s="48"/>
      <c r="E65" s="81"/>
      <c r="F65" s="48"/>
      <c r="G65" s="33">
        <f>SUM(G46:G51,G54:G64)</f>
        <v>18962354</v>
      </c>
      <c r="H65" s="2"/>
      <c r="I65" s="2"/>
      <c r="J65" s="437"/>
      <c r="K65" s="437"/>
      <c r="L65" s="437"/>
      <c r="M65" s="437"/>
      <c r="N65" s="437"/>
      <c r="O65" s="437"/>
      <c r="P65" s="437"/>
      <c r="Q65" s="2"/>
      <c r="R65" s="2"/>
      <c r="S65" s="2"/>
      <c r="T65" s="2"/>
      <c r="U65" s="2"/>
      <c r="V65" s="2"/>
      <c r="W65" s="2"/>
      <c r="X65" s="2"/>
      <c r="Y65" s="2"/>
    </row>
    <row r="66" spans="1:31" ht="15" x14ac:dyDescent="0.2">
      <c r="A66" s="2"/>
      <c r="B66" s="2"/>
      <c r="C66" s="2"/>
      <c r="D66" s="2"/>
      <c r="E66" s="2"/>
      <c r="F66" s="2"/>
      <c r="G66" s="2"/>
      <c r="H66" s="2"/>
      <c r="I66" s="2"/>
      <c r="J66" s="2"/>
      <c r="K66" s="2"/>
      <c r="L66" s="2"/>
      <c r="M66" s="2"/>
      <c r="N66" s="2"/>
      <c r="O66" s="295"/>
      <c r="P66" s="2"/>
      <c r="Q66" s="2"/>
      <c r="R66" s="2"/>
      <c r="S66" s="2"/>
      <c r="T66" s="2"/>
      <c r="U66" s="2"/>
      <c r="V66" s="2"/>
      <c r="W66" s="2"/>
      <c r="X66" s="2"/>
      <c r="Y66" s="2"/>
    </row>
    <row r="67" spans="1:31" ht="15" x14ac:dyDescent="0.2">
      <c r="A67" s="59" t="s">
        <v>32</v>
      </c>
      <c r="B67" s="278">
        <f>B65+B40+B22</f>
        <v>85</v>
      </c>
      <c r="C67" s="278">
        <f>C65+C40+C22</f>
        <v>27</v>
      </c>
      <c r="D67" s="59">
        <f>D65+D40+D22</f>
        <v>0</v>
      </c>
      <c r="E67" s="2"/>
      <c r="F67" s="2"/>
      <c r="G67" s="33">
        <f>SUM(G22,G40,G65)</f>
        <v>47489164</v>
      </c>
      <c r="H67" s="2"/>
      <c r="I67" s="2"/>
      <c r="J67" s="2"/>
      <c r="K67" s="2"/>
      <c r="L67" s="2"/>
      <c r="M67" s="2"/>
      <c r="N67" s="2"/>
      <c r="O67" s="295"/>
      <c r="P67" s="2"/>
      <c r="Q67" s="2"/>
      <c r="R67" s="2"/>
      <c r="S67" s="2"/>
      <c r="T67" s="2"/>
      <c r="U67" s="2"/>
      <c r="V67" s="2"/>
      <c r="W67" s="2"/>
      <c r="X67" s="2"/>
      <c r="Y67" s="2"/>
    </row>
    <row r="68" spans="1:31" ht="15.75" x14ac:dyDescent="0.25">
      <c r="A68" s="2"/>
      <c r="B68" s="2"/>
      <c r="C68" s="2"/>
      <c r="D68" s="2"/>
      <c r="E68" s="2"/>
      <c r="F68" s="2"/>
      <c r="G68" s="2"/>
      <c r="H68" s="2"/>
      <c r="I68" s="2"/>
      <c r="J68" s="82" t="s">
        <v>46</v>
      </c>
      <c r="K68" s="83">
        <f>K25+B67+T33+AB25</f>
        <v>111</v>
      </c>
      <c r="L68" s="84"/>
      <c r="M68" s="85"/>
      <c r="N68" s="85"/>
      <c r="O68" s="298"/>
      <c r="P68" s="85"/>
      <c r="Q68" s="2"/>
      <c r="R68" s="2"/>
      <c r="S68" s="2"/>
      <c r="T68" s="2"/>
      <c r="U68" s="2"/>
      <c r="V68" s="2"/>
      <c r="W68" s="2"/>
      <c r="X68" s="2"/>
      <c r="Y68" s="2"/>
    </row>
    <row r="69" spans="1:31" ht="16.5" thickBot="1" x14ac:dyDescent="0.3">
      <c r="A69" s="2"/>
      <c r="B69" s="2"/>
      <c r="C69" s="2"/>
      <c r="D69" s="2"/>
      <c r="E69" s="2"/>
      <c r="F69" s="2"/>
      <c r="G69" s="2"/>
      <c r="H69" s="2"/>
      <c r="I69" s="2"/>
      <c r="J69" s="82" t="s">
        <v>47</v>
      </c>
      <c r="K69" s="86">
        <f>L25+C67+U33+AC25</f>
        <v>36</v>
      </c>
      <c r="L69" s="2"/>
      <c r="M69" s="87" t="s">
        <v>0</v>
      </c>
      <c r="N69" s="87" t="s">
        <v>30</v>
      </c>
      <c r="O69" s="299" t="s">
        <v>40</v>
      </c>
      <c r="P69" s="88"/>
      <c r="R69" s="89"/>
      <c r="T69" s="2"/>
      <c r="U69" s="2"/>
      <c r="V69" s="2"/>
      <c r="W69" s="2"/>
      <c r="X69" s="2"/>
      <c r="Y69" s="2"/>
    </row>
    <row r="70" spans="1:31" ht="27" customHeight="1" thickBot="1" x14ac:dyDescent="0.3">
      <c r="A70" s="2"/>
      <c r="B70" s="2"/>
      <c r="C70" s="2"/>
      <c r="D70" s="2"/>
      <c r="E70" s="2"/>
      <c r="F70" s="2"/>
      <c r="G70" s="2"/>
      <c r="H70" s="2"/>
      <c r="I70" s="2"/>
      <c r="J70" s="90" t="s">
        <v>48</v>
      </c>
      <c r="K70" s="439">
        <f>SUM(G67,P25,Y33)</f>
        <v>65728917</v>
      </c>
      <c r="L70" s="440"/>
      <c r="M70" s="91">
        <f>SUM(G22,Y20:Y22)</f>
        <v>17579316</v>
      </c>
      <c r="N70" s="92">
        <f>SUM(G40,P4:P15,P18:P24,Y4:Y8,Y15:Y16,Y23:Y24)</f>
        <v>27581524</v>
      </c>
      <c r="O70" s="300">
        <f>SUM(G46:G51,G54:G63,Y25:Y30)</f>
        <v>20568077</v>
      </c>
      <c r="P70" s="93">
        <f>SUM(M70:O70)</f>
        <v>65728917</v>
      </c>
      <c r="R70" s="94"/>
      <c r="S70" s="95"/>
      <c r="T70" s="2"/>
      <c r="U70" s="2"/>
      <c r="V70" s="2"/>
      <c r="W70" s="2"/>
      <c r="X70" s="2"/>
      <c r="Y70" s="2"/>
    </row>
    <row r="71" spans="1:31" ht="13.5" thickBot="1" x14ac:dyDescent="0.25"/>
    <row r="72" spans="1:31" ht="36" customHeight="1" thickBot="1" x14ac:dyDescent="0.25">
      <c r="A72" s="441" t="s">
        <v>49</v>
      </c>
      <c r="B72" s="442"/>
      <c r="C72" s="442"/>
      <c r="D72" s="442"/>
      <c r="E72" s="442"/>
      <c r="F72" s="442"/>
      <c r="G72" s="442"/>
      <c r="H72" s="442"/>
      <c r="I72" s="442"/>
      <c r="J72" s="442"/>
      <c r="K72" s="442"/>
      <c r="L72" s="442"/>
      <c r="M72" s="442"/>
      <c r="N72" s="442"/>
      <c r="O72" s="442"/>
      <c r="P72" s="442"/>
      <c r="Q72" s="442"/>
      <c r="R72" s="442"/>
      <c r="S72" s="442"/>
      <c r="T72" s="442"/>
      <c r="U72" s="442"/>
      <c r="V72" s="442"/>
      <c r="W72" s="442"/>
      <c r="X72" s="442"/>
      <c r="Y72" s="442"/>
      <c r="Z72" s="442"/>
      <c r="AA72" s="442"/>
      <c r="AB72" s="442"/>
      <c r="AC72" s="442"/>
      <c r="AD72" s="442"/>
      <c r="AE72" s="443"/>
    </row>
    <row r="73" spans="1:31" ht="286.5" customHeight="1" x14ac:dyDescent="0.2">
      <c r="A73" s="444"/>
      <c r="B73" s="444"/>
      <c r="C73" s="444"/>
      <c r="D73" s="444"/>
      <c r="E73" s="444"/>
      <c r="F73" s="444"/>
      <c r="G73" s="444"/>
      <c r="H73" s="444"/>
      <c r="I73" s="444"/>
      <c r="J73" s="444"/>
      <c r="K73" s="444"/>
      <c r="L73" s="444"/>
      <c r="M73" s="444"/>
      <c r="N73" s="444"/>
      <c r="O73" s="444"/>
      <c r="P73" s="444"/>
      <c r="Q73" s="444"/>
      <c r="R73" s="444"/>
      <c r="S73" s="444"/>
      <c r="T73" s="444"/>
      <c r="U73" s="444"/>
      <c r="V73" s="444"/>
      <c r="W73" s="444"/>
      <c r="X73" s="444"/>
      <c r="Y73" s="444"/>
      <c r="Z73" s="344"/>
      <c r="AA73" s="344"/>
      <c r="AB73" s="344"/>
      <c r="AC73" s="344"/>
      <c r="AD73" s="344"/>
      <c r="AE73" s="344"/>
    </row>
    <row r="74" spans="1:31" ht="222.75" customHeight="1" x14ac:dyDescent="0.2">
      <c r="A74" s="445"/>
      <c r="B74" s="445"/>
      <c r="C74" s="445"/>
      <c r="D74" s="445"/>
      <c r="E74" s="445"/>
      <c r="F74" s="445"/>
      <c r="G74" s="445"/>
      <c r="H74" s="445"/>
      <c r="I74" s="445"/>
      <c r="J74" s="445"/>
      <c r="K74" s="445"/>
      <c r="L74" s="445"/>
      <c r="M74" s="445"/>
      <c r="N74" s="445"/>
      <c r="O74" s="445"/>
      <c r="P74" s="445"/>
      <c r="Q74" s="445"/>
      <c r="R74" s="445"/>
      <c r="S74" s="445"/>
      <c r="T74" s="445"/>
      <c r="U74" s="445"/>
      <c r="V74" s="445"/>
      <c r="W74" s="445"/>
      <c r="X74" s="445"/>
      <c r="Y74" s="445"/>
      <c r="Z74" s="343"/>
      <c r="AA74" s="343"/>
      <c r="AB74" s="343"/>
      <c r="AC74" s="343"/>
      <c r="AD74" s="343"/>
      <c r="AE74" s="343"/>
    </row>
    <row r="75" spans="1:31" ht="109.5" customHeight="1" x14ac:dyDescent="0.2">
      <c r="A75" s="445"/>
      <c r="B75" s="445"/>
      <c r="C75" s="445"/>
      <c r="D75" s="445"/>
      <c r="E75" s="445"/>
      <c r="F75" s="445"/>
      <c r="G75" s="445"/>
      <c r="H75" s="445"/>
      <c r="I75" s="445"/>
      <c r="J75" s="445"/>
      <c r="K75" s="445"/>
      <c r="L75" s="445"/>
      <c r="M75" s="445"/>
      <c r="N75" s="445"/>
      <c r="O75" s="445"/>
      <c r="P75" s="445"/>
      <c r="Q75" s="445"/>
      <c r="R75" s="445"/>
      <c r="S75" s="445"/>
      <c r="T75" s="445"/>
      <c r="U75" s="445"/>
      <c r="V75" s="445"/>
      <c r="W75" s="445"/>
      <c r="X75" s="445"/>
      <c r="Y75" s="445"/>
      <c r="Z75" s="343"/>
      <c r="AA75" s="343"/>
      <c r="AB75" s="343"/>
      <c r="AC75" s="343"/>
      <c r="AD75" s="343"/>
      <c r="AE75" s="343"/>
    </row>
    <row r="76" spans="1:31" ht="148.5" customHeight="1" x14ac:dyDescent="0.2">
      <c r="A76" s="445"/>
      <c r="B76" s="445"/>
      <c r="C76" s="445"/>
      <c r="D76" s="445"/>
      <c r="E76" s="445"/>
      <c r="F76" s="445"/>
      <c r="G76" s="445"/>
      <c r="H76" s="445"/>
      <c r="I76" s="445"/>
      <c r="J76" s="445"/>
      <c r="K76" s="445"/>
      <c r="L76" s="445"/>
      <c r="M76" s="445"/>
      <c r="N76" s="445"/>
      <c r="O76" s="445"/>
      <c r="P76" s="445"/>
      <c r="Q76" s="445"/>
      <c r="R76" s="445"/>
      <c r="S76" s="445"/>
      <c r="T76" s="445"/>
      <c r="U76" s="445"/>
      <c r="V76" s="445"/>
      <c r="W76" s="445"/>
      <c r="X76" s="445"/>
      <c r="Y76" s="445"/>
      <c r="Z76" s="343"/>
      <c r="AA76" s="343"/>
      <c r="AB76" s="343"/>
      <c r="AC76" s="343"/>
      <c r="AD76" s="343"/>
      <c r="AE76" s="343"/>
    </row>
    <row r="77" spans="1:31" ht="90" customHeight="1" x14ac:dyDescent="0.2">
      <c r="A77" s="445"/>
      <c r="B77" s="445"/>
      <c r="C77" s="445"/>
      <c r="D77" s="445"/>
      <c r="E77" s="445"/>
      <c r="F77" s="445"/>
      <c r="G77" s="445"/>
      <c r="H77" s="445"/>
      <c r="I77" s="445"/>
      <c r="J77" s="445"/>
      <c r="K77" s="445"/>
      <c r="L77" s="445"/>
      <c r="M77" s="445"/>
      <c r="N77" s="445"/>
      <c r="O77" s="445"/>
      <c r="P77" s="445"/>
      <c r="Q77" s="445"/>
      <c r="R77" s="445"/>
      <c r="S77" s="445"/>
      <c r="T77" s="445"/>
      <c r="U77" s="445"/>
      <c r="V77" s="445"/>
      <c r="W77" s="445"/>
      <c r="X77" s="445"/>
      <c r="Y77" s="445"/>
      <c r="Z77" s="343"/>
      <c r="AA77" s="343"/>
      <c r="AB77" s="343"/>
      <c r="AC77" s="343"/>
      <c r="AD77" s="343"/>
      <c r="AE77" s="343"/>
    </row>
    <row r="78" spans="1:31" ht="156" customHeight="1" x14ac:dyDescent="0.2">
      <c r="A78" s="445"/>
      <c r="B78" s="445"/>
      <c r="C78" s="445"/>
      <c r="D78" s="445"/>
      <c r="E78" s="445"/>
      <c r="F78" s="445"/>
      <c r="G78" s="445"/>
      <c r="H78" s="445"/>
      <c r="I78" s="445"/>
      <c r="J78" s="445"/>
      <c r="K78" s="445"/>
      <c r="L78" s="445"/>
      <c r="M78" s="445"/>
      <c r="N78" s="445"/>
      <c r="O78" s="445"/>
      <c r="P78" s="445"/>
      <c r="Q78" s="445"/>
      <c r="R78" s="445"/>
      <c r="S78" s="445"/>
      <c r="T78" s="445"/>
      <c r="U78" s="445"/>
      <c r="V78" s="445"/>
      <c r="W78" s="445"/>
      <c r="X78" s="445"/>
      <c r="Y78" s="445"/>
      <c r="Z78" s="343"/>
      <c r="AA78" s="343"/>
      <c r="AB78" s="343"/>
      <c r="AC78" s="343"/>
      <c r="AD78" s="343"/>
      <c r="AE78" s="343"/>
    </row>
    <row r="79" spans="1:31" ht="258" customHeight="1" x14ac:dyDescent="0.2">
      <c r="A79" s="445"/>
      <c r="B79" s="445"/>
      <c r="C79" s="445"/>
      <c r="D79" s="445"/>
      <c r="E79" s="445"/>
      <c r="F79" s="445"/>
      <c r="G79" s="445"/>
      <c r="H79" s="445"/>
      <c r="I79" s="445"/>
      <c r="J79" s="445"/>
      <c r="K79" s="445"/>
      <c r="L79" s="445"/>
      <c r="M79" s="445"/>
      <c r="N79" s="445"/>
      <c r="O79" s="445"/>
      <c r="P79" s="445"/>
      <c r="Q79" s="445"/>
      <c r="R79" s="445"/>
      <c r="S79" s="445"/>
      <c r="T79" s="445"/>
      <c r="U79" s="445"/>
      <c r="V79" s="445"/>
      <c r="W79" s="445"/>
      <c r="X79" s="445"/>
      <c r="Y79" s="445"/>
      <c r="Z79" s="343"/>
      <c r="AA79" s="343"/>
      <c r="AB79" s="343"/>
      <c r="AC79" s="343"/>
      <c r="AD79" s="343"/>
      <c r="AE79" s="343"/>
    </row>
    <row r="80" spans="1:31" ht="18.95" customHeight="1" x14ac:dyDescent="0.2">
      <c r="A80" s="445"/>
      <c r="B80" s="445"/>
      <c r="C80" s="445"/>
      <c r="D80" s="445"/>
      <c r="E80" s="445"/>
      <c r="F80" s="445"/>
      <c r="G80" s="445"/>
      <c r="H80" s="445"/>
      <c r="I80" s="445"/>
      <c r="J80" s="445"/>
      <c r="K80" s="445"/>
      <c r="L80" s="445"/>
      <c r="M80" s="445"/>
      <c r="N80" s="445"/>
      <c r="O80" s="445"/>
      <c r="P80" s="445"/>
      <c r="Q80" s="445"/>
      <c r="R80" s="445"/>
      <c r="S80" s="445"/>
      <c r="T80" s="445"/>
      <c r="U80" s="445"/>
      <c r="V80" s="445"/>
      <c r="W80" s="445"/>
      <c r="X80" s="445"/>
      <c r="Y80" s="445"/>
      <c r="Z80" s="343"/>
      <c r="AA80" s="343"/>
      <c r="AB80" s="343"/>
      <c r="AC80" s="343"/>
      <c r="AD80" s="343"/>
      <c r="AE80" s="343"/>
    </row>
    <row r="81" spans="1:31" ht="18.95" customHeight="1" x14ac:dyDescent="0.2">
      <c r="A81" s="445"/>
      <c r="B81" s="445"/>
      <c r="C81" s="445"/>
      <c r="D81" s="445"/>
      <c r="E81" s="445"/>
      <c r="F81" s="445"/>
      <c r="G81" s="445"/>
      <c r="H81" s="445"/>
      <c r="I81" s="445"/>
      <c r="J81" s="445"/>
      <c r="K81" s="445"/>
      <c r="L81" s="445"/>
      <c r="M81" s="445"/>
      <c r="N81" s="445"/>
      <c r="O81" s="445"/>
      <c r="P81" s="445"/>
      <c r="Q81" s="445"/>
      <c r="R81" s="445"/>
      <c r="S81" s="445"/>
      <c r="T81" s="445"/>
      <c r="U81" s="445"/>
      <c r="V81" s="445"/>
      <c r="W81" s="445"/>
      <c r="X81" s="445"/>
      <c r="Y81" s="445"/>
      <c r="Z81" s="343"/>
      <c r="AA81" s="343"/>
      <c r="AB81" s="343"/>
      <c r="AC81" s="343"/>
      <c r="AD81" s="343"/>
      <c r="AE81" s="343"/>
    </row>
    <row r="82" spans="1:31" ht="18.95" customHeight="1" x14ac:dyDescent="0.2">
      <c r="A82" s="445"/>
      <c r="B82" s="445"/>
      <c r="C82" s="445"/>
      <c r="D82" s="445"/>
      <c r="E82" s="445"/>
      <c r="F82" s="445"/>
      <c r="G82" s="445"/>
      <c r="H82" s="445"/>
      <c r="I82" s="445"/>
      <c r="J82" s="445"/>
      <c r="K82" s="445"/>
      <c r="L82" s="445"/>
      <c r="M82" s="445"/>
      <c r="N82" s="445"/>
      <c r="O82" s="445"/>
      <c r="P82" s="445"/>
      <c r="Q82" s="445"/>
      <c r="R82" s="445"/>
      <c r="S82" s="445"/>
      <c r="T82" s="445"/>
      <c r="U82" s="445"/>
      <c r="V82" s="445"/>
      <c r="W82" s="445"/>
      <c r="X82" s="445"/>
      <c r="Y82" s="445"/>
      <c r="Z82" s="343"/>
      <c r="AA82" s="343"/>
      <c r="AB82" s="343"/>
      <c r="AC82" s="343"/>
      <c r="AD82" s="343"/>
      <c r="AE82" s="343"/>
    </row>
    <row r="83" spans="1:31" ht="18.95" customHeight="1" x14ac:dyDescent="0.2">
      <c r="A83" s="445"/>
      <c r="B83" s="445"/>
      <c r="C83" s="445"/>
      <c r="D83" s="445"/>
      <c r="E83" s="445"/>
      <c r="F83" s="445"/>
      <c r="G83" s="445"/>
      <c r="H83" s="445"/>
      <c r="I83" s="445"/>
      <c r="J83" s="445"/>
      <c r="K83" s="445"/>
      <c r="L83" s="445"/>
      <c r="M83" s="445"/>
      <c r="N83" s="445"/>
      <c r="O83" s="445"/>
      <c r="P83" s="445"/>
      <c r="Q83" s="445"/>
      <c r="R83" s="445"/>
      <c r="S83" s="445"/>
      <c r="T83" s="445"/>
      <c r="U83" s="445"/>
      <c r="V83" s="445"/>
      <c r="W83" s="445"/>
      <c r="X83" s="445"/>
      <c r="Y83" s="445"/>
      <c r="Z83" s="343"/>
      <c r="AA83" s="343"/>
      <c r="AB83" s="343"/>
      <c r="AC83" s="343"/>
      <c r="AD83" s="343"/>
      <c r="AE83" s="343"/>
    </row>
    <row r="84" spans="1:31" ht="18.95" customHeight="1" x14ac:dyDescent="0.2">
      <c r="A84" s="445"/>
      <c r="B84" s="445"/>
      <c r="C84" s="445"/>
      <c r="D84" s="445"/>
      <c r="E84" s="445"/>
      <c r="F84" s="445"/>
      <c r="G84" s="445"/>
      <c r="H84" s="445"/>
      <c r="I84" s="445"/>
      <c r="J84" s="445"/>
      <c r="K84" s="445"/>
      <c r="L84" s="445"/>
      <c r="M84" s="445"/>
      <c r="N84" s="445"/>
      <c r="O84" s="445"/>
      <c r="P84" s="445"/>
      <c r="Q84" s="445"/>
      <c r="R84" s="445"/>
      <c r="S84" s="445"/>
      <c r="T84" s="445"/>
      <c r="U84" s="445"/>
      <c r="V84" s="445"/>
      <c r="W84" s="445"/>
      <c r="X84" s="445"/>
      <c r="Y84" s="445"/>
      <c r="Z84" s="343"/>
      <c r="AA84" s="343"/>
      <c r="AB84" s="343"/>
      <c r="AC84" s="343"/>
      <c r="AD84" s="343"/>
      <c r="AE84" s="343"/>
    </row>
    <row r="85" spans="1:31" ht="18.95" customHeight="1" x14ac:dyDescent="0.2">
      <c r="A85" s="445"/>
      <c r="B85" s="445"/>
      <c r="C85" s="445"/>
      <c r="D85" s="445"/>
      <c r="E85" s="445"/>
      <c r="F85" s="445"/>
      <c r="G85" s="445"/>
      <c r="H85" s="445"/>
      <c r="I85" s="445"/>
      <c r="J85" s="445"/>
      <c r="K85" s="445"/>
      <c r="L85" s="445"/>
      <c r="M85" s="445"/>
      <c r="N85" s="445"/>
      <c r="O85" s="445"/>
      <c r="P85" s="445"/>
      <c r="Q85" s="445"/>
      <c r="R85" s="445"/>
      <c r="S85" s="445"/>
      <c r="T85" s="445"/>
      <c r="U85" s="445"/>
      <c r="V85" s="445"/>
      <c r="W85" s="445"/>
      <c r="X85" s="445"/>
      <c r="Y85" s="445"/>
      <c r="Z85" s="343"/>
      <c r="AA85" s="343"/>
      <c r="AB85" s="343"/>
      <c r="AC85" s="343"/>
      <c r="AD85" s="343"/>
      <c r="AE85" s="343"/>
    </row>
    <row r="86" spans="1:31" ht="18.95" customHeight="1" x14ac:dyDescent="0.2">
      <c r="A86" s="445"/>
      <c r="B86" s="445"/>
      <c r="C86" s="445"/>
      <c r="D86" s="445"/>
      <c r="E86" s="445"/>
      <c r="F86" s="445"/>
      <c r="G86" s="445"/>
      <c r="H86" s="445"/>
      <c r="I86" s="445"/>
      <c r="J86" s="445"/>
      <c r="K86" s="445"/>
      <c r="L86" s="445"/>
      <c r="M86" s="445"/>
      <c r="N86" s="445"/>
      <c r="O86" s="445"/>
      <c r="P86" s="445"/>
      <c r="Q86" s="445"/>
      <c r="R86" s="445"/>
      <c r="S86" s="445"/>
      <c r="T86" s="445"/>
      <c r="U86" s="445"/>
      <c r="V86" s="445"/>
      <c r="W86" s="445"/>
      <c r="X86" s="445"/>
      <c r="Y86" s="445"/>
      <c r="Z86" s="343"/>
      <c r="AA86" s="343"/>
      <c r="AB86" s="343"/>
      <c r="AC86" s="343"/>
      <c r="AD86" s="343"/>
      <c r="AE86" s="343"/>
    </row>
    <row r="87" spans="1:31" ht="18.95" customHeight="1" x14ac:dyDescent="0.2">
      <c r="A87" s="445"/>
      <c r="B87" s="445"/>
      <c r="C87" s="445"/>
      <c r="D87" s="445"/>
      <c r="E87" s="445"/>
      <c r="F87" s="445"/>
      <c r="G87" s="445"/>
      <c r="H87" s="445"/>
      <c r="I87" s="445"/>
      <c r="J87" s="445"/>
      <c r="K87" s="445"/>
      <c r="L87" s="445"/>
      <c r="M87" s="445"/>
      <c r="N87" s="445"/>
      <c r="O87" s="445"/>
      <c r="P87" s="445"/>
      <c r="Q87" s="445"/>
      <c r="R87" s="445"/>
      <c r="S87" s="445"/>
      <c r="T87" s="445"/>
      <c r="U87" s="445"/>
      <c r="V87" s="445"/>
      <c r="W87" s="445"/>
      <c r="X87" s="445"/>
      <c r="Y87" s="445"/>
      <c r="Z87" s="343"/>
      <c r="AA87" s="343"/>
      <c r="AB87" s="343"/>
      <c r="AC87" s="343"/>
      <c r="AD87" s="343"/>
      <c r="AE87" s="343"/>
    </row>
    <row r="88" spans="1:31" ht="18.95" customHeight="1" x14ac:dyDescent="0.2">
      <c r="A88" s="445"/>
      <c r="B88" s="445"/>
      <c r="C88" s="445"/>
      <c r="D88" s="445"/>
      <c r="E88" s="445"/>
      <c r="F88" s="445"/>
      <c r="G88" s="445"/>
      <c r="H88" s="445"/>
      <c r="I88" s="445"/>
      <c r="J88" s="445"/>
      <c r="K88" s="445"/>
      <c r="L88" s="445"/>
      <c r="M88" s="445"/>
      <c r="N88" s="445"/>
      <c r="O88" s="445"/>
      <c r="P88" s="445"/>
      <c r="Q88" s="445"/>
      <c r="R88" s="445"/>
      <c r="S88" s="445"/>
      <c r="T88" s="445"/>
      <c r="U88" s="445"/>
      <c r="V88" s="445"/>
      <c r="W88" s="445"/>
      <c r="X88" s="445"/>
      <c r="Y88" s="445"/>
    </row>
    <row r="89" spans="1:31" ht="18.95" customHeight="1" x14ac:dyDescent="0.2">
      <c r="A89" s="445"/>
      <c r="B89" s="445"/>
      <c r="C89" s="445"/>
      <c r="D89" s="445"/>
      <c r="E89" s="445"/>
      <c r="F89" s="445"/>
      <c r="G89" s="445"/>
      <c r="H89" s="445"/>
      <c r="I89" s="445"/>
      <c r="J89" s="445"/>
      <c r="K89" s="445"/>
      <c r="L89" s="445"/>
      <c r="M89" s="445"/>
      <c r="N89" s="445"/>
      <c r="O89" s="445"/>
      <c r="P89" s="445"/>
      <c r="Q89" s="445"/>
      <c r="R89" s="445"/>
      <c r="S89" s="445"/>
      <c r="T89" s="445"/>
      <c r="U89" s="445"/>
      <c r="V89" s="445"/>
      <c r="W89" s="445"/>
      <c r="X89" s="445"/>
      <c r="Y89" s="445"/>
    </row>
    <row r="90" spans="1:31" ht="18.95" customHeight="1" x14ac:dyDescent="0.2">
      <c r="A90" s="445"/>
      <c r="B90" s="445"/>
      <c r="C90" s="445"/>
      <c r="D90" s="445"/>
      <c r="E90" s="445"/>
      <c r="F90" s="445"/>
      <c r="G90" s="445"/>
      <c r="H90" s="445"/>
      <c r="I90" s="445"/>
      <c r="J90" s="445"/>
      <c r="K90" s="445"/>
      <c r="L90" s="445"/>
      <c r="M90" s="445"/>
      <c r="N90" s="445"/>
      <c r="O90" s="445"/>
      <c r="P90" s="445"/>
      <c r="Q90" s="445"/>
      <c r="R90" s="445"/>
      <c r="S90" s="445"/>
      <c r="T90" s="445"/>
      <c r="U90" s="445"/>
      <c r="V90" s="445"/>
      <c r="W90" s="445"/>
      <c r="X90" s="445"/>
      <c r="Y90" s="445"/>
    </row>
    <row r="91" spans="1:31" ht="18.95" customHeight="1" x14ac:dyDescent="0.2">
      <c r="A91" s="445"/>
      <c r="B91" s="445"/>
      <c r="C91" s="445"/>
      <c r="D91" s="445"/>
      <c r="E91" s="445"/>
      <c r="F91" s="445"/>
      <c r="G91" s="445"/>
      <c r="H91" s="445"/>
      <c r="I91" s="445"/>
      <c r="J91" s="445"/>
      <c r="K91" s="445"/>
      <c r="L91" s="445"/>
      <c r="M91" s="445"/>
      <c r="N91" s="445"/>
      <c r="O91" s="445"/>
      <c r="P91" s="445"/>
      <c r="Q91" s="445"/>
      <c r="R91" s="445"/>
      <c r="S91" s="445"/>
      <c r="T91" s="445"/>
      <c r="U91" s="445"/>
      <c r="V91" s="445"/>
      <c r="W91" s="445"/>
      <c r="X91" s="445"/>
      <c r="Y91" s="445"/>
    </row>
    <row r="92" spans="1:31" ht="12.75" customHeight="1" x14ac:dyDescent="0.25">
      <c r="A92" s="96"/>
    </row>
    <row r="93" spans="1:31" ht="12.75" customHeight="1" x14ac:dyDescent="0.2">
      <c r="A93" s="434" t="s">
        <v>50</v>
      </c>
    </row>
    <row r="94" spans="1:31" ht="12.75" customHeight="1" x14ac:dyDescent="0.2">
      <c r="A94" s="435"/>
    </row>
    <row r="95" spans="1:31" ht="12.75" customHeight="1" x14ac:dyDescent="0.2">
      <c r="A95" s="435"/>
    </row>
    <row r="96" spans="1:31" ht="249.75" customHeight="1" x14ac:dyDescent="0.2">
      <c r="A96" s="97"/>
    </row>
    <row r="97" spans="1:1" x14ac:dyDescent="0.2">
      <c r="A97" s="98"/>
    </row>
    <row r="98" spans="1:1" x14ac:dyDescent="0.2">
      <c r="A98" s="98"/>
    </row>
    <row r="99" spans="1:1" x14ac:dyDescent="0.2">
      <c r="A99" s="98"/>
    </row>
    <row r="100" spans="1:1" x14ac:dyDescent="0.2">
      <c r="A100" s="98"/>
    </row>
    <row r="101" spans="1:1" x14ac:dyDescent="0.2">
      <c r="A101" s="98"/>
    </row>
    <row r="102" spans="1:1" x14ac:dyDescent="0.2">
      <c r="A102" s="98"/>
    </row>
    <row r="103" spans="1:1" x14ac:dyDescent="0.2">
      <c r="A103" s="98"/>
    </row>
    <row r="138" spans="6:15" x14ac:dyDescent="0.2">
      <c r="J138" s="3" t="s">
        <v>51</v>
      </c>
      <c r="K138" s="3" t="s">
        <v>52</v>
      </c>
    </row>
    <row r="139" spans="6:15" s="99" customFormat="1" x14ac:dyDescent="0.2">
      <c r="F139" s="99">
        <v>0</v>
      </c>
      <c r="G139" s="99">
        <v>0</v>
      </c>
      <c r="H139" s="99">
        <v>0</v>
      </c>
      <c r="I139" s="99">
        <v>0</v>
      </c>
      <c r="J139" s="99">
        <v>0</v>
      </c>
      <c r="K139" s="99">
        <v>0</v>
      </c>
      <c r="L139" s="99">
        <v>0</v>
      </c>
      <c r="M139" s="99">
        <v>0</v>
      </c>
      <c r="N139" s="99" t="str">
        <f>+CONCATENATE(G139,"VEHICULO",M139)</f>
        <v>0VEHICULO0</v>
      </c>
      <c r="O139" s="302"/>
    </row>
    <row r="140" spans="6:15" s="99" customFormat="1" x14ac:dyDescent="0.2">
      <c r="F140" s="284" t="s">
        <v>230</v>
      </c>
      <c r="G140" s="284" t="s">
        <v>53</v>
      </c>
      <c r="H140" s="284" t="s">
        <v>351</v>
      </c>
      <c r="I140" s="285">
        <v>1955007</v>
      </c>
      <c r="J140" s="285" t="s">
        <v>54</v>
      </c>
      <c r="K140" s="286">
        <v>4</v>
      </c>
      <c r="L140" s="284" t="s">
        <v>55</v>
      </c>
      <c r="M140" s="284" t="s">
        <v>56</v>
      </c>
      <c r="N140" s="284" t="str">
        <f>+CONCATENATE(G140,F140)</f>
        <v>1.40m³/50m³ -15H-4OP</v>
      </c>
      <c r="O140" s="302"/>
    </row>
    <row r="141" spans="6:15" s="99" customFormat="1" x14ac:dyDescent="0.2">
      <c r="F141" s="284" t="s">
        <v>231</v>
      </c>
      <c r="G141" s="99" t="s">
        <v>57</v>
      </c>
      <c r="H141" s="284" t="s">
        <v>352</v>
      </c>
      <c r="I141" s="100">
        <v>1795972</v>
      </c>
      <c r="J141" s="100" t="s">
        <v>54</v>
      </c>
      <c r="K141" s="101">
        <v>3</v>
      </c>
      <c r="L141" s="99" t="s">
        <v>58</v>
      </c>
      <c r="M141" s="99" t="s">
        <v>56</v>
      </c>
      <c r="N141" s="99" t="str">
        <f t="shared" ref="N141:N216" si="20">+CONCATENATE(G141,F141)</f>
        <v>2.40m³/50m³ -15H-3OP</v>
      </c>
      <c r="O141" s="302"/>
    </row>
    <row r="142" spans="6:15" s="99" customFormat="1" x14ac:dyDescent="0.2">
      <c r="F142" s="99" t="s">
        <v>232</v>
      </c>
      <c r="G142" s="99" t="s">
        <v>59</v>
      </c>
      <c r="H142" s="99" t="s">
        <v>353</v>
      </c>
      <c r="I142" s="100">
        <v>1435144</v>
      </c>
      <c r="J142" s="100" t="s">
        <v>54</v>
      </c>
      <c r="K142" s="101">
        <v>2</v>
      </c>
      <c r="L142" s="99" t="s">
        <v>60</v>
      </c>
      <c r="M142" s="99" t="s">
        <v>56</v>
      </c>
      <c r="N142" s="99" t="str">
        <f t="shared" si="20"/>
        <v>3.40m³/50m³-15H-2OP</v>
      </c>
      <c r="O142" s="302"/>
    </row>
    <row r="143" spans="6:15" s="99" customFormat="1" x14ac:dyDescent="0.2">
      <c r="F143" s="99" t="s">
        <v>233</v>
      </c>
      <c r="G143" s="99" t="s">
        <v>61</v>
      </c>
      <c r="H143" s="99" t="s">
        <v>354</v>
      </c>
      <c r="I143" s="100">
        <v>942678</v>
      </c>
      <c r="J143" s="100" t="s">
        <v>54</v>
      </c>
      <c r="K143" s="101">
        <v>1</v>
      </c>
      <c r="L143" s="99" t="s">
        <v>62</v>
      </c>
      <c r="M143" s="99" t="s">
        <v>56</v>
      </c>
      <c r="N143" s="99" t="str">
        <f t="shared" si="20"/>
        <v>4.40m³/50m³-15H-1OP</v>
      </c>
      <c r="O143" s="302"/>
    </row>
    <row r="144" spans="6:15" s="99" customFormat="1" x14ac:dyDescent="0.2">
      <c r="F144" s="99" t="s">
        <v>234</v>
      </c>
      <c r="G144" s="99" t="s">
        <v>63</v>
      </c>
      <c r="H144" s="99" t="s">
        <v>355</v>
      </c>
      <c r="I144" s="100">
        <v>745988</v>
      </c>
      <c r="J144" s="100" t="s">
        <v>54</v>
      </c>
      <c r="K144" s="101">
        <v>0</v>
      </c>
      <c r="L144" s="99" t="s">
        <v>64</v>
      </c>
      <c r="M144" s="99" t="s">
        <v>56</v>
      </c>
      <c r="N144" s="99" t="str">
        <f t="shared" si="20"/>
        <v>5.40m³/50m³-15H-0OP</v>
      </c>
      <c r="O144" s="302"/>
    </row>
    <row r="145" spans="6:15" s="99" customFormat="1" x14ac:dyDescent="0.2">
      <c r="F145" s="99" t="s">
        <v>235</v>
      </c>
      <c r="G145" s="99" t="s">
        <v>65</v>
      </c>
      <c r="H145" s="99" t="s">
        <v>356</v>
      </c>
      <c r="I145" s="100">
        <v>1665773</v>
      </c>
      <c r="J145" s="100" t="s">
        <v>66</v>
      </c>
      <c r="K145" s="101">
        <v>4</v>
      </c>
      <c r="L145" s="99" t="s">
        <v>67</v>
      </c>
      <c r="M145" s="99" t="s">
        <v>56</v>
      </c>
      <c r="N145" s="99" t="str">
        <f t="shared" si="20"/>
        <v>6.40m³/50m³-9H-4OP</v>
      </c>
      <c r="O145" s="302"/>
    </row>
    <row r="146" spans="6:15" s="99" customFormat="1" x14ac:dyDescent="0.2">
      <c r="F146" s="99" t="s">
        <v>236</v>
      </c>
      <c r="G146" s="99" t="s">
        <v>68</v>
      </c>
      <c r="H146" s="99" t="s">
        <v>357</v>
      </c>
      <c r="I146" s="100">
        <v>1499814</v>
      </c>
      <c r="J146" s="100" t="s">
        <v>66</v>
      </c>
      <c r="K146" s="101">
        <v>3</v>
      </c>
      <c r="L146" s="99" t="s">
        <v>69</v>
      </c>
      <c r="M146" s="99" t="s">
        <v>56</v>
      </c>
      <c r="N146" s="99" t="str">
        <f t="shared" si="20"/>
        <v>7.40m³/50m³-9H-3OP</v>
      </c>
      <c r="O146" s="302"/>
    </row>
    <row r="147" spans="6:15" s="99" customFormat="1" x14ac:dyDescent="0.2">
      <c r="F147" s="99" t="s">
        <v>237</v>
      </c>
      <c r="G147" s="99" t="s">
        <v>70</v>
      </c>
      <c r="H147" s="99" t="s">
        <v>358</v>
      </c>
      <c r="I147" s="100">
        <v>1222505</v>
      </c>
      <c r="J147" s="100" t="s">
        <v>66</v>
      </c>
      <c r="K147" s="101">
        <v>2</v>
      </c>
      <c r="L147" s="99" t="s">
        <v>71</v>
      </c>
      <c r="M147" s="99" t="s">
        <v>56</v>
      </c>
      <c r="N147" s="99" t="str">
        <f t="shared" si="20"/>
        <v>8.40m³/50m³-9H-2OP</v>
      </c>
      <c r="O147" s="302"/>
    </row>
    <row r="148" spans="6:15" s="99" customFormat="1" x14ac:dyDescent="0.2">
      <c r="F148" s="99" t="s">
        <v>238</v>
      </c>
      <c r="G148" s="99" t="s">
        <v>72</v>
      </c>
      <c r="H148" s="99" t="s">
        <v>359</v>
      </c>
      <c r="I148" s="100">
        <v>769092</v>
      </c>
      <c r="J148" s="100" t="s">
        <v>66</v>
      </c>
      <c r="K148" s="101">
        <v>1</v>
      </c>
      <c r="L148" s="99" t="s">
        <v>73</v>
      </c>
      <c r="M148" s="99" t="s">
        <v>56</v>
      </c>
      <c r="N148" s="99" t="str">
        <f t="shared" si="20"/>
        <v>9.40m³/50m³-9H-1OP</v>
      </c>
      <c r="O148" s="302"/>
    </row>
    <row r="149" spans="6:15" s="99" customFormat="1" x14ac:dyDescent="0.2">
      <c r="F149" s="99" t="s">
        <v>239</v>
      </c>
      <c r="G149" s="99" t="s">
        <v>74</v>
      </c>
      <c r="H149" s="99" t="s">
        <v>360</v>
      </c>
      <c r="I149" s="100">
        <v>604794</v>
      </c>
      <c r="J149" s="100" t="s">
        <v>66</v>
      </c>
      <c r="K149" s="101">
        <v>0</v>
      </c>
      <c r="L149" s="99" t="s">
        <v>75</v>
      </c>
      <c r="M149" s="99" t="s">
        <v>56</v>
      </c>
      <c r="N149" s="99" t="str">
        <f t="shared" si="20"/>
        <v>10.40m³/50m³-9H-0OP</v>
      </c>
      <c r="O149" s="302"/>
    </row>
    <row r="150" spans="6:15" s="99" customFormat="1" x14ac:dyDescent="0.2">
      <c r="F150" s="99" t="s">
        <v>240</v>
      </c>
      <c r="G150" s="99" t="s">
        <v>76</v>
      </c>
      <c r="H150" s="99" t="s">
        <v>361</v>
      </c>
      <c r="I150" s="100">
        <v>1382917</v>
      </c>
      <c r="J150" s="100" t="s">
        <v>77</v>
      </c>
      <c r="K150" s="101">
        <v>4</v>
      </c>
      <c r="L150" s="99" t="s">
        <v>78</v>
      </c>
      <c r="M150" s="99" t="s">
        <v>56</v>
      </c>
      <c r="N150" s="99" t="str">
        <f t="shared" si="20"/>
        <v>11.40m³/50m³-4H-4OP</v>
      </c>
      <c r="O150" s="302"/>
    </row>
    <row r="151" spans="6:15" s="99" customFormat="1" x14ac:dyDescent="0.2">
      <c r="F151" s="99" t="s">
        <v>241</v>
      </c>
      <c r="G151" s="99" t="s">
        <v>79</v>
      </c>
      <c r="H151" s="99" t="s">
        <v>362</v>
      </c>
      <c r="I151" s="100">
        <v>1230935</v>
      </c>
      <c r="J151" s="100" t="s">
        <v>77</v>
      </c>
      <c r="K151" s="101">
        <v>3</v>
      </c>
      <c r="L151" s="99" t="s">
        <v>80</v>
      </c>
      <c r="M151" s="99" t="s">
        <v>56</v>
      </c>
      <c r="N151" s="99" t="str">
        <f t="shared" si="20"/>
        <v>12.40m³/50m³-4H-3OP</v>
      </c>
      <c r="O151" s="302"/>
    </row>
    <row r="152" spans="6:15" s="99" customFormat="1" x14ac:dyDescent="0.2">
      <c r="F152" s="99" t="s">
        <v>242</v>
      </c>
      <c r="G152" s="99" t="s">
        <v>81</v>
      </c>
      <c r="H152" s="99" t="s">
        <v>363</v>
      </c>
      <c r="I152" s="100">
        <v>1081630</v>
      </c>
      <c r="J152" s="100" t="s">
        <v>77</v>
      </c>
      <c r="K152" s="101">
        <v>2</v>
      </c>
      <c r="L152" s="99" t="s">
        <v>82</v>
      </c>
      <c r="M152" s="99" t="s">
        <v>56</v>
      </c>
      <c r="N152" s="99" t="str">
        <f t="shared" si="20"/>
        <v>13.40m³/50m³-4H-2OP</v>
      </c>
      <c r="O152" s="302"/>
    </row>
    <row r="153" spans="6:15" s="99" customFormat="1" x14ac:dyDescent="0.2">
      <c r="F153" s="99" t="s">
        <v>243</v>
      </c>
      <c r="G153" s="99" t="s">
        <v>83</v>
      </c>
      <c r="H153" s="99" t="s">
        <v>364</v>
      </c>
      <c r="I153" s="100">
        <v>575460</v>
      </c>
      <c r="J153" s="100" t="s">
        <v>77</v>
      </c>
      <c r="K153" s="101">
        <v>1</v>
      </c>
      <c r="L153" s="99" t="s">
        <v>84</v>
      </c>
      <c r="M153" s="99" t="s">
        <v>56</v>
      </c>
      <c r="N153" s="99" t="str">
        <f t="shared" si="20"/>
        <v>14.40m³/50m³-4H-1OP</v>
      </c>
      <c r="O153" s="302"/>
    </row>
    <row r="154" spans="6:15" s="99" customFormat="1" x14ac:dyDescent="0.2">
      <c r="F154" s="99" t="s">
        <v>244</v>
      </c>
      <c r="G154" s="99" t="s">
        <v>85</v>
      </c>
      <c r="H154" s="99" t="s">
        <v>365</v>
      </c>
      <c r="I154" s="100">
        <v>477806</v>
      </c>
      <c r="J154" s="100" t="s">
        <v>77</v>
      </c>
      <c r="K154" s="101">
        <v>0</v>
      </c>
      <c r="L154" s="99" t="s">
        <v>86</v>
      </c>
      <c r="M154" s="99" t="s">
        <v>56</v>
      </c>
      <c r="N154" s="99" t="str">
        <f t="shared" si="20"/>
        <v>15.40m³50m³-4H-0OP</v>
      </c>
      <c r="O154" s="302"/>
    </row>
    <row r="155" spans="6:15" s="99" customFormat="1" x14ac:dyDescent="0.2">
      <c r="F155" s="99" t="s">
        <v>87</v>
      </c>
      <c r="G155" s="99" t="s">
        <v>88</v>
      </c>
      <c r="H155" s="99" t="s">
        <v>366</v>
      </c>
      <c r="I155" s="100">
        <v>1691890</v>
      </c>
      <c r="J155" s="100" t="s">
        <v>54</v>
      </c>
      <c r="K155" s="101">
        <v>4</v>
      </c>
      <c r="L155" s="99" t="s">
        <v>89</v>
      </c>
      <c r="M155" s="99" t="s">
        <v>56</v>
      </c>
      <c r="N155" s="99" t="str">
        <f t="shared" si="20"/>
        <v>16.25m³-15H-4OP</v>
      </c>
      <c r="O155" s="302"/>
    </row>
    <row r="156" spans="6:15" s="99" customFormat="1" x14ac:dyDescent="0.2">
      <c r="F156" s="99" t="s">
        <v>90</v>
      </c>
      <c r="G156" s="99" t="s">
        <v>91</v>
      </c>
      <c r="H156" s="99" t="s">
        <v>367</v>
      </c>
      <c r="I156" s="100">
        <v>1505234</v>
      </c>
      <c r="J156" s="100" t="s">
        <v>54</v>
      </c>
      <c r="K156" s="101">
        <v>3</v>
      </c>
      <c r="L156" s="99" t="s">
        <v>92</v>
      </c>
      <c r="M156" s="99" t="s">
        <v>56</v>
      </c>
      <c r="N156" s="99" t="str">
        <f t="shared" si="20"/>
        <v>17.25m³-15H-3OP</v>
      </c>
      <c r="O156" s="302"/>
    </row>
    <row r="157" spans="6:15" s="99" customFormat="1" x14ac:dyDescent="0.2">
      <c r="F157" s="99" t="s">
        <v>93</v>
      </c>
      <c r="G157" s="99" t="s">
        <v>94</v>
      </c>
      <c r="H157" s="99" t="s">
        <v>368</v>
      </c>
      <c r="I157" s="100">
        <v>1308251</v>
      </c>
      <c r="J157" s="100" t="s">
        <v>54</v>
      </c>
      <c r="K157" s="101">
        <v>2</v>
      </c>
      <c r="L157" s="99" t="s">
        <v>95</v>
      </c>
      <c r="M157" s="99" t="s">
        <v>56</v>
      </c>
      <c r="N157" s="99" t="str">
        <f t="shared" si="20"/>
        <v>18.25m³-15H-2OP</v>
      </c>
      <c r="O157" s="302"/>
    </row>
    <row r="158" spans="6:15" s="99" customFormat="1" x14ac:dyDescent="0.2">
      <c r="F158" s="99" t="s">
        <v>96</v>
      </c>
      <c r="G158" s="99" t="s">
        <v>97</v>
      </c>
      <c r="H158" s="99" t="s">
        <v>369</v>
      </c>
      <c r="I158" s="100">
        <v>1097977</v>
      </c>
      <c r="J158" s="100" t="s">
        <v>54</v>
      </c>
      <c r="K158" s="101">
        <v>1</v>
      </c>
      <c r="L158" s="99" t="s">
        <v>98</v>
      </c>
      <c r="M158" s="99" t="s">
        <v>56</v>
      </c>
      <c r="N158" s="99" t="str">
        <f t="shared" si="20"/>
        <v>19.25m³-15H-1OP</v>
      </c>
      <c r="O158" s="302"/>
    </row>
    <row r="159" spans="6:15" s="99" customFormat="1" x14ac:dyDescent="0.2">
      <c r="F159" s="99" t="s">
        <v>99</v>
      </c>
      <c r="G159" s="99" t="s">
        <v>100</v>
      </c>
      <c r="H159" s="99" t="s">
        <v>370</v>
      </c>
      <c r="I159" s="100">
        <v>861675</v>
      </c>
      <c r="J159" s="100" t="s">
        <v>54</v>
      </c>
      <c r="K159" s="101">
        <v>0</v>
      </c>
      <c r="L159" s="99" t="s">
        <v>101</v>
      </c>
      <c r="M159" s="99" t="s">
        <v>56</v>
      </c>
      <c r="N159" s="99" t="str">
        <f t="shared" si="20"/>
        <v>20.25m³-15H-0OP</v>
      </c>
      <c r="O159" s="302"/>
    </row>
    <row r="160" spans="6:15" s="99" customFormat="1" x14ac:dyDescent="0.2">
      <c r="F160" s="99" t="s">
        <v>102</v>
      </c>
      <c r="G160" s="99" t="s">
        <v>103</v>
      </c>
      <c r="H160" s="99" t="s">
        <v>371</v>
      </c>
      <c r="I160" s="100">
        <v>1457200</v>
      </c>
      <c r="J160" s="100" t="s">
        <v>66</v>
      </c>
      <c r="K160" s="101">
        <v>4</v>
      </c>
      <c r="L160" s="99" t="s">
        <v>104</v>
      </c>
      <c r="M160" s="99" t="s">
        <v>56</v>
      </c>
      <c r="N160" s="99" t="str">
        <f t="shared" si="20"/>
        <v>21.25m³-9H-4OP</v>
      </c>
      <c r="O160" s="302"/>
    </row>
    <row r="161" spans="6:15" s="99" customFormat="1" x14ac:dyDescent="0.2">
      <c r="F161" s="99" t="s">
        <v>105</v>
      </c>
      <c r="G161" s="99" t="s">
        <v>106</v>
      </c>
      <c r="H161" s="99" t="s">
        <v>372</v>
      </c>
      <c r="I161" s="100">
        <v>1312665</v>
      </c>
      <c r="J161" s="100" t="s">
        <v>66</v>
      </c>
      <c r="K161" s="101">
        <v>3</v>
      </c>
      <c r="L161" s="99" t="s">
        <v>107</v>
      </c>
      <c r="M161" s="99" t="s">
        <v>56</v>
      </c>
      <c r="N161" s="99" t="str">
        <f t="shared" si="20"/>
        <v>22.25m³-9H-3OP</v>
      </c>
      <c r="O161" s="302"/>
    </row>
    <row r="162" spans="6:15" s="99" customFormat="1" x14ac:dyDescent="0.2">
      <c r="F162" s="99" t="s">
        <v>108</v>
      </c>
      <c r="G162" s="99" t="s">
        <v>109</v>
      </c>
      <c r="H162" s="99" t="s">
        <v>373</v>
      </c>
      <c r="I162" s="100">
        <v>1175229</v>
      </c>
      <c r="J162" s="100" t="s">
        <v>66</v>
      </c>
      <c r="K162" s="101">
        <v>2</v>
      </c>
      <c r="L162" s="99" t="s">
        <v>110</v>
      </c>
      <c r="M162" s="99" t="s">
        <v>56</v>
      </c>
      <c r="N162" s="99" t="str">
        <f t="shared" si="20"/>
        <v>23.25m³-9H-2OP</v>
      </c>
      <c r="O162" s="302"/>
    </row>
    <row r="163" spans="6:15" s="99" customFormat="1" x14ac:dyDescent="0.2">
      <c r="F163" s="99" t="s">
        <v>111</v>
      </c>
      <c r="G163" s="99" t="s">
        <v>112</v>
      </c>
      <c r="H163" s="99" t="s">
        <v>374</v>
      </c>
      <c r="I163" s="100">
        <v>873501</v>
      </c>
      <c r="J163" s="100" t="s">
        <v>66</v>
      </c>
      <c r="K163" s="101">
        <v>1</v>
      </c>
      <c r="L163" s="99" t="s">
        <v>113</v>
      </c>
      <c r="M163" s="99" t="s">
        <v>56</v>
      </c>
      <c r="N163" s="99" t="str">
        <f t="shared" si="20"/>
        <v>24.25m³-9H-1OP</v>
      </c>
      <c r="O163" s="302"/>
    </row>
    <row r="164" spans="6:15" s="99" customFormat="1" x14ac:dyDescent="0.2">
      <c r="F164" s="99" t="s">
        <v>114</v>
      </c>
      <c r="G164" s="99" t="s">
        <v>115</v>
      </c>
      <c r="H164" s="99" t="s">
        <v>375</v>
      </c>
      <c r="I164" s="100">
        <v>530672</v>
      </c>
      <c r="J164" s="100" t="s">
        <v>66</v>
      </c>
      <c r="K164" s="101">
        <v>0</v>
      </c>
      <c r="L164" s="99" t="s">
        <v>116</v>
      </c>
      <c r="M164" s="99" t="s">
        <v>56</v>
      </c>
      <c r="N164" s="99" t="str">
        <f t="shared" si="20"/>
        <v>25.25m³-9H-0OP</v>
      </c>
      <c r="O164" s="302"/>
    </row>
    <row r="165" spans="6:15" s="99" customFormat="1" x14ac:dyDescent="0.2">
      <c r="F165" s="99" t="s">
        <v>117</v>
      </c>
      <c r="G165" s="99" t="s">
        <v>118</v>
      </c>
      <c r="H165" s="99" t="s">
        <v>376</v>
      </c>
      <c r="I165" s="100">
        <v>1031685</v>
      </c>
      <c r="J165" s="100" t="s">
        <v>77</v>
      </c>
      <c r="K165" s="101">
        <v>4</v>
      </c>
      <c r="L165" s="99" t="s">
        <v>119</v>
      </c>
      <c r="M165" s="99" t="s">
        <v>56</v>
      </c>
      <c r="N165" s="99" t="str">
        <f t="shared" si="20"/>
        <v>26.25m³-4H-4OP</v>
      </c>
      <c r="O165" s="302"/>
    </row>
    <row r="166" spans="6:15" s="99" customFormat="1" x14ac:dyDescent="0.2">
      <c r="F166" s="99" t="s">
        <v>120</v>
      </c>
      <c r="G166" s="99" t="s">
        <v>121</v>
      </c>
      <c r="H166" s="99" t="s">
        <v>377</v>
      </c>
      <c r="I166" s="100">
        <v>1092868</v>
      </c>
      <c r="J166" s="100" t="s">
        <v>77</v>
      </c>
      <c r="K166" s="101">
        <v>3</v>
      </c>
      <c r="L166" s="99" t="s">
        <v>122</v>
      </c>
      <c r="M166" s="99" t="s">
        <v>56</v>
      </c>
      <c r="N166" s="99" t="str">
        <f t="shared" si="20"/>
        <v>27.25m³-4H-3OP</v>
      </c>
      <c r="O166" s="302"/>
    </row>
    <row r="167" spans="6:15" s="99" customFormat="1" x14ac:dyDescent="0.2">
      <c r="F167" s="99" t="s">
        <v>123</v>
      </c>
      <c r="G167" s="99" t="s">
        <v>124</v>
      </c>
      <c r="H167" s="99" t="s">
        <v>378</v>
      </c>
      <c r="I167" s="100">
        <v>961567</v>
      </c>
      <c r="J167" s="100" t="s">
        <v>77</v>
      </c>
      <c r="K167" s="101">
        <v>2</v>
      </c>
      <c r="L167" s="99" t="s">
        <v>125</v>
      </c>
      <c r="M167" s="99" t="s">
        <v>56</v>
      </c>
      <c r="N167" s="99" t="str">
        <f t="shared" si="20"/>
        <v>28.25m³-4H-2OP</v>
      </c>
      <c r="O167" s="302"/>
    </row>
    <row r="168" spans="6:15" s="99" customFormat="1" x14ac:dyDescent="0.2">
      <c r="F168" s="99" t="s">
        <v>126</v>
      </c>
      <c r="G168" s="99" t="s">
        <v>127</v>
      </c>
      <c r="H168" s="99" t="s">
        <v>379</v>
      </c>
      <c r="I168" s="100">
        <v>463364</v>
      </c>
      <c r="J168" s="100" t="s">
        <v>77</v>
      </c>
      <c r="K168" s="101">
        <v>1</v>
      </c>
      <c r="L168" s="99" t="s">
        <v>128</v>
      </c>
      <c r="M168" s="99" t="s">
        <v>56</v>
      </c>
      <c r="N168" s="99" t="str">
        <f t="shared" si="20"/>
        <v>29.25m³-4H-1OP</v>
      </c>
      <c r="O168" s="302"/>
    </row>
    <row r="169" spans="6:15" s="99" customFormat="1" x14ac:dyDescent="0.2">
      <c r="F169" s="99" t="s">
        <v>129</v>
      </c>
      <c r="G169" s="99" t="s">
        <v>130</v>
      </c>
      <c r="H169" s="99" t="s">
        <v>380</v>
      </c>
      <c r="I169" s="100">
        <v>429635</v>
      </c>
      <c r="J169" s="100" t="s">
        <v>77</v>
      </c>
      <c r="K169" s="101">
        <v>0</v>
      </c>
      <c r="L169" s="99" t="s">
        <v>131</v>
      </c>
      <c r="M169" s="99" t="s">
        <v>56</v>
      </c>
      <c r="N169" s="99" t="str">
        <f t="shared" si="20"/>
        <v>30.25m³-4H-0OP</v>
      </c>
      <c r="O169" s="302"/>
    </row>
    <row r="170" spans="6:15" s="99" customFormat="1" x14ac:dyDescent="0.2">
      <c r="F170" s="99" t="s">
        <v>132</v>
      </c>
      <c r="G170" s="99" t="s">
        <v>133</v>
      </c>
      <c r="H170" s="99" t="s">
        <v>394</v>
      </c>
      <c r="I170" s="100">
        <v>1019917</v>
      </c>
      <c r="J170" s="100" t="s">
        <v>54</v>
      </c>
      <c r="K170" s="101">
        <v>0</v>
      </c>
      <c r="L170" s="99" t="s">
        <v>134</v>
      </c>
      <c r="M170" s="99" t="s">
        <v>56</v>
      </c>
      <c r="N170" s="99" t="str">
        <f t="shared" si="20"/>
        <v>31.FURGON-15H</v>
      </c>
      <c r="O170" s="302"/>
    </row>
    <row r="171" spans="6:15" s="99" customFormat="1" x14ac:dyDescent="0.2">
      <c r="F171" s="99" t="s">
        <v>132</v>
      </c>
      <c r="G171" s="99" t="s">
        <v>136</v>
      </c>
      <c r="H171" s="99" t="s">
        <v>395</v>
      </c>
      <c r="I171" s="100">
        <v>832623</v>
      </c>
      <c r="J171" s="100" t="s">
        <v>54</v>
      </c>
      <c r="K171" s="101">
        <v>0</v>
      </c>
      <c r="L171" s="99" t="s">
        <v>134</v>
      </c>
      <c r="M171" s="99" t="s">
        <v>56</v>
      </c>
      <c r="N171" s="99" t="str">
        <f t="shared" si="20"/>
        <v>32.FURGON-15H</v>
      </c>
      <c r="O171" s="302"/>
    </row>
    <row r="172" spans="6:15" s="99" customFormat="1" x14ac:dyDescent="0.2">
      <c r="F172" s="99" t="s">
        <v>132</v>
      </c>
      <c r="G172" s="99" t="s">
        <v>139</v>
      </c>
      <c r="H172" s="99" t="s">
        <v>396</v>
      </c>
      <c r="I172" s="100">
        <v>557356</v>
      </c>
      <c r="J172" s="100" t="s">
        <v>54</v>
      </c>
      <c r="K172" s="101">
        <v>0</v>
      </c>
      <c r="L172" s="99" t="s">
        <v>134</v>
      </c>
      <c r="M172" s="99" t="s">
        <v>56</v>
      </c>
      <c r="N172" s="99" t="str">
        <f t="shared" si="20"/>
        <v>33.FURGON-15H</v>
      </c>
      <c r="O172" s="302"/>
    </row>
    <row r="173" spans="6:15" s="99" customFormat="1" x14ac:dyDescent="0.2">
      <c r="F173" s="99" t="s">
        <v>135</v>
      </c>
      <c r="G173" s="99" t="s">
        <v>142</v>
      </c>
      <c r="H173" s="99" t="s">
        <v>397</v>
      </c>
      <c r="I173" s="100">
        <v>827118</v>
      </c>
      <c r="J173" s="100" t="s">
        <v>66</v>
      </c>
      <c r="K173" s="101">
        <v>0</v>
      </c>
      <c r="L173" s="99" t="s">
        <v>137</v>
      </c>
      <c r="M173" s="99" t="s">
        <v>56</v>
      </c>
      <c r="N173" s="99" t="str">
        <f t="shared" si="20"/>
        <v>34.FURGON-9H</v>
      </c>
      <c r="O173" s="302"/>
    </row>
    <row r="174" spans="6:15" s="99" customFormat="1" x14ac:dyDescent="0.2">
      <c r="F174" s="99" t="s">
        <v>135</v>
      </c>
      <c r="G174" s="99" t="s">
        <v>145</v>
      </c>
      <c r="H174" s="99" t="s">
        <v>398</v>
      </c>
      <c r="I174" s="100">
        <v>728949</v>
      </c>
      <c r="J174" s="100" t="s">
        <v>66</v>
      </c>
      <c r="K174" s="101">
        <v>0</v>
      </c>
      <c r="L174" s="99" t="s">
        <v>137</v>
      </c>
      <c r="M174" s="99" t="s">
        <v>56</v>
      </c>
      <c r="N174" s="99" t="str">
        <f t="shared" si="20"/>
        <v>35.FURGON-9H</v>
      </c>
      <c r="O174" s="302"/>
    </row>
    <row r="175" spans="6:15" s="99" customFormat="1" x14ac:dyDescent="0.2">
      <c r="F175" s="99" t="s">
        <v>135</v>
      </c>
      <c r="G175" s="99" t="s">
        <v>148</v>
      </c>
      <c r="H175" s="99" t="s">
        <v>399</v>
      </c>
      <c r="I175" s="100">
        <v>481858</v>
      </c>
      <c r="J175" s="100" t="s">
        <v>66</v>
      </c>
      <c r="K175" s="101">
        <v>0</v>
      </c>
      <c r="L175" s="99" t="s">
        <v>137</v>
      </c>
      <c r="M175" s="99" t="s">
        <v>56</v>
      </c>
      <c r="N175" s="99" t="str">
        <f t="shared" si="20"/>
        <v>36.FURGON-9H</v>
      </c>
      <c r="O175" s="302"/>
    </row>
    <row r="176" spans="6:15" s="99" customFormat="1" x14ac:dyDescent="0.2">
      <c r="F176" s="99" t="s">
        <v>138</v>
      </c>
      <c r="G176" s="99" t="s">
        <v>151</v>
      </c>
      <c r="H176" s="99" t="s">
        <v>400</v>
      </c>
      <c r="I176" s="100">
        <v>554324</v>
      </c>
      <c r="J176" s="100" t="s">
        <v>77</v>
      </c>
      <c r="K176" s="101">
        <v>0</v>
      </c>
      <c r="L176" s="99" t="s">
        <v>140</v>
      </c>
      <c r="M176" s="99" t="s">
        <v>56</v>
      </c>
      <c r="N176" s="99" t="str">
        <f t="shared" si="20"/>
        <v>37.FURGON-4H</v>
      </c>
      <c r="O176" s="302"/>
    </row>
    <row r="177" spans="6:15" s="99" customFormat="1" x14ac:dyDescent="0.2">
      <c r="F177" s="99" t="s">
        <v>138</v>
      </c>
      <c r="G177" s="99" t="s">
        <v>154</v>
      </c>
      <c r="H177" s="99" t="s">
        <v>401</v>
      </c>
      <c r="I177" s="100">
        <v>576161</v>
      </c>
      <c r="J177" s="100" t="s">
        <v>77</v>
      </c>
      <c r="K177" s="101">
        <v>0</v>
      </c>
      <c r="L177" s="99" t="s">
        <v>140</v>
      </c>
      <c r="M177" s="99" t="s">
        <v>56</v>
      </c>
      <c r="N177" s="99" t="str">
        <f t="shared" si="20"/>
        <v>38.FURGON-4H</v>
      </c>
      <c r="O177" s="302"/>
    </row>
    <row r="178" spans="6:15" s="99" customFormat="1" x14ac:dyDescent="0.2">
      <c r="F178" s="99" t="s">
        <v>138</v>
      </c>
      <c r="G178" s="99" t="s">
        <v>158</v>
      </c>
      <c r="H178" s="99" t="s">
        <v>402</v>
      </c>
      <c r="I178" s="100">
        <v>345698</v>
      </c>
      <c r="J178" s="100" t="s">
        <v>77</v>
      </c>
      <c r="K178" s="101">
        <v>0</v>
      </c>
      <c r="L178" s="99" t="s">
        <v>140</v>
      </c>
      <c r="M178" s="99" t="s">
        <v>56</v>
      </c>
      <c r="N178" s="99" t="str">
        <f t="shared" si="20"/>
        <v>39.FURGON-4H</v>
      </c>
      <c r="O178" s="302"/>
    </row>
    <row r="179" spans="6:15" s="99" customFormat="1" x14ac:dyDescent="0.2">
      <c r="F179" s="99" t="s">
        <v>141</v>
      </c>
      <c r="G179" s="99" t="s">
        <v>161</v>
      </c>
      <c r="H179" s="99" t="s">
        <v>403</v>
      </c>
      <c r="I179" s="100">
        <v>1128712</v>
      </c>
      <c r="J179" s="100" t="s">
        <v>54</v>
      </c>
      <c r="K179" s="101">
        <v>0</v>
      </c>
      <c r="L179" s="99" t="s">
        <v>143</v>
      </c>
      <c r="M179" s="99" t="s">
        <v>56</v>
      </c>
      <c r="N179" s="99" t="str">
        <f t="shared" si="20"/>
        <v>40.4X4-15H</v>
      </c>
      <c r="O179" s="302"/>
    </row>
    <row r="180" spans="6:15" s="99" customFormat="1" x14ac:dyDescent="0.2">
      <c r="F180" s="99" t="s">
        <v>144</v>
      </c>
      <c r="G180" s="99" t="s">
        <v>163</v>
      </c>
      <c r="H180" s="99" t="s">
        <v>404</v>
      </c>
      <c r="I180" s="100">
        <v>787237</v>
      </c>
      <c r="J180" s="100" t="s">
        <v>66</v>
      </c>
      <c r="K180" s="101">
        <v>0</v>
      </c>
      <c r="L180" s="99" t="s">
        <v>146</v>
      </c>
      <c r="M180" s="99" t="s">
        <v>56</v>
      </c>
      <c r="N180" s="99" t="str">
        <f t="shared" si="20"/>
        <v>41.4X4-9H</v>
      </c>
      <c r="O180" s="302"/>
    </row>
    <row r="181" spans="6:15" s="99" customFormat="1" x14ac:dyDescent="0.2">
      <c r="F181" s="99" t="s">
        <v>147</v>
      </c>
      <c r="G181" s="99" t="s">
        <v>164</v>
      </c>
      <c r="H181" s="99" t="s">
        <v>405</v>
      </c>
      <c r="I181" s="100">
        <v>529232</v>
      </c>
      <c r="J181" s="100" t="s">
        <v>77</v>
      </c>
      <c r="K181" s="101">
        <v>0</v>
      </c>
      <c r="L181" s="99" t="s">
        <v>149</v>
      </c>
      <c r="M181" s="99" t="s">
        <v>56</v>
      </c>
      <c r="N181" s="99" t="str">
        <f t="shared" si="20"/>
        <v>42.4X4-4H</v>
      </c>
      <c r="O181" s="302"/>
    </row>
    <row r="182" spans="6:15" s="99" customFormat="1" x14ac:dyDescent="0.2">
      <c r="F182" s="99" t="s">
        <v>150</v>
      </c>
      <c r="G182" s="99" t="s">
        <v>165</v>
      </c>
      <c r="H182" s="99" t="s">
        <v>406</v>
      </c>
      <c r="I182" s="100">
        <v>939250</v>
      </c>
      <c r="J182" s="100" t="s">
        <v>54</v>
      </c>
      <c r="K182" s="101">
        <v>0</v>
      </c>
      <c r="L182" s="99" t="s">
        <v>152</v>
      </c>
      <c r="M182" s="99" t="s">
        <v>56</v>
      </c>
      <c r="N182" s="99" t="str">
        <f t="shared" si="20"/>
        <v>43.MONTACARGA-15H</v>
      </c>
      <c r="O182" s="302"/>
    </row>
    <row r="183" spans="6:15" s="99" customFormat="1" x14ac:dyDescent="0.2">
      <c r="F183" s="99" t="s">
        <v>153</v>
      </c>
      <c r="G183" s="99" t="s">
        <v>166</v>
      </c>
      <c r="H183" s="99" t="s">
        <v>407</v>
      </c>
      <c r="I183" s="100">
        <v>254150</v>
      </c>
      <c r="J183" s="100" t="s">
        <v>155</v>
      </c>
      <c r="K183" s="101">
        <v>0</v>
      </c>
      <c r="L183" s="99" t="s">
        <v>156</v>
      </c>
      <c r="M183" s="99" t="s">
        <v>56</v>
      </c>
      <c r="N183" s="99" t="str">
        <f t="shared" si="20"/>
        <v>44.MONTACARGA-1H</v>
      </c>
      <c r="O183" s="302"/>
    </row>
    <row r="184" spans="6:15" s="99" customFormat="1" x14ac:dyDescent="0.2">
      <c r="F184" s="99" t="s">
        <v>157</v>
      </c>
      <c r="G184" s="99" t="s">
        <v>167</v>
      </c>
      <c r="H184" s="99" t="s">
        <v>408</v>
      </c>
      <c r="I184" s="100">
        <v>861900</v>
      </c>
      <c r="J184" s="100" t="s">
        <v>54</v>
      </c>
      <c r="K184" s="101">
        <v>0</v>
      </c>
      <c r="L184" s="99" t="s">
        <v>159</v>
      </c>
      <c r="M184" s="99" t="s">
        <v>56</v>
      </c>
      <c r="N184" s="99" t="str">
        <f t="shared" si="20"/>
        <v>45.GRUA-15H-</v>
      </c>
      <c r="O184" s="302"/>
    </row>
    <row r="185" spans="6:15" s="99" customFormat="1" x14ac:dyDescent="0.2">
      <c r="F185" s="99" t="s">
        <v>160</v>
      </c>
      <c r="G185" s="99" t="s">
        <v>168</v>
      </c>
      <c r="H185" s="99" t="s">
        <v>409</v>
      </c>
      <c r="I185" s="100">
        <v>243100</v>
      </c>
      <c r="J185" s="100" t="s">
        <v>155</v>
      </c>
      <c r="K185" s="101">
        <v>0</v>
      </c>
      <c r="L185" s="99" t="s">
        <v>162</v>
      </c>
      <c r="M185" s="99" t="s">
        <v>56</v>
      </c>
      <c r="N185" s="99" t="str">
        <f t="shared" si="20"/>
        <v>46.GRUA-1H</v>
      </c>
      <c r="O185" s="302"/>
    </row>
    <row r="186" spans="6:15" x14ac:dyDescent="0.2">
      <c r="F186" s="99" t="s">
        <v>245</v>
      </c>
      <c r="G186" s="99" t="s">
        <v>258</v>
      </c>
      <c r="H186" s="99" t="s">
        <v>410</v>
      </c>
      <c r="I186" s="100">
        <v>283331</v>
      </c>
      <c r="J186" s="100" t="s">
        <v>155</v>
      </c>
      <c r="K186" s="101">
        <v>0</v>
      </c>
      <c r="L186" s="99" t="s">
        <v>246</v>
      </c>
      <c r="M186" s="99" t="s">
        <v>56</v>
      </c>
      <c r="N186" s="99" t="str">
        <f t="shared" si="20"/>
        <v>47.OPERARIO-15-H</v>
      </c>
    </row>
    <row r="187" spans="6:15" x14ac:dyDescent="0.2">
      <c r="F187" s="99" t="s">
        <v>247</v>
      </c>
      <c r="G187" s="99" t="s">
        <v>259</v>
      </c>
      <c r="H187" s="99" t="s">
        <v>411</v>
      </c>
      <c r="I187" s="100">
        <v>221732</v>
      </c>
      <c r="J187" s="100" t="s">
        <v>66</v>
      </c>
      <c r="K187" s="101">
        <v>0</v>
      </c>
      <c r="L187" s="99" t="s">
        <v>248</v>
      </c>
      <c r="M187" s="99" t="s">
        <v>56</v>
      </c>
      <c r="N187" s="99" t="str">
        <f t="shared" si="20"/>
        <v>48.OPERARIO-9-H</v>
      </c>
    </row>
    <row r="188" spans="6:15" x14ac:dyDescent="0.2">
      <c r="F188" s="99" t="s">
        <v>249</v>
      </c>
      <c r="G188" s="99" t="s">
        <v>260</v>
      </c>
      <c r="H188" s="99" t="s">
        <v>412</v>
      </c>
      <c r="I188" s="100">
        <v>160134</v>
      </c>
      <c r="J188" s="99" t="s">
        <v>77</v>
      </c>
      <c r="K188" s="99"/>
      <c r="L188" s="99" t="s">
        <v>250</v>
      </c>
      <c r="M188" s="99" t="s">
        <v>56</v>
      </c>
      <c r="N188" s="99" t="str">
        <f t="shared" si="20"/>
        <v>49.OPERARIO-4-H</v>
      </c>
    </row>
    <row r="189" spans="6:15" x14ac:dyDescent="0.2">
      <c r="F189" s="99" t="s">
        <v>251</v>
      </c>
      <c r="G189" s="99" t="s">
        <v>261</v>
      </c>
      <c r="H189" s="99" t="s">
        <v>413</v>
      </c>
      <c r="I189" s="100">
        <v>477011</v>
      </c>
      <c r="J189" s="99" t="s">
        <v>54</v>
      </c>
      <c r="K189" s="99"/>
      <c r="L189" s="99" t="s">
        <v>253</v>
      </c>
      <c r="M189" s="99" t="s">
        <v>56</v>
      </c>
      <c r="N189" s="99" t="str">
        <f t="shared" si="20"/>
        <v>50.COORDINADOR X DIA</v>
      </c>
    </row>
    <row r="190" spans="6:15" x14ac:dyDescent="0.2">
      <c r="F190" s="99" t="s">
        <v>252</v>
      </c>
      <c r="G190" s="99" t="s">
        <v>270</v>
      </c>
      <c r="H190" s="99" t="s">
        <v>414</v>
      </c>
      <c r="I190" s="100">
        <v>1370200</v>
      </c>
      <c r="J190" s="99" t="s">
        <v>54</v>
      </c>
      <c r="K190" s="99">
        <v>4</v>
      </c>
      <c r="L190" s="99" t="s">
        <v>254</v>
      </c>
      <c r="M190" s="99" t="s">
        <v>56</v>
      </c>
      <c r="N190" s="99" t="str">
        <f t="shared" si="20"/>
        <v>51.BOGOTA SUMAPAZ 40/50m³ 15H-4OP</v>
      </c>
    </row>
    <row r="191" spans="6:15" x14ac:dyDescent="0.2">
      <c r="F191" s="99" t="s">
        <v>256</v>
      </c>
      <c r="G191" s="99" t="s">
        <v>273</v>
      </c>
      <c r="H191" s="99" t="s">
        <v>415</v>
      </c>
      <c r="I191" s="100">
        <v>1259700</v>
      </c>
      <c r="J191" s="99" t="s">
        <v>54</v>
      </c>
      <c r="K191" s="99">
        <v>4</v>
      </c>
      <c r="L191" s="99" t="s">
        <v>255</v>
      </c>
      <c r="M191" s="99" t="s">
        <v>56</v>
      </c>
      <c r="N191" s="99" t="str">
        <f>+CONCATENATE(G191,F191)</f>
        <v>52.BOGOTA FUNZA 40/50m³ 15H-4OP</v>
      </c>
    </row>
    <row r="192" spans="6:15" x14ac:dyDescent="0.2">
      <c r="F192" s="99" t="s">
        <v>257</v>
      </c>
      <c r="G192" s="99" t="s">
        <v>276</v>
      </c>
      <c r="H192" s="99" t="s">
        <v>416</v>
      </c>
      <c r="I192" s="100">
        <v>1266330</v>
      </c>
      <c r="J192" s="100" t="s">
        <v>54</v>
      </c>
      <c r="K192" s="99">
        <v>4</v>
      </c>
      <c r="L192" s="99" t="s">
        <v>262</v>
      </c>
      <c r="M192" s="99" t="s">
        <v>56</v>
      </c>
      <c r="N192" s="99" t="str">
        <f t="shared" si="20"/>
        <v>53.BOGOTA COTA 40/50m³ 15H-4OP</v>
      </c>
    </row>
    <row r="193" spans="6:14" x14ac:dyDescent="0.2">
      <c r="F193" s="99" t="s">
        <v>263</v>
      </c>
      <c r="G193" s="99" t="s">
        <v>279</v>
      </c>
      <c r="H193" s="99" t="s">
        <v>417</v>
      </c>
      <c r="I193" s="100">
        <v>1450865</v>
      </c>
      <c r="J193" s="100" t="s">
        <v>54</v>
      </c>
      <c r="K193" s="99">
        <v>4</v>
      </c>
      <c r="L193" s="99" t="s">
        <v>264</v>
      </c>
      <c r="M193" s="99" t="s">
        <v>56</v>
      </c>
      <c r="N193" s="99" t="str">
        <f t="shared" si="20"/>
        <v>54.BOGOTA FUSA 40/50m³ 15H-4OP</v>
      </c>
    </row>
    <row r="194" spans="6:14" x14ac:dyDescent="0.2">
      <c r="F194" s="99" t="s">
        <v>265</v>
      </c>
      <c r="G194" s="287" t="s">
        <v>281</v>
      </c>
      <c r="H194" s="99" t="s">
        <v>418</v>
      </c>
      <c r="I194" s="100">
        <v>1328210</v>
      </c>
      <c r="J194" s="100" t="s">
        <v>54</v>
      </c>
      <c r="K194" s="99">
        <v>4</v>
      </c>
      <c r="L194" s="99" t="s">
        <v>266</v>
      </c>
      <c r="M194" s="99" t="s">
        <v>56</v>
      </c>
      <c r="N194" s="99" t="str">
        <f t="shared" si="20"/>
        <v>55.BOGOTA SOACHA 40/50m³ 15H-4OP</v>
      </c>
    </row>
    <row r="195" spans="6:14" x14ac:dyDescent="0.2">
      <c r="F195" s="99" t="s">
        <v>267</v>
      </c>
      <c r="G195" s="99" t="s">
        <v>283</v>
      </c>
      <c r="H195" s="99" t="s">
        <v>419</v>
      </c>
      <c r="I195" s="100">
        <v>933725</v>
      </c>
      <c r="J195" s="100" t="s">
        <v>66</v>
      </c>
      <c r="K195" s="99">
        <v>3</v>
      </c>
      <c r="L195" s="99" t="s">
        <v>268</v>
      </c>
      <c r="M195" s="99" t="s">
        <v>56</v>
      </c>
      <c r="N195" s="99" t="str">
        <f t="shared" si="20"/>
        <v>56.BOGOTA SOACHA 40/50m³ 9H-4OP</v>
      </c>
    </row>
    <row r="196" spans="6:14" x14ac:dyDescent="0.2">
      <c r="F196" s="99" t="s">
        <v>269</v>
      </c>
      <c r="G196" s="99" t="s">
        <v>287</v>
      </c>
      <c r="H196" s="99" t="s">
        <v>420</v>
      </c>
      <c r="I196" s="100">
        <v>1102790</v>
      </c>
      <c r="J196" s="100" t="s">
        <v>54</v>
      </c>
      <c r="K196" s="99">
        <v>4</v>
      </c>
      <c r="L196" s="99" t="s">
        <v>271</v>
      </c>
      <c r="M196" s="99" t="s">
        <v>56</v>
      </c>
      <c r="N196" s="99" t="str">
        <f t="shared" si="20"/>
        <v>57.BOGOTA SUMAPAZ 25m³ 15H-4OP</v>
      </c>
    </row>
    <row r="197" spans="6:14" x14ac:dyDescent="0.2">
      <c r="F197" s="99" t="s">
        <v>272</v>
      </c>
      <c r="G197" s="99" t="s">
        <v>288</v>
      </c>
      <c r="H197" s="99" t="s">
        <v>421</v>
      </c>
      <c r="I197" s="100">
        <v>877370</v>
      </c>
      <c r="J197" s="100" t="s">
        <v>54</v>
      </c>
      <c r="K197" s="99">
        <v>4</v>
      </c>
      <c r="L197" s="99" t="s">
        <v>274</v>
      </c>
      <c r="M197" s="99" t="s">
        <v>56</v>
      </c>
      <c r="N197" s="99" t="str">
        <f t="shared" si="20"/>
        <v>58.BOGOTA FUNZA 25m³ 15H-4OP</v>
      </c>
    </row>
    <row r="198" spans="6:14" x14ac:dyDescent="0.2">
      <c r="F198" s="99" t="s">
        <v>275</v>
      </c>
      <c r="G198" s="99" t="s">
        <v>289</v>
      </c>
      <c r="H198" s="99" t="s">
        <v>422</v>
      </c>
      <c r="I198" s="100">
        <v>876265</v>
      </c>
      <c r="J198" s="100" t="s">
        <v>54</v>
      </c>
      <c r="K198" s="99">
        <v>4</v>
      </c>
      <c r="L198" s="99" t="s">
        <v>277</v>
      </c>
      <c r="M198" s="99" t="s">
        <v>56</v>
      </c>
      <c r="N198" s="99" t="str">
        <f t="shared" si="20"/>
        <v>59.BOGOTA COTA 25m³ 15H-4OP</v>
      </c>
    </row>
    <row r="199" spans="6:14" x14ac:dyDescent="0.2">
      <c r="F199" s="99" t="s">
        <v>278</v>
      </c>
      <c r="G199" s="99" t="s">
        <v>290</v>
      </c>
      <c r="H199" s="99" t="s">
        <v>423</v>
      </c>
      <c r="I199" s="100">
        <v>839800</v>
      </c>
      <c r="J199" s="100" t="s">
        <v>54</v>
      </c>
      <c r="K199" s="99">
        <v>4</v>
      </c>
      <c r="L199" s="99" t="s">
        <v>284</v>
      </c>
      <c r="M199" s="99" t="s">
        <v>56</v>
      </c>
      <c r="N199" s="99" t="str">
        <f t="shared" si="20"/>
        <v>60.BOGOTA FUSA 25m³ 15H-4OP</v>
      </c>
    </row>
    <row r="200" spans="6:14" x14ac:dyDescent="0.2">
      <c r="F200" s="99" t="s">
        <v>280</v>
      </c>
      <c r="G200" s="99" t="s">
        <v>291</v>
      </c>
      <c r="H200" s="99" t="s">
        <v>424</v>
      </c>
      <c r="I200" s="100">
        <v>1014390</v>
      </c>
      <c r="J200" s="100" t="s">
        <v>54</v>
      </c>
      <c r="K200" s="99">
        <v>4</v>
      </c>
      <c r="L200" s="99" t="s">
        <v>285</v>
      </c>
      <c r="M200" s="99" t="s">
        <v>56</v>
      </c>
      <c r="N200" s="99" t="str">
        <f t="shared" si="20"/>
        <v>61.BOGOTA SOACHA 25m³ 15H-4OP</v>
      </c>
    </row>
    <row r="201" spans="6:14" x14ac:dyDescent="0.2">
      <c r="F201" s="99" t="s">
        <v>282</v>
      </c>
      <c r="G201" s="99" t="s">
        <v>292</v>
      </c>
      <c r="H201" s="99" t="s">
        <v>425</v>
      </c>
      <c r="I201" s="100">
        <v>822120</v>
      </c>
      <c r="J201" s="100" t="s">
        <v>66</v>
      </c>
      <c r="K201" s="99">
        <v>4</v>
      </c>
      <c r="L201" s="99" t="s">
        <v>286</v>
      </c>
      <c r="M201" s="99" t="s">
        <v>56</v>
      </c>
      <c r="N201" s="99" t="str">
        <f t="shared" si="20"/>
        <v>62.BOGOTA SOACHA 25m³ 9H-4OP</v>
      </c>
    </row>
    <row r="202" spans="6:14" x14ac:dyDescent="0.2">
      <c r="F202" s="99" t="s">
        <v>293</v>
      </c>
      <c r="G202" s="99" t="s">
        <v>300</v>
      </c>
      <c r="H202" s="99" t="s">
        <v>426</v>
      </c>
      <c r="I202" s="100">
        <v>751400</v>
      </c>
      <c r="J202" s="100" t="s">
        <v>54</v>
      </c>
      <c r="L202" s="99" t="s">
        <v>329</v>
      </c>
      <c r="M202" s="99" t="s">
        <v>56</v>
      </c>
      <c r="N202" s="99" t="str">
        <f t="shared" si="20"/>
        <v>63.BOGOTA SUMAPAZ FURGONADA-15H</v>
      </c>
    </row>
    <row r="203" spans="6:14" x14ac:dyDescent="0.2">
      <c r="F203" s="99" t="s">
        <v>294</v>
      </c>
      <c r="G203" s="99" t="s">
        <v>302</v>
      </c>
      <c r="H203" s="99" t="s">
        <v>427</v>
      </c>
      <c r="I203" s="100">
        <v>552500</v>
      </c>
      <c r="J203" s="100" t="s">
        <v>54</v>
      </c>
      <c r="L203" s="99" t="s">
        <v>330</v>
      </c>
      <c r="M203" s="99" t="s">
        <v>56</v>
      </c>
      <c r="N203" s="99" t="str">
        <f t="shared" si="20"/>
        <v>64.BOGOTA FUNZA FURGONADA-15H</v>
      </c>
    </row>
    <row r="204" spans="6:14" x14ac:dyDescent="0.2">
      <c r="F204" s="99" t="s">
        <v>295</v>
      </c>
      <c r="G204" s="99" t="s">
        <v>304</v>
      </c>
      <c r="H204" s="99" t="s">
        <v>428</v>
      </c>
      <c r="I204" s="100">
        <v>524875</v>
      </c>
      <c r="J204" s="100" t="s">
        <v>54</v>
      </c>
      <c r="L204" s="99" t="s">
        <v>331</v>
      </c>
      <c r="M204" s="99" t="s">
        <v>56</v>
      </c>
      <c r="N204" s="99" t="str">
        <f t="shared" si="20"/>
        <v>65.BOGOTA COTA FURGONADA-15H</v>
      </c>
    </row>
    <row r="205" spans="6:14" x14ac:dyDescent="0.2">
      <c r="F205" s="99" t="s">
        <v>296</v>
      </c>
      <c r="G205" s="99" t="s">
        <v>306</v>
      </c>
      <c r="H205" s="99" t="s">
        <v>429</v>
      </c>
      <c r="I205" s="100">
        <v>524875</v>
      </c>
      <c r="J205" s="100" t="s">
        <v>54</v>
      </c>
      <c r="L205" s="99" t="s">
        <v>332</v>
      </c>
      <c r="M205" s="99" t="s">
        <v>56</v>
      </c>
      <c r="N205" s="99" t="str">
        <f t="shared" si="20"/>
        <v>66.BOGOTA FUSA FURGONADA-15H</v>
      </c>
    </row>
    <row r="206" spans="6:14" x14ac:dyDescent="0.2">
      <c r="F206" s="99" t="s">
        <v>297</v>
      </c>
      <c r="G206" s="99" t="s">
        <v>308</v>
      </c>
      <c r="H206" s="99" t="s">
        <v>430</v>
      </c>
      <c r="I206" s="100">
        <v>585650</v>
      </c>
      <c r="J206" s="100" t="s">
        <v>54</v>
      </c>
      <c r="L206" s="99" t="s">
        <v>333</v>
      </c>
      <c r="M206" s="3" t="s">
        <v>56</v>
      </c>
      <c r="N206" s="99" t="str">
        <f t="shared" si="20"/>
        <v>67.BOGOTA SOACHA FURGONADA-15H</v>
      </c>
    </row>
    <row r="207" spans="6:14" x14ac:dyDescent="0.2">
      <c r="F207" s="99" t="s">
        <v>298</v>
      </c>
      <c r="G207" s="99" t="s">
        <v>310</v>
      </c>
      <c r="H207" s="99" t="s">
        <v>431</v>
      </c>
      <c r="I207" s="100">
        <v>530400</v>
      </c>
      <c r="J207" s="100" t="s">
        <v>54</v>
      </c>
      <c r="L207" s="99" t="s">
        <v>334</v>
      </c>
      <c r="M207" s="99" t="s">
        <v>56</v>
      </c>
      <c r="N207" s="99" t="str">
        <f t="shared" si="20"/>
        <v>68.BOGOTA SOACHA FURGONADA-09H</v>
      </c>
    </row>
    <row r="208" spans="6:14" x14ac:dyDescent="0.2">
      <c r="F208" s="99" t="s">
        <v>299</v>
      </c>
      <c r="G208" s="99" t="s">
        <v>313</v>
      </c>
      <c r="H208" s="99" t="s">
        <v>432</v>
      </c>
      <c r="I208" s="100">
        <v>795600</v>
      </c>
      <c r="J208" s="100" t="s">
        <v>54</v>
      </c>
      <c r="L208" s="99" t="s">
        <v>335</v>
      </c>
      <c r="M208" s="99" t="s">
        <v>56</v>
      </c>
      <c r="N208" s="99" t="str">
        <f t="shared" si="20"/>
        <v>69.BOGOTA SUMAPAPAZ 4X4 15H</v>
      </c>
    </row>
    <row r="209" spans="6:14" x14ac:dyDescent="0.2">
      <c r="F209" s="99" t="s">
        <v>301</v>
      </c>
      <c r="G209" s="99" t="s">
        <v>321</v>
      </c>
      <c r="H209" s="99" t="s">
        <v>433</v>
      </c>
      <c r="I209" s="100">
        <v>591175</v>
      </c>
      <c r="J209" s="100" t="s">
        <v>54</v>
      </c>
      <c r="L209" s="99" t="s">
        <v>336</v>
      </c>
      <c r="M209" s="99" t="s">
        <v>56</v>
      </c>
      <c r="N209" s="99" t="str">
        <f t="shared" si="20"/>
        <v>70.BOGOTA FUNZA 4X4 15H</v>
      </c>
    </row>
    <row r="210" spans="6:14" x14ac:dyDescent="0.2">
      <c r="F210" s="99" t="s">
        <v>303</v>
      </c>
      <c r="G210" s="99" t="s">
        <v>322</v>
      </c>
      <c r="H210" s="99" t="s">
        <v>434</v>
      </c>
      <c r="I210" s="100">
        <v>585650</v>
      </c>
      <c r="J210" s="100" t="s">
        <v>54</v>
      </c>
      <c r="L210" s="99" t="s">
        <v>337</v>
      </c>
      <c r="M210" s="99" t="s">
        <v>56</v>
      </c>
      <c r="N210" s="99" t="str">
        <f t="shared" si="20"/>
        <v>71.BOGOTA COTA 4X4 15H</v>
      </c>
    </row>
    <row r="211" spans="6:14" x14ac:dyDescent="0.2">
      <c r="F211" s="99" t="s">
        <v>305</v>
      </c>
      <c r="G211" s="99" t="s">
        <v>323</v>
      </c>
      <c r="H211" s="99" t="s">
        <v>435</v>
      </c>
      <c r="I211" s="100">
        <v>585650</v>
      </c>
      <c r="J211" s="100" t="s">
        <v>54</v>
      </c>
      <c r="L211" s="99" t="s">
        <v>338</v>
      </c>
      <c r="M211" s="99" t="s">
        <v>56</v>
      </c>
      <c r="N211" s="99" t="str">
        <f t="shared" si="20"/>
        <v>72.BOGOTA FUSA 4X4 15H</v>
      </c>
    </row>
    <row r="212" spans="6:14" x14ac:dyDescent="0.2">
      <c r="F212" s="99" t="s">
        <v>307</v>
      </c>
      <c r="G212" s="99" t="s">
        <v>324</v>
      </c>
      <c r="H212" s="99" t="s">
        <v>436</v>
      </c>
      <c r="I212" s="100">
        <v>607750</v>
      </c>
      <c r="J212" s="100" t="s">
        <v>54</v>
      </c>
      <c r="L212" s="99" t="s">
        <v>339</v>
      </c>
      <c r="M212" s="99" t="s">
        <v>56</v>
      </c>
      <c r="N212" s="99" t="str">
        <f t="shared" si="20"/>
        <v>73.BOGOTA SOACHA 4X4 15H</v>
      </c>
    </row>
    <row r="213" spans="6:14" x14ac:dyDescent="0.2">
      <c r="F213" s="99" t="s">
        <v>309</v>
      </c>
      <c r="G213" s="99" t="s">
        <v>325</v>
      </c>
      <c r="H213" s="99" t="s">
        <v>437</v>
      </c>
      <c r="I213" s="100">
        <v>640900</v>
      </c>
      <c r="J213" s="100" t="s">
        <v>54</v>
      </c>
      <c r="L213" s="99" t="s">
        <v>340</v>
      </c>
      <c r="M213" s="99" t="s">
        <v>56</v>
      </c>
      <c r="N213" s="99" t="str">
        <f t="shared" si="20"/>
        <v>74.BOGOTA SOACHA 4X4 09H</v>
      </c>
    </row>
    <row r="214" spans="6:14" x14ac:dyDescent="0.2">
      <c r="F214" s="99" t="s">
        <v>312</v>
      </c>
      <c r="G214" s="99" t="s">
        <v>326</v>
      </c>
      <c r="H214" s="99" t="s">
        <v>438</v>
      </c>
      <c r="I214" s="100">
        <v>1699986</v>
      </c>
      <c r="J214" s="100" t="s">
        <v>54</v>
      </c>
      <c r="L214" s="99" t="s">
        <v>341</v>
      </c>
      <c r="M214" s="99" t="s">
        <v>56</v>
      </c>
      <c r="N214" s="99" t="str">
        <f t="shared" si="20"/>
        <v xml:space="preserve">75.6 OPERARIOS-15-H </v>
      </c>
    </row>
    <row r="215" spans="6:14" x14ac:dyDescent="0.2">
      <c r="F215" s="99" t="s">
        <v>314</v>
      </c>
      <c r="G215" s="99" t="s">
        <v>327</v>
      </c>
      <c r="H215" s="99" t="s">
        <v>439</v>
      </c>
      <c r="I215" s="100">
        <v>2266648</v>
      </c>
      <c r="J215" s="100" t="s">
        <v>54</v>
      </c>
      <c r="L215" s="99" t="s">
        <v>342</v>
      </c>
      <c r="M215" s="99" t="s">
        <v>56</v>
      </c>
      <c r="N215" s="99" t="str">
        <f t="shared" si="20"/>
        <v xml:space="preserve">76.8 OPERARIOS-15-H </v>
      </c>
    </row>
    <row r="216" spans="6:14" x14ac:dyDescent="0.2">
      <c r="F216" s="99" t="s">
        <v>315</v>
      </c>
      <c r="G216" s="99" t="s">
        <v>328</v>
      </c>
      <c r="H216" s="99" t="s">
        <v>440</v>
      </c>
      <c r="I216" s="100">
        <v>2833310</v>
      </c>
      <c r="J216" s="100" t="s">
        <v>54</v>
      </c>
      <c r="L216" s="99" t="s">
        <v>343</v>
      </c>
      <c r="M216" s="99" t="s">
        <v>56</v>
      </c>
      <c r="N216" s="99" t="str">
        <f t="shared" si="20"/>
        <v xml:space="preserve">77.10 OPERARIOS-15-H </v>
      </c>
    </row>
    <row r="217" spans="6:14" x14ac:dyDescent="0.2">
      <c r="F217" s="99" t="s">
        <v>316</v>
      </c>
      <c r="G217" s="99" t="s">
        <v>441</v>
      </c>
      <c r="H217" s="99" t="s">
        <v>442</v>
      </c>
      <c r="I217" s="100">
        <v>1330399</v>
      </c>
      <c r="J217" s="100" t="s">
        <v>66</v>
      </c>
      <c r="L217" s="99" t="s">
        <v>344</v>
      </c>
      <c r="M217" s="99" t="s">
        <v>56</v>
      </c>
      <c r="N217" s="99" t="str">
        <f t="shared" ref="N217:N221" si="21">+CONCATENATE(G217,F217)</f>
        <v xml:space="preserve">78.6 OPERARIOS-09-H </v>
      </c>
    </row>
    <row r="218" spans="6:14" x14ac:dyDescent="0.2">
      <c r="F218" s="99" t="s">
        <v>317</v>
      </c>
      <c r="G218" s="99" t="s">
        <v>443</v>
      </c>
      <c r="H218" s="99" t="s">
        <v>444</v>
      </c>
      <c r="I218" s="100">
        <v>1773856</v>
      </c>
      <c r="J218" s="100" t="s">
        <v>66</v>
      </c>
      <c r="L218" s="99" t="s">
        <v>345</v>
      </c>
      <c r="M218" s="99" t="s">
        <v>56</v>
      </c>
      <c r="N218" s="99" t="str">
        <f t="shared" si="21"/>
        <v xml:space="preserve">79.8 OPERARIOS-09-H </v>
      </c>
    </row>
    <row r="219" spans="6:14" x14ac:dyDescent="0.2">
      <c r="F219" s="99" t="s">
        <v>318</v>
      </c>
      <c r="G219" s="99" t="s">
        <v>445</v>
      </c>
      <c r="H219" s="99" t="s">
        <v>446</v>
      </c>
      <c r="I219" s="100">
        <v>2213310</v>
      </c>
      <c r="J219" s="294" t="s">
        <v>66</v>
      </c>
      <c r="L219" s="99" t="s">
        <v>346</v>
      </c>
      <c r="M219" s="99" t="s">
        <v>56</v>
      </c>
      <c r="N219" s="99" t="str">
        <f t="shared" si="21"/>
        <v xml:space="preserve">80.10 OPERARIOS-09-H </v>
      </c>
    </row>
    <row r="220" spans="6:14" x14ac:dyDescent="0.2">
      <c r="F220" s="99" t="s">
        <v>319</v>
      </c>
      <c r="G220" s="99" t="s">
        <v>447</v>
      </c>
      <c r="H220" s="99" t="s">
        <v>448</v>
      </c>
      <c r="I220" s="100">
        <v>960804</v>
      </c>
      <c r="J220" s="294" t="s">
        <v>77</v>
      </c>
      <c r="L220" s="99" t="s">
        <v>347</v>
      </c>
      <c r="M220" s="99" t="s">
        <v>56</v>
      </c>
      <c r="N220" s="99" t="str">
        <f t="shared" si="21"/>
        <v xml:space="preserve">81.6 OPERARIOS-04-H </v>
      </c>
    </row>
    <row r="221" spans="6:14" x14ac:dyDescent="0.2">
      <c r="F221" s="99" t="s">
        <v>320</v>
      </c>
      <c r="G221" s="99" t="s">
        <v>449</v>
      </c>
      <c r="H221" s="99" t="s">
        <v>450</v>
      </c>
      <c r="I221" s="100">
        <v>1281072</v>
      </c>
      <c r="J221" s="294" t="s">
        <v>77</v>
      </c>
      <c r="L221" s="99" t="s">
        <v>348</v>
      </c>
      <c r="M221" s="99" t="s">
        <v>56</v>
      </c>
      <c r="N221" s="99" t="str">
        <f t="shared" si="21"/>
        <v xml:space="preserve">82.8 OPERARIOS-04-H </v>
      </c>
    </row>
    <row r="222" spans="6:14" x14ac:dyDescent="0.2">
      <c r="F222" s="99" t="s">
        <v>349</v>
      </c>
      <c r="G222" s="99" t="s">
        <v>451</v>
      </c>
      <c r="H222" s="99" t="s">
        <v>452</v>
      </c>
      <c r="I222" s="100">
        <v>1601340</v>
      </c>
      <c r="J222" s="294" t="s">
        <v>77</v>
      </c>
      <c r="L222" s="99" t="s">
        <v>350</v>
      </c>
      <c r="M222" s="99" t="s">
        <v>56</v>
      </c>
      <c r="N222" s="99" t="str">
        <f>+CONCATENATE(G222,F222)</f>
        <v xml:space="preserve">83.10 OPERARIOS-04H-10OP </v>
      </c>
    </row>
  </sheetData>
  <sheetProtection selectLockedCells="1" selectUnlockedCells="1"/>
  <mergeCells count="20">
    <mergeCell ref="A73:Y91"/>
    <mergeCell ref="A93:A95"/>
    <mergeCell ref="R13:Y13"/>
    <mergeCell ref="A72:AE72"/>
    <mergeCell ref="A14:G14"/>
    <mergeCell ref="I16:P16"/>
    <mergeCell ref="R18:Y18"/>
    <mergeCell ref="A23:G23"/>
    <mergeCell ref="A24:G24"/>
    <mergeCell ref="A32:G32"/>
    <mergeCell ref="A41:G41"/>
    <mergeCell ref="A42:G42"/>
    <mergeCell ref="J46:P65"/>
    <mergeCell ref="R2:Y2"/>
    <mergeCell ref="AA2:AE2"/>
    <mergeCell ref="A52:G52"/>
    <mergeCell ref="K70:L70"/>
    <mergeCell ref="A1:G1"/>
    <mergeCell ref="A2:G2"/>
    <mergeCell ref="I2:P2"/>
  </mergeCells>
  <phoneticPr fontId="66" type="noConversion"/>
  <dataValidations count="3">
    <dataValidation type="list" allowBlank="1" showInputMessage="1" showErrorMessage="1" sqref="F12:F13" xr:uid="{E4807097-4575-BC47-8A7D-10F1E79087BA}">
      <formula1>$H$140:$H$185</formula1>
    </dataValidation>
    <dataValidation type="list" allowBlank="1" showInputMessage="1" showErrorMessage="1" sqref="F31 F64 O23:O24 O10:O15" xr:uid="{28E75166-A964-F64E-9859-37FB8A1D4719}">
      <formula1>$H$139:$H$185</formula1>
    </dataValidation>
    <dataValidation type="list" allowBlank="1" showInputMessage="1" showErrorMessage="1" sqref="F4:F11 F16:F21 F26:F30 F34:F39 F46:F51 F54:F63 O4:O9 O18:O22 X4:X6 X15:X16 X20:X30" xr:uid="{937810F0-BFF9-4762-9D51-669404DBA757}">
      <formula1>$H$139:$H$216</formula1>
    </dataValidation>
  </dataValidations>
  <pageMargins left="0.78749999999999998" right="0.78749999999999998" top="1.0527777777777778" bottom="1.0527777777777778" header="0.78749999999999998" footer="0.78749999999999998"/>
  <pageSetup scale="13" firstPageNumber="0" orientation="landscape" r:id="rId1"/>
  <headerFooter alignWithMargins="0">
    <oddHeader>&amp;C&amp;"Times New Roman,Normal"&amp;12&amp;A</oddHeader>
    <oddFooter>&amp;C&amp;"Times New Roman,Normal"&amp;12Página &amp;P</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D427A4-241E-2A47-8923-160BFA76BD7E}">
  <dimension ref="A1:L55"/>
  <sheetViews>
    <sheetView topLeftCell="A13" zoomScale="170" zoomScaleNormal="170" workbookViewId="0">
      <selection activeCell="B19" sqref="B19"/>
    </sheetView>
  </sheetViews>
  <sheetFormatPr baseColWidth="10" defaultColWidth="10.85546875" defaultRowHeight="15" x14ac:dyDescent="0.25"/>
  <cols>
    <col min="1" max="1" width="46.140625" customWidth="1"/>
    <col min="2" max="2" width="12.140625" bestFit="1" customWidth="1"/>
    <col min="3" max="3" width="15" bestFit="1" customWidth="1"/>
    <col min="4" max="5" width="11.140625" bestFit="1" customWidth="1"/>
    <col min="6" max="6" width="12.140625" bestFit="1" customWidth="1"/>
    <col min="7" max="7" width="17.28515625" customWidth="1"/>
    <col min="8" max="9" width="12.140625" bestFit="1" customWidth="1"/>
    <col min="12" max="12" width="17.7109375" style="268" customWidth="1"/>
  </cols>
  <sheetData>
    <row r="1" spans="1:12" x14ac:dyDescent="0.25">
      <c r="A1" s="279" t="s">
        <v>457</v>
      </c>
      <c r="B1" s="279" t="s">
        <v>460</v>
      </c>
      <c r="C1" s="279" t="s">
        <v>461</v>
      </c>
      <c r="D1" s="279" t="s">
        <v>479</v>
      </c>
      <c r="E1" s="279" t="s">
        <v>480</v>
      </c>
      <c r="F1" s="279" t="s">
        <v>462</v>
      </c>
      <c r="G1" s="279" t="s">
        <v>463</v>
      </c>
      <c r="H1" s="279" t="s">
        <v>464</v>
      </c>
      <c r="I1" s="279" t="s">
        <v>465</v>
      </c>
      <c r="J1" s="279" t="s">
        <v>458</v>
      </c>
      <c r="K1" s="279" t="s">
        <v>459</v>
      </c>
      <c r="L1" s="273" t="s">
        <v>32</v>
      </c>
    </row>
    <row r="2" spans="1:12" ht="19.5" x14ac:dyDescent="0.25">
      <c r="A2" s="202">
        <v>45981</v>
      </c>
      <c r="B2" s="268">
        <v>436071</v>
      </c>
      <c r="C2" s="268"/>
      <c r="D2" s="268"/>
      <c r="E2" s="268"/>
      <c r="F2" s="268"/>
    </row>
    <row r="3" spans="1:12" ht="19.5" x14ac:dyDescent="0.25">
      <c r="A3" s="202">
        <v>45982</v>
      </c>
      <c r="B3" s="268">
        <v>436071</v>
      </c>
      <c r="C3" s="268"/>
      <c r="D3" s="268"/>
      <c r="E3" s="268"/>
      <c r="F3" s="268"/>
    </row>
    <row r="4" spans="1:12" ht="19.5" x14ac:dyDescent="0.25">
      <c r="A4" s="202">
        <v>45983</v>
      </c>
      <c r="B4" s="268">
        <v>436071</v>
      </c>
      <c r="C4" s="268"/>
      <c r="D4" s="268"/>
      <c r="E4" s="268"/>
      <c r="F4" s="268"/>
    </row>
    <row r="5" spans="1:12" ht="19.5" x14ac:dyDescent="0.25">
      <c r="A5" s="202">
        <v>45983</v>
      </c>
      <c r="B5" s="268">
        <v>436071</v>
      </c>
      <c r="C5" s="268"/>
      <c r="D5" s="268"/>
      <c r="E5" s="268"/>
      <c r="F5" s="268"/>
    </row>
    <row r="6" spans="1:12" ht="19.5" x14ac:dyDescent="0.25">
      <c r="A6" s="202">
        <v>45984</v>
      </c>
      <c r="B6" s="268">
        <v>436071</v>
      </c>
      <c r="C6" s="268"/>
      <c r="D6" s="268"/>
      <c r="E6" s="268"/>
      <c r="F6" s="268"/>
    </row>
    <row r="7" spans="1:12" ht="19.5" x14ac:dyDescent="0.25">
      <c r="A7" s="202">
        <v>45984</v>
      </c>
      <c r="B7" s="268">
        <v>436071</v>
      </c>
      <c r="C7" s="268"/>
      <c r="D7" s="268"/>
      <c r="E7" s="268"/>
      <c r="F7" s="268"/>
    </row>
    <row r="8" spans="1:12" ht="19.5" x14ac:dyDescent="0.25">
      <c r="A8" s="202">
        <v>45985</v>
      </c>
      <c r="B8" s="268">
        <v>436071</v>
      </c>
      <c r="C8" s="268"/>
      <c r="D8" s="268"/>
      <c r="E8" s="268"/>
      <c r="F8" s="268"/>
    </row>
    <row r="9" spans="1:12" ht="19.5" x14ac:dyDescent="0.25">
      <c r="A9" s="350">
        <v>45988</v>
      </c>
      <c r="B9" s="268">
        <v>436071</v>
      </c>
      <c r="C9" s="268"/>
      <c r="D9" s="268"/>
      <c r="E9" s="268"/>
      <c r="F9" s="268"/>
    </row>
    <row r="10" spans="1:12" ht="19.5" x14ac:dyDescent="0.25">
      <c r="A10" s="202">
        <v>45989</v>
      </c>
      <c r="B10" s="268">
        <v>436071</v>
      </c>
      <c r="C10" s="268"/>
      <c r="D10" s="268"/>
      <c r="E10" s="268"/>
      <c r="F10" s="268"/>
    </row>
    <row r="11" spans="1:12" ht="19.5" x14ac:dyDescent="0.25">
      <c r="A11" s="202">
        <v>45990</v>
      </c>
      <c r="B11" s="268">
        <v>436071</v>
      </c>
      <c r="C11" s="268"/>
      <c r="D11" s="268"/>
      <c r="E11" s="268"/>
      <c r="F11" s="268"/>
    </row>
    <row r="12" spans="1:12" ht="19.5" x14ac:dyDescent="0.25">
      <c r="A12" s="202">
        <v>45990</v>
      </c>
      <c r="B12" s="268">
        <v>436071</v>
      </c>
      <c r="C12" s="268"/>
      <c r="D12" s="268"/>
      <c r="E12" s="268"/>
      <c r="F12" s="268"/>
    </row>
    <row r="13" spans="1:12" ht="19.5" x14ac:dyDescent="0.25">
      <c r="A13" s="202">
        <v>45991</v>
      </c>
      <c r="B13" s="268">
        <v>436071</v>
      </c>
      <c r="C13" s="268"/>
      <c r="D13" s="268"/>
      <c r="E13" s="268"/>
      <c r="F13" s="268"/>
    </row>
    <row r="14" spans="1:12" ht="19.5" x14ac:dyDescent="0.25">
      <c r="A14" s="202">
        <v>45991</v>
      </c>
      <c r="B14" s="268">
        <v>436071</v>
      </c>
      <c r="C14" s="268"/>
      <c r="D14" s="268"/>
      <c r="E14" s="268"/>
      <c r="F14" s="268"/>
    </row>
    <row r="15" spans="1:12" ht="19.5" x14ac:dyDescent="0.25">
      <c r="A15" s="202">
        <v>45991</v>
      </c>
      <c r="B15" s="268">
        <v>436071</v>
      </c>
      <c r="D15" s="268"/>
      <c r="E15" s="268"/>
      <c r="F15" s="268"/>
    </row>
    <row r="16" spans="1:12" ht="19.5" x14ac:dyDescent="0.25">
      <c r="A16" s="202">
        <v>45991</v>
      </c>
      <c r="B16" s="268">
        <v>436071</v>
      </c>
      <c r="C16" s="268"/>
      <c r="D16" s="268"/>
      <c r="E16" s="268"/>
      <c r="F16" s="268"/>
      <c r="G16" s="268"/>
    </row>
    <row r="17" spans="1:9" ht="19.5" x14ac:dyDescent="0.25">
      <c r="A17" s="202">
        <v>45991</v>
      </c>
      <c r="B17" s="268">
        <v>436071</v>
      </c>
      <c r="C17" s="268"/>
      <c r="D17" s="268"/>
      <c r="E17" s="268"/>
      <c r="F17" s="268"/>
      <c r="G17" s="268"/>
    </row>
    <row r="18" spans="1:9" ht="19.5" x14ac:dyDescent="0.25">
      <c r="A18" s="202">
        <v>45994</v>
      </c>
      <c r="B18" s="268">
        <v>436071</v>
      </c>
      <c r="C18" s="268"/>
      <c r="D18" s="268"/>
      <c r="E18" s="268"/>
      <c r="F18" s="268"/>
      <c r="G18" s="268"/>
    </row>
    <row r="19" spans="1:9" ht="39" x14ac:dyDescent="0.25">
      <c r="A19" s="350" t="s">
        <v>481</v>
      </c>
      <c r="B19" s="268">
        <v>436071</v>
      </c>
      <c r="C19" s="268"/>
      <c r="D19" s="268"/>
      <c r="E19" s="268"/>
      <c r="F19" s="268"/>
      <c r="G19" s="268"/>
    </row>
    <row r="20" spans="1:9" ht="19.5" x14ac:dyDescent="0.25">
      <c r="A20" s="202"/>
      <c r="C20" s="268"/>
      <c r="D20" s="268"/>
      <c r="E20" s="268"/>
      <c r="F20" s="268"/>
      <c r="G20" s="268"/>
    </row>
    <row r="21" spans="1:9" ht="19.5" x14ac:dyDescent="0.25">
      <c r="A21" s="202"/>
      <c r="C21" s="268"/>
      <c r="D21" s="268"/>
      <c r="E21" s="268"/>
      <c r="F21" s="268"/>
      <c r="G21" s="281"/>
    </row>
    <row r="22" spans="1:9" ht="19.5" x14ac:dyDescent="0.25">
      <c r="A22" s="202"/>
      <c r="C22" s="268"/>
      <c r="D22" s="268"/>
      <c r="E22" s="268"/>
      <c r="F22" s="268"/>
      <c r="G22" s="268"/>
    </row>
    <row r="23" spans="1:9" ht="19.5" x14ac:dyDescent="0.25">
      <c r="A23" s="202"/>
      <c r="C23" s="268"/>
      <c r="D23" s="268"/>
      <c r="E23" s="268"/>
      <c r="F23" s="268"/>
      <c r="G23" s="268"/>
    </row>
    <row r="24" spans="1:9" ht="19.5" x14ac:dyDescent="0.25">
      <c r="A24" s="202"/>
      <c r="C24" s="268"/>
      <c r="D24" s="268"/>
      <c r="E24" s="268"/>
      <c r="F24" s="268"/>
      <c r="G24" s="268"/>
    </row>
    <row r="25" spans="1:9" ht="21" x14ac:dyDescent="0.35">
      <c r="A25" s="202"/>
      <c r="C25" s="349"/>
      <c r="D25" s="268"/>
      <c r="E25" s="268"/>
      <c r="F25" s="268"/>
      <c r="G25" s="268"/>
    </row>
    <row r="26" spans="1:9" ht="19.5" x14ac:dyDescent="0.25">
      <c r="A26" s="202"/>
      <c r="C26" s="268"/>
      <c r="D26" s="268"/>
      <c r="E26" s="268"/>
      <c r="F26" s="268"/>
      <c r="G26" s="268"/>
    </row>
    <row r="27" spans="1:9" ht="19.5" x14ac:dyDescent="0.25">
      <c r="A27" s="202"/>
      <c r="C27" s="268"/>
      <c r="D27" s="268"/>
      <c r="E27" s="268"/>
      <c r="F27" s="268"/>
      <c r="G27" s="268"/>
    </row>
    <row r="28" spans="1:9" ht="19.5" x14ac:dyDescent="0.25">
      <c r="A28" s="347"/>
      <c r="C28" s="268"/>
      <c r="D28" s="268"/>
      <c r="E28" s="268"/>
      <c r="F28" s="268"/>
      <c r="H28" s="268"/>
    </row>
    <row r="29" spans="1:9" ht="19.5" x14ac:dyDescent="0.25">
      <c r="A29" s="347"/>
      <c r="F29" s="268"/>
      <c r="I29" s="268"/>
    </row>
    <row r="30" spans="1:9" ht="19.5" x14ac:dyDescent="0.25">
      <c r="A30" s="347"/>
      <c r="C30" s="268"/>
      <c r="G30" s="268"/>
    </row>
    <row r="31" spans="1:9" ht="19.5" x14ac:dyDescent="0.25">
      <c r="A31" s="347"/>
      <c r="G31" s="268"/>
    </row>
    <row r="32" spans="1:9" ht="19.5" x14ac:dyDescent="0.25">
      <c r="A32" s="347"/>
      <c r="C32" s="268"/>
      <c r="D32" s="268"/>
      <c r="E32" s="268"/>
      <c r="F32" s="268"/>
      <c r="G32" s="268"/>
      <c r="H32" s="258"/>
      <c r="I32" s="258"/>
    </row>
    <row r="33" spans="1:7" ht="19.5" x14ac:dyDescent="0.25">
      <c r="A33" s="347"/>
      <c r="G33" s="268"/>
    </row>
    <row r="34" spans="1:7" ht="19.5" x14ac:dyDescent="0.25">
      <c r="A34" s="347"/>
      <c r="F34" s="268"/>
      <c r="G34" s="268"/>
    </row>
    <row r="35" spans="1:7" ht="19.5" x14ac:dyDescent="0.25">
      <c r="A35" s="347"/>
      <c r="G35" s="268"/>
    </row>
    <row r="36" spans="1:7" ht="19.5" x14ac:dyDescent="0.25">
      <c r="A36" s="347"/>
      <c r="G36" s="268"/>
    </row>
    <row r="37" spans="1:7" ht="19.5" x14ac:dyDescent="0.25">
      <c r="A37" s="347"/>
      <c r="G37" s="268"/>
    </row>
    <row r="38" spans="1:7" ht="19.5" x14ac:dyDescent="0.25">
      <c r="A38" s="347"/>
      <c r="G38" s="268"/>
    </row>
    <row r="39" spans="1:7" ht="19.5" x14ac:dyDescent="0.25">
      <c r="A39" s="347"/>
      <c r="G39" s="268"/>
    </row>
    <row r="40" spans="1:7" ht="19.5" x14ac:dyDescent="0.25">
      <c r="A40" s="347"/>
      <c r="G40" s="268"/>
    </row>
    <row r="41" spans="1:7" ht="19.5" x14ac:dyDescent="0.25">
      <c r="A41" s="347"/>
      <c r="G41" s="268"/>
    </row>
    <row r="42" spans="1:7" ht="19.5" x14ac:dyDescent="0.25">
      <c r="A42" s="347"/>
      <c r="G42" s="281"/>
    </row>
    <row r="43" spans="1:7" ht="19.5" x14ac:dyDescent="0.25">
      <c r="A43" s="347"/>
      <c r="G43" s="268"/>
    </row>
    <row r="44" spans="1:7" ht="19.5" x14ac:dyDescent="0.25">
      <c r="A44" s="347"/>
      <c r="G44" s="268"/>
    </row>
    <row r="45" spans="1:7" ht="19.5" x14ac:dyDescent="0.25">
      <c r="A45" s="347"/>
      <c r="G45" s="268"/>
    </row>
    <row r="46" spans="1:7" ht="19.5" x14ac:dyDescent="0.25">
      <c r="A46" s="347"/>
      <c r="G46" s="268"/>
    </row>
    <row r="47" spans="1:7" ht="19.5" x14ac:dyDescent="0.25">
      <c r="A47" s="347"/>
      <c r="B47" s="258"/>
      <c r="G47" s="268"/>
    </row>
    <row r="48" spans="1:7" ht="19.5" x14ac:dyDescent="0.25">
      <c r="A48" s="347"/>
      <c r="G48" s="268"/>
    </row>
    <row r="49" spans="1:9" ht="19.5" x14ac:dyDescent="0.25">
      <c r="A49" s="347"/>
      <c r="G49" s="268"/>
    </row>
    <row r="50" spans="1:9" ht="19.5" x14ac:dyDescent="0.25">
      <c r="A50" s="347"/>
      <c r="G50" s="268"/>
    </row>
    <row r="51" spans="1:9" ht="19.5" x14ac:dyDescent="0.25">
      <c r="A51" s="347"/>
      <c r="H51" s="268">
        <v>1400000</v>
      </c>
    </row>
    <row r="54" spans="1:9" x14ac:dyDescent="0.25">
      <c r="B54" s="258">
        <f>SUM(B2:B49)</f>
        <v>7849278</v>
      </c>
      <c r="C54" s="258">
        <f t="shared" ref="C54:F54" si="0">SUM(C2:C49)</f>
        <v>0</v>
      </c>
      <c r="D54" s="258">
        <f t="shared" si="0"/>
        <v>0</v>
      </c>
      <c r="E54" s="258">
        <f t="shared" si="0"/>
        <v>0</v>
      </c>
      <c r="F54" s="258">
        <f t="shared" si="0"/>
        <v>0</v>
      </c>
      <c r="G54" s="258">
        <f>SUM(G2:G50)</f>
        <v>0</v>
      </c>
      <c r="H54" s="268">
        <f>SUM(H51:H53)</f>
        <v>1400000</v>
      </c>
      <c r="I54" s="258"/>
    </row>
    <row r="55" spans="1:9" ht="21" x14ac:dyDescent="0.35">
      <c r="A55" s="348" t="s">
        <v>32</v>
      </c>
      <c r="B55" s="446">
        <f>SUM(B54:H54)</f>
        <v>9249278</v>
      </c>
      <c r="C55" s="446"/>
      <c r="D55" s="446"/>
      <c r="E55" s="446"/>
      <c r="F55" s="446"/>
      <c r="G55" s="446"/>
    </row>
  </sheetData>
  <mergeCells count="1">
    <mergeCell ref="B55:G55"/>
  </mergeCells>
  <phoneticPr fontId="66" type="noConversion"/>
  <pageMargins left="0.7" right="0.7" top="0.75" bottom="0.75" header="0.3" footer="0.3"/>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46B129-54F8-814A-ACC0-FA3F1DD21DCC}">
  <dimension ref="A1:L131"/>
  <sheetViews>
    <sheetView topLeftCell="A30" zoomScale="190" zoomScaleNormal="190" workbookViewId="0">
      <selection activeCell="D61" sqref="D61"/>
    </sheetView>
  </sheetViews>
  <sheetFormatPr baseColWidth="10" defaultColWidth="10.85546875" defaultRowHeight="15" x14ac:dyDescent="0.25"/>
  <cols>
    <col min="3" max="4" width="26.42578125" customWidth="1"/>
    <col min="5" max="5" width="19.85546875" customWidth="1"/>
    <col min="7" max="7" width="18.28515625" customWidth="1"/>
    <col min="8" max="8" width="13.85546875" customWidth="1"/>
    <col min="9" max="9" width="17.42578125" customWidth="1"/>
    <col min="10" max="10" width="20.28515625" customWidth="1"/>
    <col min="11" max="11" width="18.42578125" customWidth="1"/>
    <col min="12" max="12" width="18.28515625" customWidth="1"/>
    <col min="13" max="13" width="16.28515625" customWidth="1"/>
    <col min="14" max="14" width="31" customWidth="1"/>
    <col min="15" max="15" width="26.42578125" customWidth="1"/>
  </cols>
  <sheetData>
    <row r="1" spans="1:12" ht="18" customHeight="1" x14ac:dyDescent="0.25">
      <c r="A1" s="450" t="s">
        <v>474</v>
      </c>
      <c r="B1" s="450"/>
      <c r="C1" s="450"/>
      <c r="D1" s="450"/>
      <c r="E1" s="450"/>
      <c r="F1" s="247"/>
    </row>
    <row r="2" spans="1:12" x14ac:dyDescent="0.25">
      <c r="A2" s="248" t="s">
        <v>218</v>
      </c>
      <c r="B2" s="248" t="s">
        <v>219</v>
      </c>
      <c r="C2" s="248" t="s">
        <v>220</v>
      </c>
      <c r="D2" s="248" t="s">
        <v>468</v>
      </c>
      <c r="E2" s="248" t="s">
        <v>221</v>
      </c>
      <c r="F2" s="247"/>
      <c r="G2" s="249"/>
    </row>
    <row r="3" spans="1:12" x14ac:dyDescent="0.25">
      <c r="A3" s="346">
        <v>849</v>
      </c>
      <c r="B3" s="250">
        <v>7030</v>
      </c>
      <c r="C3" s="251">
        <f>248872306+251288599</f>
        <v>500160905</v>
      </c>
      <c r="D3" s="251">
        <v>2572627</v>
      </c>
      <c r="E3" s="293">
        <f>C3-D3</f>
        <v>497588278</v>
      </c>
      <c r="F3" s="247"/>
      <c r="G3" s="268">
        <f>SUM('INFORME ABRIL'!K95,'INFORME ABRIL'!K96,'INFORME ABRIL'!K97,'INFORME ABRIL'!K99,'INFORME ABRIL'!K105)</f>
        <v>5735489</v>
      </c>
    </row>
    <row r="4" spans="1:12" x14ac:dyDescent="0.25">
      <c r="A4" s="346">
        <v>850</v>
      </c>
      <c r="B4" s="250">
        <v>7007</v>
      </c>
      <c r="C4" s="251">
        <f>10000000+78439583+12420988+14591385</f>
        <v>115451956</v>
      </c>
      <c r="D4" s="251">
        <v>1021459</v>
      </c>
      <c r="E4" s="293">
        <f>C4-D4</f>
        <v>114430497</v>
      </c>
      <c r="F4" s="247"/>
      <c r="G4" s="268">
        <f>SUM('INFORME ABRIL'!K102)</f>
        <v>787237</v>
      </c>
    </row>
    <row r="5" spans="1:12" x14ac:dyDescent="0.25">
      <c r="A5" s="346">
        <v>852</v>
      </c>
      <c r="B5" s="250">
        <v>6032</v>
      </c>
      <c r="C5" s="251">
        <f>2000000000+785000004+5296264562+5417199622+1582415050+1661829881</f>
        <v>16742709119</v>
      </c>
      <c r="D5" s="251">
        <v>402832008</v>
      </c>
      <c r="E5" s="293">
        <f>C5-D5</f>
        <v>16339877111</v>
      </c>
      <c r="F5" s="247"/>
      <c r="G5" s="281">
        <f>SUM('INFORME ABRIL'!G79,'INFORME ABRIL'!G80,'INFORME ABRIL'!K83,'INFORME ABRIL'!K84,'INFORME ABRIL'!K85,'INFORME ABRIL'!K86,'INFORME ABRIL'!K87,'INFORME ABRIL'!K88,'INFORME ABRIL'!K90,'INFORME ABRIL'!K91,'INFORME ABRIL'!K100,'INFORME ABRIL'!K101,'INFORME ABRIL'!K103,'INFORME ABRIL'!K104,'INFORME ABRIL'!K106,'INFORME ABRIL'!K107,'INFORME ABRIL'!K108,'INFORME ABRIL'!K109,'INFORME ABRIL'!K111,'INFORME ABRIL'!K112,'INFORME ABRIL'!K113,'INFORME ABRIL'!K114,'INFORME ABRIL'!K115,'INFORME ABRIL'!K116,'INFORME ABRIL'!K117,'INFORME ABRIL'!K118,'INFORME ABRIL'!K119,'INFORME ABRIL'!K120,'INFORME ABRIL'!K121,'INFORME ABRIL'!K122,'INFORME ABRIL'!K123,'INFORME ABRIL'!K124,'INFORME ABRIL'!K125,'INFORME ABRIL'!K126,'INFORME ABRIL'!K127,'INFORME ABRIL'!K128,'INFORME ABRIL'!K129,'INFORME ABRIL'!K130)</f>
        <v>496120147</v>
      </c>
    </row>
    <row r="6" spans="1:12" x14ac:dyDescent="0.25">
      <c r="A6" s="346" t="s">
        <v>454</v>
      </c>
      <c r="B6" s="250">
        <v>5119</v>
      </c>
      <c r="C6" s="251">
        <v>18945000</v>
      </c>
      <c r="D6" s="251">
        <v>6468738</v>
      </c>
      <c r="E6" s="293">
        <f>C6-D6</f>
        <v>12476262</v>
      </c>
      <c r="F6" s="247"/>
      <c r="G6" s="268">
        <f>SUM('INFORME ABRIL'!K89,'INFORME ABRIL'!K92,'INFORME ABRIL'!K93,'INFORME ABRIL'!K94,'INFORME ABRIL'!K98,'INFORME ABRIL'!K110)</f>
        <v>9197205</v>
      </c>
    </row>
    <row r="7" spans="1:12" x14ac:dyDescent="0.25">
      <c r="A7" s="250"/>
      <c r="B7" s="250"/>
      <c r="C7" s="251"/>
      <c r="D7" s="251"/>
      <c r="E7" s="293">
        <f>C7-D7</f>
        <v>0</v>
      </c>
      <c r="F7" s="247"/>
    </row>
    <row r="8" spans="1:12" x14ac:dyDescent="0.25">
      <c r="A8" s="449" t="s">
        <v>222</v>
      </c>
      <c r="B8" s="449"/>
      <c r="C8" s="449"/>
      <c r="D8" s="449"/>
      <c r="E8" s="252">
        <f>SUM(E3:E7)</f>
        <v>16964372148</v>
      </c>
      <c r="F8" s="253"/>
    </row>
    <row r="9" spans="1:12" x14ac:dyDescent="0.25">
      <c r="A9" s="247"/>
      <c r="B9" s="247"/>
      <c r="C9" s="254">
        <f>SUM(C3:C7)</f>
        <v>17377266980</v>
      </c>
      <c r="D9" s="255">
        <f>SUM(D3:D7)</f>
        <v>412894832</v>
      </c>
      <c r="E9" s="256"/>
      <c r="F9" s="247"/>
    </row>
    <row r="10" spans="1:12" ht="15" customHeight="1" x14ac:dyDescent="0.25">
      <c r="A10" s="450" t="s">
        <v>474</v>
      </c>
      <c r="B10" s="450"/>
      <c r="C10" s="450"/>
      <c r="D10" s="450"/>
      <c r="E10" s="450"/>
      <c r="F10" s="247"/>
      <c r="I10" t="s">
        <v>223</v>
      </c>
      <c r="J10" t="s">
        <v>224</v>
      </c>
      <c r="K10" t="s">
        <v>225</v>
      </c>
      <c r="L10" t="s">
        <v>226</v>
      </c>
    </row>
    <row r="11" spans="1:12" x14ac:dyDescent="0.25">
      <c r="A11" s="248" t="s">
        <v>218</v>
      </c>
      <c r="B11" s="248" t="s">
        <v>219</v>
      </c>
      <c r="C11" s="248" t="s">
        <v>220</v>
      </c>
      <c r="D11" s="248" t="s">
        <v>469</v>
      </c>
      <c r="E11" s="248" t="s">
        <v>221</v>
      </c>
      <c r="F11" s="247"/>
      <c r="I11" s="257">
        <f>E35</f>
        <v>15067251911</v>
      </c>
      <c r="J11" s="258">
        <f>AVERAGE(D9,D18,D27,D36)</f>
        <v>577503767.25</v>
      </c>
      <c r="K11" s="259">
        <f>I11/J11</f>
        <v>26.090309302653299</v>
      </c>
      <c r="L11" s="260">
        <v>45047</v>
      </c>
    </row>
    <row r="12" spans="1:12" x14ac:dyDescent="0.25">
      <c r="A12" s="346">
        <v>849</v>
      </c>
      <c r="B12" s="250">
        <v>7037</v>
      </c>
      <c r="C12" s="261">
        <f>E3</f>
        <v>497588278</v>
      </c>
      <c r="D12" s="251">
        <v>5775580</v>
      </c>
      <c r="E12" s="262">
        <f>C12-D12</f>
        <v>491812698</v>
      </c>
      <c r="F12" s="247"/>
      <c r="G12" s="268">
        <f>SUM('INFORME ABRIL'!K115,'INFORME ABRIL'!K116,'INFORME ABRIL'!K117,'INFORME ABRIL'!K133,'INFORME ABRIL'!K134,'INFORME ABRIL'!K149)</f>
        <v>8572426</v>
      </c>
    </row>
    <row r="13" spans="1:12" x14ac:dyDescent="0.25">
      <c r="A13" s="346">
        <v>850</v>
      </c>
      <c r="B13" s="250">
        <v>7007</v>
      </c>
      <c r="C13" s="261">
        <f>E4</f>
        <v>114430497</v>
      </c>
      <c r="D13" s="251">
        <v>2700780</v>
      </c>
      <c r="E13" s="262">
        <f>C13-D13</f>
        <v>111729717</v>
      </c>
      <c r="F13" s="247"/>
      <c r="G13" s="268">
        <f>SUM('INFORME ABRIL'!K89,'INFORME ABRIL'!K102,'INFORME ABRIL'!K121,'INFORME ABRIL'!K150,'INFORME ABRIL'!K168)</f>
        <v>4009339</v>
      </c>
    </row>
    <row r="14" spans="1:12" x14ac:dyDescent="0.25">
      <c r="A14" s="346">
        <v>852</v>
      </c>
      <c r="B14" s="250">
        <v>6032</v>
      </c>
      <c r="C14" s="261">
        <f>E5</f>
        <v>16339877111</v>
      </c>
      <c r="D14" s="251">
        <v>660194680</v>
      </c>
      <c r="E14" s="262">
        <f>C14-D14</f>
        <v>15679682431</v>
      </c>
      <c r="F14" s="247"/>
      <c r="G14" s="268">
        <f>SUM('INFORME ABRIL'!G79:J79,'INFORME ABRIL'!G80:J80,'INFORME ABRIL'!K83,'INFORME ABRIL'!K84,'INFORME ABRIL'!K85,'INFORME ABRIL'!K86,'INFORME ABRIL'!K87,'INFORME ABRIL'!K88,'INFORME ABRIL'!K90,'INFORME ABRIL'!K91,'INFORME ABRIL'!K93,'INFORME ABRIL'!K94,'INFORME ABRIL'!K95,'INFORME ABRIL'!K96,'INFORME ABRIL'!K97,'INFORME ABRIL'!K98,'INFORME ABRIL'!K99,'INFORME ABRIL'!K100,'INFORME ABRIL'!K103,'INFORME ABRIL'!K104,'INFORME ABRIL'!K106,'INFORME ABRIL'!K107,'INFORME ABRIL'!K108,'INFORME ABRIL'!K109,'INFORME ABRIL'!K110,'INFORME ABRIL'!K111,'INFORME ABRIL'!K112,'INFORME ABRIL'!K119,'INFORME ABRIL'!K120,'INFORME ABRIL'!K124,'INFORME ABRIL'!K125,'INFORME ABRIL'!K126,'INFORME ABRIL'!K127,'INFORME ABRIL'!K128,'INFORME ABRIL'!K129,'INFORME ABRIL'!K130,'INFORME ABRIL'!K131,'INFORME ABRIL'!K132,'INFORME ABRIL'!K135,'INFORME ABRIL'!K136,'INFORME ABRIL'!K137,'INFORME ABRIL'!K138,'INFORME ABRIL'!K139,'INFORME ABRIL'!K140,'INFORME ABRIL'!K141,'INFORME ABRIL'!K142,'INFORME ABRIL'!K143,'INFORME ABRIL'!K144,'INFORME ABRIL'!K145,'INFORME ABRIL'!K146,'INFORME ABRIL'!K147,'INFORME ABRIL'!K148,'INFORME ABRIL'!K153,'INFORME ABRIL'!K154,'INFORME ABRIL'!K155,'INFORME ABRIL'!K156,'INFORME ABRIL'!K157,'INFORME ABRIL'!K158,'INFORME ABRIL'!K159,'INFORME ABRIL'!K160,'INFORME ABRIL'!K161,'INFORME ABRIL'!K162,'INFORME ABRIL'!K163,'INFORME ABRIL'!K164,'INFORME ABRIL'!K165,'INFORME ABRIL'!K166,'INFORME ABRIL'!K167,'INFORME ABRIL'!K171,'INFORME ABRIL'!K172,'INFORME ABRIL'!K173,'INFORME ABRIL'!K174,'INFORME ABRIL'!K175,'INFORME ABRIL'!K176,'INFORME ABRIL'!K177,'INFORME ABRIL'!K178,'INFORME ABRIL'!K179,'INFORME ABRIL'!K180,'INFORME ABRIL'!K181,'INFORME ABRIL'!K182,'INFORME ABRIL'!K183,'INFORME ABRIL'!K184,'INFORME ABRIL'!K185,'INFORME ABRIL'!K186,'INFORME ABRIL'!K187,'INFORME ABRIL'!K188,'INFORME ABRIL'!K189,'INFORME ABRIL'!K190,'INFORME ABRIL'!K191,'INFORME ABRIL'!K192,'INFORME ABRIL'!K193)</f>
        <v>518441910</v>
      </c>
    </row>
    <row r="15" spans="1:12" x14ac:dyDescent="0.25">
      <c r="A15" s="346" t="s">
        <v>454</v>
      </c>
      <c r="B15" s="250">
        <v>5119</v>
      </c>
      <c r="C15" s="261">
        <f>E6</f>
        <v>12476262</v>
      </c>
      <c r="D15" s="251">
        <v>7858766</v>
      </c>
      <c r="E15" s="262">
        <f>C15-D15</f>
        <v>4617496</v>
      </c>
      <c r="F15" s="247"/>
      <c r="G15" s="268">
        <f>SUM('INFORME ABRIL'!K92,'INFORME ABRIL'!K101,'INFORME ABRIL'!K105,'INFORME ABRIL'!K113,'INFORME ABRIL'!K114,'INFORME ABRIL'!K118,'INFORME ABRIL'!K122,'INFORME ABRIL'!K123,'INFORME ABRIL'!K151,'INFORME ABRIL'!K152,'INFORME ABRIL'!K169,'INFORME ABRIL'!K170)</f>
        <v>10508956</v>
      </c>
    </row>
    <row r="16" spans="1:12" x14ac:dyDescent="0.25">
      <c r="A16" s="250"/>
      <c r="B16" s="250"/>
      <c r="C16" s="261"/>
      <c r="D16" s="251"/>
      <c r="E16" s="262">
        <f>C16-D16</f>
        <v>0</v>
      </c>
      <c r="F16" s="247"/>
    </row>
    <row r="17" spans="1:10" x14ac:dyDescent="0.25">
      <c r="A17" s="449" t="s">
        <v>222</v>
      </c>
      <c r="B17" s="449"/>
      <c r="C17" s="449"/>
      <c r="D17" s="449"/>
      <c r="E17" s="252">
        <f>SUM(E12:E16)</f>
        <v>16287842342</v>
      </c>
      <c r="F17" s="263"/>
    </row>
    <row r="18" spans="1:10" x14ac:dyDescent="0.25">
      <c r="A18" s="247"/>
      <c r="B18" s="247"/>
      <c r="C18" s="254">
        <f>SUM(C12:C16)</f>
        <v>16964372148</v>
      </c>
      <c r="D18" s="255">
        <f>SUM(D12:D16)</f>
        <v>676529806</v>
      </c>
      <c r="E18" s="256"/>
    </row>
    <row r="19" spans="1:10" ht="15" customHeight="1" x14ac:dyDescent="0.25">
      <c r="A19" s="450" t="s">
        <v>474</v>
      </c>
      <c r="B19" s="450"/>
      <c r="C19" s="450"/>
      <c r="D19" s="450"/>
      <c r="E19" s="450"/>
    </row>
    <row r="20" spans="1:10" x14ac:dyDescent="0.25">
      <c r="A20" s="248" t="s">
        <v>218</v>
      </c>
      <c r="B20" s="248" t="s">
        <v>219</v>
      </c>
      <c r="C20" s="248" t="s">
        <v>220</v>
      </c>
      <c r="D20" s="248" t="s">
        <v>470</v>
      </c>
      <c r="E20" s="248" t="s">
        <v>221</v>
      </c>
    </row>
    <row r="21" spans="1:10" x14ac:dyDescent="0.25">
      <c r="A21" s="346">
        <v>849</v>
      </c>
      <c r="B21" s="250">
        <v>7037</v>
      </c>
      <c r="C21" s="261">
        <f>E12</f>
        <v>491812698</v>
      </c>
      <c r="D21" s="264">
        <v>0</v>
      </c>
      <c r="E21" s="262">
        <f>C21-D21</f>
        <v>491812698</v>
      </c>
      <c r="G21" s="258">
        <v>0</v>
      </c>
    </row>
    <row r="22" spans="1:10" x14ac:dyDescent="0.25">
      <c r="A22" s="346">
        <v>850</v>
      </c>
      <c r="B22" s="250">
        <v>7007</v>
      </c>
      <c r="C22" s="261">
        <f>E13</f>
        <v>111729717</v>
      </c>
      <c r="D22" s="264">
        <v>960492</v>
      </c>
      <c r="E22" s="262">
        <f>C22-D22</f>
        <v>110769225</v>
      </c>
      <c r="G22" s="268">
        <f>SUM('INFORME ABRIL'!K112,'INFORME ABRIL'!K113)</f>
        <v>2420839</v>
      </c>
    </row>
    <row r="23" spans="1:10" x14ac:dyDescent="0.25">
      <c r="A23" s="346">
        <v>852</v>
      </c>
      <c r="B23" s="250">
        <v>6032</v>
      </c>
      <c r="C23" s="261">
        <f>E14</f>
        <v>15679682431</v>
      </c>
      <c r="D23" s="251">
        <v>636159300</v>
      </c>
      <c r="E23" s="262">
        <f>C23-D23</f>
        <v>15043523131</v>
      </c>
      <c r="G23" s="258">
        <f>SUM('INFORME ABRIL'!G79:J79,'INFORME ABRIL'!G80:J80,'INFORME ABRIL'!K83,'INFORME ABRIL'!K84,'INFORME ABRIL'!K85,'INFORME ABRIL'!K86,'INFORME ABRIL'!K87,'INFORME ABRIL'!K88,'INFORME ABRIL'!K89,'INFORME ABRIL'!K90,'INFORME ABRIL'!K91,'INFORME ABRIL'!K92,'INFORME ABRIL'!K93,'INFORME ABRIL'!K94,'INFORME ABRIL'!K95,'INFORME ABRIL'!K96,'INFORME ABRIL'!K97,'INFORME ABRIL'!K98,'INFORME ABRIL'!K99,'INFORME ABRIL'!K100,'INFORME ABRIL'!K101,'INFORME ABRIL'!K102,'INFORME ABRIL'!K103,'INFORME ABRIL'!K104,'INFORME ABRIL'!K105,'INFORME ABRIL'!K106,'INFORME ABRIL'!K107,'INFORME ABRIL'!K108,'INFORME ABRIL'!K109,'INFORME ABRIL'!K110,'INFORME ABRIL'!K111,'INFORME ABRIL'!K114,'INFORME ABRIL'!K115,'INFORME ABRIL'!K116,'INFORME ABRIL'!K117,'INFORME ABRIL'!K118,'INFORME ABRIL'!K119,'INFORME ABRIL'!K120,'INFORME ABRIL'!K121,'INFORME ABRIL'!K122,'INFORME ABRIL'!K123,'INFORME ABRIL'!K124,'INFORME ABRIL'!K125,'INFORME ABRIL'!K127,'INFORME ABRIL'!K128,'INFORME ABRIL'!K129,'INFORME ABRIL'!K130,'INFORME ABRIL'!K131,'INFORME ABRIL'!K132,'INFORME ABRIL'!K133,'INFORME ABRIL'!K134,'INFORME ABRIL'!K135,'INFORME ABRIL'!K136,'INFORME ABRIL'!K138,'INFORME ABRIL'!K139,'INFORME ABRIL'!K140,'INFORME ABRIL'!K141,'INFORME ABRIL'!K142,'INFORME ABRIL'!K143,'INFORME ABRIL'!K145,'INFORME ABRIL'!K146,'INFORME ABRIL'!K148,'INFORME ABRIL'!K149,'INFORME ABRIL'!K150,'INFORME ABRIL'!K151,'INFORME ABRIL'!K152)</f>
        <v>528245954</v>
      </c>
      <c r="J23" s="265"/>
    </row>
    <row r="24" spans="1:10" x14ac:dyDescent="0.25">
      <c r="A24" s="346" t="s">
        <v>454</v>
      </c>
      <c r="B24" s="250">
        <v>5119</v>
      </c>
      <c r="C24" s="261">
        <f>E15</f>
        <v>4617496</v>
      </c>
      <c r="D24" s="264">
        <v>4114090</v>
      </c>
      <c r="E24" s="262">
        <f>C24-D24</f>
        <v>503406</v>
      </c>
      <c r="G24" s="268">
        <f>SUM('INFORME ABRIL'!K126,'INFORME ABRIL'!K137,'INFORME ABRIL'!K144,'INFORME ABRIL'!K147)</f>
        <v>3648473</v>
      </c>
    </row>
    <row r="25" spans="1:10" x14ac:dyDescent="0.25">
      <c r="A25" s="250"/>
      <c r="B25" s="250"/>
      <c r="C25" s="261"/>
      <c r="D25" s="251"/>
      <c r="E25" s="262">
        <f>C25-D25</f>
        <v>0</v>
      </c>
    </row>
    <row r="26" spans="1:10" x14ac:dyDescent="0.25">
      <c r="A26" s="449" t="s">
        <v>222</v>
      </c>
      <c r="B26" s="449"/>
      <c r="C26" s="449"/>
      <c r="D26" s="449"/>
      <c r="E26" s="252">
        <f>SUM(E21:E25)</f>
        <v>15646608460</v>
      </c>
      <c r="F26" s="263"/>
    </row>
    <row r="27" spans="1:10" x14ac:dyDescent="0.25">
      <c r="C27" s="266">
        <f>SUM(C21:C25)</f>
        <v>16287842342</v>
      </c>
      <c r="D27" s="255">
        <f>SUM(D21:D25)</f>
        <v>641233882</v>
      </c>
    </row>
    <row r="28" spans="1:10" ht="15" customHeight="1" x14ac:dyDescent="0.25">
      <c r="A28" s="450" t="s">
        <v>474</v>
      </c>
      <c r="B28" s="450"/>
      <c r="C28" s="450"/>
      <c r="D28" s="450"/>
      <c r="E28" s="450"/>
    </row>
    <row r="29" spans="1:10" x14ac:dyDescent="0.25">
      <c r="A29" s="248" t="s">
        <v>218</v>
      </c>
      <c r="B29" s="248" t="s">
        <v>219</v>
      </c>
      <c r="C29" s="248" t="s">
        <v>220</v>
      </c>
      <c r="D29" s="248" t="s">
        <v>471</v>
      </c>
      <c r="E29" s="248" t="s">
        <v>221</v>
      </c>
    </row>
    <row r="30" spans="1:10" x14ac:dyDescent="0.25">
      <c r="A30" s="346">
        <v>849</v>
      </c>
      <c r="B30" s="250">
        <v>7037</v>
      </c>
      <c r="C30" s="267">
        <f>E21</f>
        <v>491812698</v>
      </c>
      <c r="D30" s="267">
        <v>961567</v>
      </c>
      <c r="E30" s="267">
        <f>C30-D30</f>
        <v>490851131</v>
      </c>
      <c r="G30" s="268">
        <f>SUM('INFORME ABRIL'!K130)</f>
        <v>243100</v>
      </c>
    </row>
    <row r="31" spans="1:10" x14ac:dyDescent="0.25">
      <c r="A31" s="346">
        <v>850</v>
      </c>
      <c r="B31" s="250">
        <v>7007</v>
      </c>
      <c r="C31" s="267">
        <f>E22</f>
        <v>110769225</v>
      </c>
      <c r="D31" s="267">
        <v>1592016</v>
      </c>
      <c r="E31" s="267">
        <f>C31-D31</f>
        <v>109177209</v>
      </c>
      <c r="G31" s="268"/>
    </row>
    <row r="32" spans="1:10" x14ac:dyDescent="0.25">
      <c r="A32" s="346">
        <v>852</v>
      </c>
      <c r="B32" s="250">
        <v>6032</v>
      </c>
      <c r="C32" s="267">
        <f>E23</f>
        <v>15043523131</v>
      </c>
      <c r="D32" s="267">
        <v>576802966</v>
      </c>
      <c r="E32" s="267">
        <f>C32-D32</f>
        <v>14466720165</v>
      </c>
      <c r="G32" s="268">
        <f>SUM('INFORME ABRIL'!G79:J79,'INFORME ABRIL'!G80:J80,'INFORME ABRIL'!C708,'INFORME ABRIL'!K83,'INFORME ABRIL'!K84,'INFORME ABRIL'!K85,'INFORME ABRIL'!K86,'INFORME ABRIL'!K87,'INFORME ABRIL'!K88,'INFORME ABRIL'!K89,'INFORME ABRIL'!K90,'INFORME ABRIL'!K91,'INFORME ABRIL'!K92,'INFORME ABRIL'!K93,'INFORME ABRIL'!K94,'INFORME ABRIL'!K95,'INFORME ABRIL'!K96,'INFORME ABRIL'!K97,'INFORME ABRIL'!K98,'INFORME ABRIL'!K99,'INFORME ABRIL'!K100,'INFORME ABRIL'!K101,'INFORME ABRIL'!K102,'INFORME ABRIL'!K103,'INFORME ABRIL'!K104,'INFORME ABRIL'!K105,'INFORME ABRIL'!K106,'INFORME ABRIL'!K107,'INFORME ABRIL'!K108,'INFORME ABRIL'!K109,'INFORME ABRIL'!K110,'INFORME ABRIL'!K111,'INFORME ABRIL'!K112,'INFORME ABRIL'!K114,'INFORME ABRIL'!K115,'INFORME ABRIL'!K116,'INFORME ABRIL'!K117,'INFORME ABRIL'!K118,'INFORME ABRIL'!K119,'INFORME ABRIL'!K120,'INFORME ABRIL'!K121,'INFORME ABRIL'!K122,'INFORME ABRIL'!K123,'INFORME ABRIL'!K124,'INFORME ABRIL'!K125,'INFORME ABRIL'!K126,'INFORME ABRIL'!K127,'INFORME ABRIL'!K128,'INFORME ABRIL'!K131,'INFORME ABRIL'!K132,'INFORME ABRIL'!K133,'INFORME ABRIL'!K134,'INFORME ABRIL'!K135)</f>
        <v>514391257</v>
      </c>
    </row>
    <row r="33" spans="1:8" x14ac:dyDescent="0.25">
      <c r="A33" s="346" t="s">
        <v>454</v>
      </c>
      <c r="B33" s="250">
        <v>5119</v>
      </c>
      <c r="C33" s="267">
        <f>E24</f>
        <v>503406</v>
      </c>
      <c r="D33" s="267">
        <v>0</v>
      </c>
      <c r="E33" s="267">
        <f>C33-D33</f>
        <v>503406</v>
      </c>
      <c r="G33" s="268">
        <v>0</v>
      </c>
    </row>
    <row r="34" spans="1:8" x14ac:dyDescent="0.25">
      <c r="A34" s="250"/>
      <c r="B34" s="250"/>
      <c r="C34" s="267">
        <f>E25</f>
        <v>0</v>
      </c>
      <c r="D34" s="267"/>
      <c r="E34" s="267">
        <f>C34-D34</f>
        <v>0</v>
      </c>
      <c r="G34" s="268"/>
    </row>
    <row r="35" spans="1:8" x14ac:dyDescent="0.25">
      <c r="A35" s="449" t="s">
        <v>222</v>
      </c>
      <c r="B35" s="449"/>
      <c r="C35" s="449"/>
      <c r="D35" s="449"/>
      <c r="E35" s="257">
        <f>SUM(E30:E34)</f>
        <v>15067251911</v>
      </c>
      <c r="F35" s="263"/>
    </row>
    <row r="36" spans="1:8" x14ac:dyDescent="0.25">
      <c r="C36" s="266">
        <f>SUM(C30:C34)</f>
        <v>15646608460</v>
      </c>
      <c r="D36" s="255">
        <f>SUM(D30:D34)</f>
        <v>579356549</v>
      </c>
      <c r="E36" s="265"/>
    </row>
    <row r="37" spans="1:8" ht="15" customHeight="1" x14ac:dyDescent="0.25">
      <c r="A37" s="450" t="s">
        <v>474</v>
      </c>
      <c r="B37" s="450"/>
      <c r="C37" s="450"/>
      <c r="D37" s="450"/>
      <c r="E37" s="450"/>
    </row>
    <row r="38" spans="1:8" x14ac:dyDescent="0.25">
      <c r="A38" s="248" t="s">
        <v>218</v>
      </c>
      <c r="B38" s="248" t="s">
        <v>219</v>
      </c>
      <c r="C38" s="248" t="s">
        <v>220</v>
      </c>
      <c r="D38" s="248" t="s">
        <v>472</v>
      </c>
      <c r="E38" s="248" t="s">
        <v>221</v>
      </c>
    </row>
    <row r="39" spans="1:8" x14ac:dyDescent="0.25">
      <c r="A39" s="346">
        <v>849</v>
      </c>
      <c r="B39" s="250">
        <v>7037</v>
      </c>
      <c r="C39" s="267">
        <f>E30</f>
        <v>490851131</v>
      </c>
      <c r="D39" s="267">
        <v>2632429</v>
      </c>
      <c r="E39" s="267">
        <f>C39-D39</f>
        <v>488218702</v>
      </c>
      <c r="G39" s="265">
        <f>SUM('INFORME ABRIL'!K107,'INFORME ABRIL'!K115)</f>
        <v>3331546</v>
      </c>
      <c r="H39" s="265"/>
    </row>
    <row r="40" spans="1:8" x14ac:dyDescent="0.25">
      <c r="A40" s="346">
        <v>850</v>
      </c>
      <c r="B40" s="250">
        <v>7007</v>
      </c>
      <c r="C40" s="267">
        <f>E31</f>
        <v>109177209</v>
      </c>
      <c r="D40" s="267">
        <v>1592016</v>
      </c>
      <c r="E40" s="267">
        <f>C40-D40</f>
        <v>107585193</v>
      </c>
      <c r="G40" s="265">
        <f>SUM('INFORME ABRIL'!K108,'INFORME ABRIL'!K124,'INFORME ABRIL'!K132)</f>
        <v>4666320</v>
      </c>
      <c r="H40" s="265"/>
    </row>
    <row r="41" spans="1:8" x14ac:dyDescent="0.25">
      <c r="A41" s="346">
        <v>852</v>
      </c>
      <c r="B41" s="250">
        <v>6032</v>
      </c>
      <c r="C41" s="267">
        <f>E32</f>
        <v>14466720165</v>
      </c>
      <c r="D41" s="267">
        <v>529283837</v>
      </c>
      <c r="E41" s="267">
        <f>C41-D41</f>
        <v>13937436328</v>
      </c>
      <c r="G41" s="265">
        <f>SUM('INFORME ABRIL'!G79:J79,'INFORME ABRIL'!G80:J80,'INFORME ABRIL'!K83,'INFORME ABRIL'!K84,'INFORME ABRIL'!K85,'INFORME ABRIL'!K86,'INFORME ABRIL'!K87,'INFORME ABRIL'!K88,'INFORME ABRIL'!K89,'INFORME ABRIL'!K90,'INFORME ABRIL'!K91,'INFORME ABRIL'!K92,'INFORME ABRIL'!K93,'INFORME ABRIL'!K94,'INFORME ABRIL'!K95,'INFORME ABRIL'!K96,'INFORME ABRIL'!K97,'INFORME ABRIL'!K98,'INFORME ABRIL'!K99,'INFORME ABRIL'!K100,'INFORME ABRIL'!K101,'INFORME ABRIL'!K102,'INFORME ABRIL'!K103,'INFORME ABRIL'!K104,'INFORME ABRIL'!K105,'INFORME ABRIL'!K106,'INFORME ABRIL'!K109,'INFORME ABRIL'!K110,'INFORME ABRIL'!K111,'INFORME ABRIL'!K112,'INFORME ABRIL'!K113,'INFORME ABRIL'!K114,'INFORME ABRIL'!K116,'INFORME ABRIL'!K117,'INFORME ABRIL'!K118,'INFORME ABRIL'!K119,'INFORME ABRIL'!K120,'INFORME ABRIL'!K121,'INFORME ABRIL'!K122,'INFORME ABRIL'!K123,'INFORME ABRIL'!K125,'INFORME ABRIL'!K126,'INFORME ABRIL'!K127,'INFORME ABRIL'!K128,'INFORME ABRIL'!K129,'INFORME ABRIL'!K130,'INFORME ABRIL'!K131,'INFORME ABRIL'!K133,'INFORME ABRIL'!K134,'INFORME ABRIL'!K135,'INFORME ABRIL'!K136,'INFORME ABRIL'!K137,'INFORME ABRIL'!K138,'INFORME ABRIL'!K139,'INFORME ABRIL'!K140,'INFORME ABRIL'!K141,'INFORME ABRIL'!K142,'INFORME ABRIL'!K143)</f>
        <v>517609127</v>
      </c>
      <c r="H41" s="265"/>
    </row>
    <row r="42" spans="1:8" x14ac:dyDescent="0.25">
      <c r="A42" s="346" t="s">
        <v>454</v>
      </c>
      <c r="B42" s="250">
        <v>5119</v>
      </c>
      <c r="C42" s="267">
        <f>E33</f>
        <v>503406</v>
      </c>
      <c r="D42" s="267">
        <v>0</v>
      </c>
      <c r="E42" s="267">
        <f>C42-D42</f>
        <v>503406</v>
      </c>
      <c r="G42" s="265">
        <v>0</v>
      </c>
      <c r="H42" s="265"/>
    </row>
    <row r="43" spans="1:8" x14ac:dyDescent="0.25">
      <c r="A43" s="250"/>
      <c r="B43" s="250"/>
      <c r="C43" s="267">
        <f>E34</f>
        <v>0</v>
      </c>
      <c r="D43" s="267"/>
      <c r="E43" s="267">
        <f>C43-D43</f>
        <v>0</v>
      </c>
      <c r="G43" s="265"/>
      <c r="H43" s="265"/>
    </row>
    <row r="44" spans="1:8" x14ac:dyDescent="0.25">
      <c r="A44" s="449" t="s">
        <v>222</v>
      </c>
      <c r="B44" s="449"/>
      <c r="C44" s="449"/>
      <c r="D44" s="449"/>
      <c r="E44" s="257">
        <f>SUM(E39:E43)</f>
        <v>14533743629</v>
      </c>
      <c r="F44" s="263"/>
    </row>
    <row r="45" spans="1:8" x14ac:dyDescent="0.25">
      <c r="C45" s="266">
        <f>SUM(C39:C43)</f>
        <v>15067251911</v>
      </c>
      <c r="D45" s="255">
        <f>SUM(D39:D43)</f>
        <v>533508282</v>
      </c>
      <c r="E45" s="265"/>
    </row>
    <row r="46" spans="1:8" ht="15" customHeight="1" x14ac:dyDescent="0.25">
      <c r="A46" s="450" t="s">
        <v>474</v>
      </c>
      <c r="B46" s="450"/>
      <c r="C46" s="450"/>
      <c r="D46" s="450"/>
      <c r="E46" s="450"/>
    </row>
    <row r="47" spans="1:8" x14ac:dyDescent="0.25">
      <c r="A47" s="248" t="s">
        <v>218</v>
      </c>
      <c r="B47" s="248" t="s">
        <v>219</v>
      </c>
      <c r="C47" s="248" t="s">
        <v>220</v>
      </c>
      <c r="D47" s="248" t="s">
        <v>473</v>
      </c>
      <c r="E47" s="248" t="s">
        <v>221</v>
      </c>
    </row>
    <row r="48" spans="1:8" x14ac:dyDescent="0.25">
      <c r="A48" s="346">
        <v>849</v>
      </c>
      <c r="B48" s="250">
        <v>7037</v>
      </c>
      <c r="C48" s="267">
        <f>E39</f>
        <v>488218702</v>
      </c>
      <c r="D48" s="267">
        <v>3380334</v>
      </c>
      <c r="E48" s="267">
        <f>C48-D48</f>
        <v>484838368</v>
      </c>
      <c r="G48" s="268">
        <f>SUM('INFORME ABRIL'!K92,'INFORME ABRIL'!K93,'INFORME ABRIL'!K100)</f>
        <v>3522660</v>
      </c>
    </row>
    <row r="49" spans="1:7" x14ac:dyDescent="0.25">
      <c r="A49" s="346">
        <v>850</v>
      </c>
      <c r="B49" s="250">
        <v>7007</v>
      </c>
      <c r="C49" s="267">
        <f>E40</f>
        <v>107585193</v>
      </c>
      <c r="D49" s="267">
        <v>2808346</v>
      </c>
      <c r="E49" s="267">
        <f>C49-D49</f>
        <v>104776847</v>
      </c>
      <c r="G49" s="268">
        <f>SUM('INFORME ABRIL'!K104,'INFORME ABRIL'!K105,'INFORME ABRIL'!K136,'INFORME ABRIL'!K137)</f>
        <v>5284890</v>
      </c>
    </row>
    <row r="50" spans="1:7" x14ac:dyDescent="0.25">
      <c r="A50" s="346">
        <v>852</v>
      </c>
      <c r="B50" s="250">
        <v>6032</v>
      </c>
      <c r="C50" s="267">
        <f>E41</f>
        <v>13937436328</v>
      </c>
      <c r="D50" s="267">
        <v>595653285</v>
      </c>
      <c r="E50" s="267">
        <f>C50-D50</f>
        <v>13341783043</v>
      </c>
      <c r="G50" s="268">
        <f>SUM('INFORME ABRIL'!G79:J79,'INFORME ABRIL'!G80:J80,'INFORME ABRIL'!K83,'INFORME ABRIL'!K84,'INFORME ABRIL'!K85,'INFORME ABRIL'!K86,'INFORME ABRIL'!K87,'INFORME ABRIL'!K88,'INFORME ABRIL'!K89,'INFORME ABRIL'!K90,'INFORME ABRIL'!K91,'INFORME ABRIL'!K94,'INFORME ABRIL'!K95,'INFORME ABRIL'!K96,'INFORME ABRIL'!K97,'INFORME ABRIL'!K98,'INFORME ABRIL'!K99,'INFORME ABRIL'!K101,'INFORME ABRIL'!K102,'INFORME ABRIL'!K103,'INFORME ABRIL'!K106,'INFORME ABRIL'!K107,'INFORME ABRIL'!K108,'INFORME ABRIL'!K109,'INFORME ABRIL'!K110,'INFORME ABRIL'!K112,'INFORME ABRIL'!K113,'INFORME ABRIL'!K114,'INFORME ABRIL'!K115,'INFORME ABRIL'!K116,'INFORME ABRIL'!K117,'INFORME ABRIL'!K118,'INFORME ABRIL'!K119,'INFORME ABRIL'!K120,'INFORME ABRIL'!K121,'INFORME ABRIL'!K122,'INFORME ABRIL'!K123,'INFORME ABRIL'!K124,'INFORME ABRIL'!K125,'INFORME ABRIL'!K126,'INFORME ABRIL'!K127,'INFORME ABRIL'!K128,'INFORME ABRIL'!K129,'INFORME ABRIL'!K130,'INFORME ABRIL'!K131,'INFORME ABRIL'!K132,'INFORME ABRIL'!K133,'INFORME ABRIL'!K134,'INFORME ABRIL'!K135,'INFORME ABRIL'!K138,'INFORME ABRIL'!K139,'INFORME ABRIL'!K140,'INFORME ABRIL'!K141,'INFORME ABRIL'!K142,'INFORME ABRIL'!K143,'INFORME ABRIL'!K144,'INFORME ABRIL'!K145,'INFORME ABRIL'!K146,'INFORME ABRIL'!K147,'INFORME ABRIL'!K148,'INFORME ABRIL'!K149,'INFORME ABRIL'!K150,'INFORME ABRIL'!K151,'INFORME ABRIL'!K152,'INFORME ABRIL'!K153,'INFORME ABRIL'!K154,'INFORME ABRIL'!K155,'INFORME ABRIL'!K156,'INFORME ABRIL'!K157,'INFORME ABRIL'!K158,'INFORME ABRIL'!K159,'INFORME ABRIL'!K160,'INFORME ABRIL'!K161,'INFORME ABRIL'!K162,'INFORME ABRIL'!K163,'INFORME ABRIL'!K164,'INFORME ABRIL'!K165,'INFORME ABRIL'!K166,'INFORME ABRIL'!K167,'INFORME ABRIL'!K168,'INFORME ABRIL'!K169,'INFORME ABRIL'!K170)</f>
        <v>530770074</v>
      </c>
    </row>
    <row r="51" spans="1:7" x14ac:dyDescent="0.25">
      <c r="A51" s="346" t="s">
        <v>454</v>
      </c>
      <c r="B51" s="250">
        <v>5119</v>
      </c>
      <c r="C51" s="267">
        <f>E42</f>
        <v>503406</v>
      </c>
      <c r="D51" s="267">
        <v>503406</v>
      </c>
      <c r="E51" s="267">
        <f>C51-D51</f>
        <v>0</v>
      </c>
      <c r="G51" s="268">
        <f>SUM('INFORME ABRIL'!K111)</f>
        <v>1955007</v>
      </c>
    </row>
    <row r="52" spans="1:7" x14ac:dyDescent="0.25">
      <c r="A52" s="250"/>
      <c r="B52" s="250"/>
      <c r="C52" s="267">
        <f>E43</f>
        <v>0</v>
      </c>
      <c r="D52" s="267"/>
      <c r="E52" s="267">
        <f>C52-D52</f>
        <v>0</v>
      </c>
    </row>
    <row r="53" spans="1:7" x14ac:dyDescent="0.25">
      <c r="A53" s="449" t="s">
        <v>222</v>
      </c>
      <c r="B53" s="449"/>
      <c r="C53" s="449"/>
      <c r="D53" s="449"/>
      <c r="E53" s="257">
        <f>SUM(E48:E52)</f>
        <v>13931398258</v>
      </c>
      <c r="F53" s="263"/>
    </row>
    <row r="54" spans="1:7" x14ac:dyDescent="0.25">
      <c r="C54" s="266">
        <f>SUM(C48:C52)</f>
        <v>14533743629</v>
      </c>
      <c r="D54" s="255">
        <f>SUM(D48:D52)</f>
        <v>602345371</v>
      </c>
      <c r="E54" s="265"/>
    </row>
    <row r="55" spans="1:7" ht="15" customHeight="1" x14ac:dyDescent="0.25">
      <c r="A55" s="450" t="s">
        <v>474</v>
      </c>
      <c r="B55" s="450"/>
      <c r="C55" s="450"/>
      <c r="D55" s="450"/>
      <c r="E55" s="450"/>
      <c r="F55" s="269"/>
      <c r="G55" s="270"/>
    </row>
    <row r="56" spans="1:7" x14ac:dyDescent="0.25">
      <c r="A56" s="248" t="s">
        <v>218</v>
      </c>
      <c r="B56" s="248" t="s">
        <v>219</v>
      </c>
      <c r="C56" s="248" t="s">
        <v>220</v>
      </c>
      <c r="D56" s="248" t="s">
        <v>475</v>
      </c>
      <c r="E56" s="248" t="s">
        <v>221</v>
      </c>
    </row>
    <row r="57" spans="1:7" x14ac:dyDescent="0.25">
      <c r="A57" s="346">
        <v>849</v>
      </c>
      <c r="B57" s="250">
        <v>7037</v>
      </c>
      <c r="C57" s="267">
        <f>E48</f>
        <v>484838368</v>
      </c>
      <c r="D57" s="267">
        <v>4646709</v>
      </c>
      <c r="E57" s="267">
        <f>C57-D57</f>
        <v>480191659</v>
      </c>
      <c r="G57" s="268">
        <f>SUM('INFORME ABRIL'!K91,'INFORME ABRIL'!K92,'INFORME ABRIL'!K105,'INFORME ABRIL'!K112)</f>
        <v>4646709</v>
      </c>
    </row>
    <row r="58" spans="1:7" x14ac:dyDescent="0.25">
      <c r="A58" s="346">
        <v>850</v>
      </c>
      <c r="B58" s="250">
        <v>7007</v>
      </c>
      <c r="C58" s="267">
        <f>E49</f>
        <v>104776847</v>
      </c>
      <c r="D58" s="267">
        <v>3223959</v>
      </c>
      <c r="E58" s="267">
        <f>C58-D58</f>
        <v>101552888</v>
      </c>
      <c r="G58" s="268">
        <f>SUM('INFORME ABRIL'!K88,'INFORME ABRIL'!K94,'INFORME ABRIL'!K114)</f>
        <v>3223959</v>
      </c>
    </row>
    <row r="59" spans="1:7" x14ac:dyDescent="0.25">
      <c r="A59" s="346">
        <v>852</v>
      </c>
      <c r="B59" s="250">
        <v>6032</v>
      </c>
      <c r="C59" s="290">
        <f>E50</f>
        <v>13341783043</v>
      </c>
      <c r="D59" s="267">
        <v>529106294</v>
      </c>
      <c r="E59" s="267">
        <f>C59-D59</f>
        <v>12812676749</v>
      </c>
      <c r="G59" s="281">
        <f>SUM('INFORME ABRIL'!G79:J79,'INFORME ABRIL'!G80:J80,'INFORME ABRIL'!K83,'INFORME ABRIL'!K84,'INFORME ABRIL'!K85,'INFORME ABRIL'!K86,'INFORME ABRIL'!K87,'INFORME ABRIL'!K89,'INFORME ABRIL'!K90,'INFORME ABRIL'!K93,'INFORME ABRIL'!K96,'INFORME ABRIL'!K97,'INFORME ABRIL'!K98,'INFORME ABRIL'!K99,'INFORME ABRIL'!K100,'INFORME ABRIL'!K101,'INFORME ABRIL'!K102,'INFORME ABRIL'!K103,'INFORME ABRIL'!K106,'INFORME ABRIL'!K107,'INFORME ABRIL'!K108,'INFORME ABRIL'!K109,'INFORME ABRIL'!K110,'INFORME ABRIL'!K111,'INFORME ABRIL'!K115,'INFORME ABRIL'!K116,'INFORME ABRIL'!K117,'INFORME ABRIL'!K118,'INFORME ABRIL'!K119,'INFORME ABRIL'!K120,'INFORME ABRIL'!K121,'INFORME ABRIL'!K122,'INFORME ABRIL'!K123,'INFORME ABRIL'!K124,'INFORME ABRIL'!K125,'INFORME ABRIL'!K126,'INFORME ABRIL'!K128,'INFORME ABRIL'!K129,'INFORME ABRIL'!K132,'INFORME ABRIL'!K133,'INFORME ABRIL'!K134,'INFORME ABRIL'!K136,'INFORME ABRIL'!K137,'INFORME ABRIL'!K138,'INFORME ABRIL'!K139,'INFORME ABRIL'!K140,'INFORME ABRIL'!K141,'INFORME ABRIL'!K142,'INFORME ABRIL'!K143,'INFORME ABRIL'!K144,'INFORME ABRIL'!K145,'INFORME ABRIL'!K146,'INFORME ABRIL'!K147,'INFORME ABRIL'!K148,'INFORME ABRIL'!K149,'INFORME ABRIL'!K150,'INFORME ABRIL'!K151,'INFORME ABRIL'!K152,'INFORME ABRIL'!K153,'INFORME ABRIL'!K154,'INFORME ABRIL'!K155,'INFORME ABRIL'!K156,'INFORME ABRIL'!K157,'INFORME ABRIL'!K158,'INFORME ABRIL'!K159)</f>
        <v>529106294</v>
      </c>
    </row>
    <row r="60" spans="1:7" x14ac:dyDescent="0.25">
      <c r="A60" s="346" t="s">
        <v>454</v>
      </c>
      <c r="B60" s="250">
        <v>5119</v>
      </c>
      <c r="C60" s="267">
        <f>E51+75216000</f>
        <v>75216000</v>
      </c>
      <c r="D60" s="267">
        <v>4555669</v>
      </c>
      <c r="E60" s="267">
        <f>C60-D60</f>
        <v>70660331</v>
      </c>
      <c r="G60" s="268">
        <f>SUM('INFORME ABRIL'!K95,'INFORME ABRIL'!K104,'INFORME ABRIL'!K113,'INFORME ABRIL'!K127,'INFORME ABRIL'!K130,'INFORME ABRIL'!K131,'INFORME ABRIL'!K135)</f>
        <v>4555669</v>
      </c>
    </row>
    <row r="61" spans="1:7" x14ac:dyDescent="0.25">
      <c r="A61" s="250"/>
      <c r="B61" s="250"/>
      <c r="C61" s="267">
        <f>E52</f>
        <v>0</v>
      </c>
      <c r="D61" s="267"/>
      <c r="E61" s="267">
        <f>C61-D61</f>
        <v>0</v>
      </c>
    </row>
    <row r="62" spans="1:7" x14ac:dyDescent="0.25">
      <c r="A62" s="449" t="s">
        <v>222</v>
      </c>
      <c r="B62" s="449"/>
      <c r="C62" s="449"/>
      <c r="D62" s="449"/>
      <c r="E62" s="257">
        <f>SUM(E57:E61)</f>
        <v>13465081627</v>
      </c>
    </row>
    <row r="63" spans="1:7" x14ac:dyDescent="0.25">
      <c r="C63" s="266">
        <f>SUM(C57:C61)</f>
        <v>14006614258</v>
      </c>
      <c r="D63" s="255">
        <f>SUM(D57:D61)</f>
        <v>541532631</v>
      </c>
      <c r="E63" s="265"/>
    </row>
    <row r="64" spans="1:7" ht="15" customHeight="1" x14ac:dyDescent="0.25">
      <c r="A64" s="450" t="s">
        <v>474</v>
      </c>
      <c r="B64" s="450"/>
      <c r="C64" s="450"/>
      <c r="D64" s="450"/>
      <c r="E64" s="450"/>
    </row>
    <row r="65" spans="1:9" x14ac:dyDescent="0.25">
      <c r="A65" s="248" t="s">
        <v>218</v>
      </c>
      <c r="B65" s="248" t="s">
        <v>219</v>
      </c>
      <c r="C65" s="248" t="s">
        <v>220</v>
      </c>
      <c r="D65" s="248" t="s">
        <v>453</v>
      </c>
      <c r="E65" s="248" t="s">
        <v>221</v>
      </c>
    </row>
    <row r="66" spans="1:9" x14ac:dyDescent="0.25">
      <c r="A66" s="346">
        <v>849</v>
      </c>
      <c r="B66" s="250">
        <v>7037</v>
      </c>
      <c r="C66" s="267">
        <f>E57</f>
        <v>480191659</v>
      </c>
      <c r="D66" s="267"/>
      <c r="E66" s="267">
        <f>C66-D66</f>
        <v>480191659</v>
      </c>
      <c r="G66" s="271"/>
    </row>
    <row r="67" spans="1:9" x14ac:dyDescent="0.25">
      <c r="A67" s="346">
        <v>850</v>
      </c>
      <c r="B67" s="250">
        <v>7007</v>
      </c>
      <c r="C67" s="267">
        <f>E58</f>
        <v>101552888</v>
      </c>
      <c r="D67" s="267"/>
      <c r="E67" s="267">
        <f>C67-D67</f>
        <v>101552888</v>
      </c>
      <c r="G67" s="271"/>
    </row>
    <row r="68" spans="1:9" x14ac:dyDescent="0.25">
      <c r="A68" s="346">
        <v>852</v>
      </c>
      <c r="B68" s="250">
        <v>6032</v>
      </c>
      <c r="C68" s="267">
        <f>E59</f>
        <v>12812676749</v>
      </c>
      <c r="D68" s="267"/>
      <c r="E68" s="267">
        <f>C68-D68</f>
        <v>12812676749</v>
      </c>
      <c r="G68" s="271"/>
    </row>
    <row r="69" spans="1:9" x14ac:dyDescent="0.25">
      <c r="A69" s="346" t="s">
        <v>454</v>
      </c>
      <c r="B69" s="250">
        <v>5119</v>
      </c>
      <c r="C69" s="267">
        <f>E60</f>
        <v>70660331</v>
      </c>
      <c r="D69" s="267"/>
      <c r="E69" s="267">
        <f>C69-D69</f>
        <v>70660331</v>
      </c>
      <c r="G69" s="271"/>
    </row>
    <row r="70" spans="1:9" x14ac:dyDescent="0.25">
      <c r="A70" s="250"/>
      <c r="B70" s="250"/>
      <c r="C70" s="267">
        <f>E61</f>
        <v>0</v>
      </c>
      <c r="D70" s="267"/>
      <c r="E70" s="267">
        <f>C70-D70</f>
        <v>0</v>
      </c>
      <c r="G70" s="271"/>
    </row>
    <row r="71" spans="1:9" x14ac:dyDescent="0.25">
      <c r="A71" s="449" t="s">
        <v>222</v>
      </c>
      <c r="B71" s="449"/>
      <c r="C71" s="449"/>
      <c r="D71" s="449"/>
      <c r="E71" s="257">
        <f>SUM(E66:E70)</f>
        <v>13465081627</v>
      </c>
    </row>
    <row r="72" spans="1:9" x14ac:dyDescent="0.25">
      <c r="C72" s="266">
        <f>SUM(C66:C70)</f>
        <v>13465081627</v>
      </c>
      <c r="D72" s="272">
        <f>SUM(D66:D70)</f>
        <v>0</v>
      </c>
      <c r="E72" s="265"/>
    </row>
    <row r="73" spans="1:9" x14ac:dyDescent="0.25">
      <c r="A73" s="450"/>
      <c r="B73" s="450"/>
      <c r="C73" s="450"/>
      <c r="D73" s="450"/>
      <c r="E73" s="450"/>
    </row>
    <row r="74" spans="1:9" x14ac:dyDescent="0.25">
      <c r="A74" s="248"/>
      <c r="B74" s="248"/>
      <c r="C74" s="248"/>
      <c r="D74" s="248"/>
      <c r="E74" s="248"/>
    </row>
    <row r="75" spans="1:9" x14ac:dyDescent="0.25">
      <c r="A75" s="250"/>
      <c r="B75" s="250"/>
      <c r="C75" s="267"/>
      <c r="D75" s="273"/>
      <c r="E75" s="267"/>
      <c r="G75" s="268"/>
      <c r="H75" s="268"/>
      <c r="I75" s="258"/>
    </row>
    <row r="76" spans="1:9" x14ac:dyDescent="0.25">
      <c r="A76" s="250"/>
      <c r="B76" s="250"/>
      <c r="C76" s="267"/>
      <c r="D76" s="273"/>
      <c r="E76" s="267"/>
      <c r="G76" s="268"/>
    </row>
    <row r="77" spans="1:9" x14ac:dyDescent="0.25">
      <c r="A77" s="250"/>
      <c r="B77" s="250"/>
      <c r="C77" s="267"/>
      <c r="D77" s="273"/>
      <c r="E77" s="267"/>
      <c r="G77" s="268"/>
    </row>
    <row r="78" spans="1:9" x14ac:dyDescent="0.25">
      <c r="A78" s="250"/>
      <c r="B78" s="250"/>
      <c r="C78" s="267"/>
      <c r="D78" s="273"/>
      <c r="E78" s="267"/>
      <c r="G78" s="268"/>
    </row>
    <row r="79" spans="1:9" x14ac:dyDescent="0.25">
      <c r="A79" s="250"/>
      <c r="B79" s="250"/>
      <c r="C79" s="267"/>
      <c r="D79" s="273"/>
      <c r="E79" s="267"/>
      <c r="G79" s="268"/>
    </row>
    <row r="80" spans="1:9" x14ac:dyDescent="0.25">
      <c r="A80" s="449"/>
      <c r="B80" s="449"/>
      <c r="C80" s="449"/>
      <c r="D80" s="449"/>
      <c r="E80" s="274"/>
    </row>
    <row r="81" spans="1:9" x14ac:dyDescent="0.25">
      <c r="C81" s="265"/>
      <c r="D81" s="268"/>
      <c r="H81" s="258"/>
    </row>
    <row r="82" spans="1:9" x14ac:dyDescent="0.25">
      <c r="A82" s="450"/>
      <c r="B82" s="450"/>
      <c r="C82" s="450"/>
      <c r="D82" s="450"/>
      <c r="E82" s="450"/>
    </row>
    <row r="83" spans="1:9" x14ac:dyDescent="0.25">
      <c r="A83" s="248"/>
      <c r="B83" s="248"/>
      <c r="C83" s="248"/>
      <c r="D83" s="248"/>
      <c r="E83" s="248"/>
    </row>
    <row r="84" spans="1:9" x14ac:dyDescent="0.25">
      <c r="A84" s="250"/>
      <c r="B84" s="250"/>
      <c r="C84" s="267"/>
      <c r="D84" s="273"/>
      <c r="E84" s="267"/>
      <c r="G84" s="268"/>
      <c r="H84" s="265"/>
    </row>
    <row r="85" spans="1:9" x14ac:dyDescent="0.25">
      <c r="A85" s="250"/>
      <c r="B85" s="250"/>
      <c r="C85" s="267"/>
      <c r="D85" s="273"/>
      <c r="E85" s="267"/>
      <c r="G85" s="268"/>
    </row>
    <row r="86" spans="1:9" x14ac:dyDescent="0.25">
      <c r="A86" s="250"/>
      <c r="B86" s="250"/>
      <c r="C86" s="267"/>
      <c r="D86" s="273"/>
      <c r="E86" s="267"/>
      <c r="G86" s="268"/>
    </row>
    <row r="87" spans="1:9" x14ac:dyDescent="0.25">
      <c r="A87" s="250"/>
      <c r="B87" s="250"/>
      <c r="C87" s="267"/>
      <c r="D87" s="273"/>
      <c r="E87" s="267"/>
      <c r="G87" s="268"/>
    </row>
    <row r="88" spans="1:9" x14ac:dyDescent="0.25">
      <c r="A88" s="250"/>
      <c r="B88" s="250"/>
      <c r="C88" s="267"/>
      <c r="D88" s="273"/>
      <c r="E88" s="267"/>
      <c r="G88" s="268"/>
    </row>
    <row r="89" spans="1:9" x14ac:dyDescent="0.25">
      <c r="A89" s="449"/>
      <c r="B89" s="449"/>
      <c r="C89" s="449"/>
      <c r="D89" s="449"/>
      <c r="E89" s="274"/>
    </row>
    <row r="90" spans="1:9" x14ac:dyDescent="0.25">
      <c r="C90" s="265"/>
      <c r="D90" s="268"/>
      <c r="H90" s="448" t="s">
        <v>389</v>
      </c>
      <c r="I90" s="448"/>
    </row>
    <row r="91" spans="1:9" x14ac:dyDescent="0.25">
      <c r="A91" s="451"/>
      <c r="B91" s="451"/>
      <c r="C91" s="451"/>
      <c r="D91" s="451"/>
      <c r="E91" s="451"/>
      <c r="H91" s="447"/>
      <c r="I91" s="447"/>
    </row>
    <row r="92" spans="1:9" x14ac:dyDescent="0.25">
      <c r="A92" s="288"/>
      <c r="B92" s="288"/>
      <c r="C92" s="288"/>
      <c r="D92" s="288"/>
      <c r="E92" s="288"/>
      <c r="H92" s="447"/>
      <c r="I92" s="447"/>
    </row>
    <row r="93" spans="1:9" x14ac:dyDescent="0.25">
      <c r="A93" s="289"/>
      <c r="B93" s="289"/>
      <c r="C93" s="290"/>
      <c r="D93" s="291"/>
      <c r="E93" s="290"/>
      <c r="G93" s="268"/>
      <c r="H93" s="447"/>
      <c r="I93" s="447"/>
    </row>
    <row r="94" spans="1:9" x14ac:dyDescent="0.25">
      <c r="A94" s="289"/>
      <c r="B94" s="289"/>
      <c r="C94" s="290"/>
      <c r="D94" s="291"/>
      <c r="E94" s="290"/>
      <c r="G94" s="268"/>
      <c r="H94" s="447"/>
      <c r="I94" s="447"/>
    </row>
    <row r="95" spans="1:9" x14ac:dyDescent="0.25">
      <c r="A95" s="289"/>
      <c r="B95" s="289"/>
      <c r="C95" s="290"/>
      <c r="D95" s="292"/>
      <c r="E95" s="290"/>
      <c r="G95" s="292"/>
      <c r="H95" s="447"/>
      <c r="I95" s="447"/>
    </row>
    <row r="96" spans="1:9" x14ac:dyDescent="0.25">
      <c r="A96" s="289"/>
      <c r="B96" s="289"/>
      <c r="C96" s="290"/>
      <c r="D96" s="291"/>
      <c r="E96" s="290"/>
      <c r="H96" s="447"/>
      <c r="I96" s="447"/>
    </row>
    <row r="97" spans="1:9" x14ac:dyDescent="0.25">
      <c r="A97" s="289"/>
      <c r="B97" s="289"/>
      <c r="C97" s="290"/>
      <c r="D97" s="291"/>
      <c r="E97" s="290"/>
      <c r="G97" s="268"/>
      <c r="H97" s="447"/>
      <c r="I97" s="447"/>
    </row>
    <row r="98" spans="1:9" x14ac:dyDescent="0.25">
      <c r="E98" s="257"/>
    </row>
    <row r="99" spans="1:9" x14ac:dyDescent="0.25">
      <c r="C99" s="265"/>
      <c r="D99" s="258"/>
    </row>
    <row r="100" spans="1:9" x14ac:dyDescent="0.25">
      <c r="A100" s="248"/>
      <c r="B100" s="248"/>
      <c r="C100" s="248"/>
      <c r="D100" s="248"/>
      <c r="E100" s="248"/>
    </row>
    <row r="101" spans="1:9" x14ac:dyDescent="0.25">
      <c r="A101" s="250"/>
      <c r="B101" s="250"/>
      <c r="C101" s="267"/>
      <c r="D101" s="273"/>
      <c r="E101" s="267"/>
      <c r="G101" s="268"/>
    </row>
    <row r="102" spans="1:9" x14ac:dyDescent="0.25">
      <c r="A102" s="250"/>
      <c r="B102" s="250"/>
      <c r="C102" s="267"/>
      <c r="D102" s="273"/>
      <c r="E102" s="267"/>
      <c r="G102" s="268"/>
    </row>
    <row r="103" spans="1:9" x14ac:dyDescent="0.25">
      <c r="A103" s="250"/>
      <c r="B103" s="250"/>
      <c r="C103" s="267"/>
      <c r="D103" s="268"/>
      <c r="E103" s="267"/>
      <c r="G103" s="281"/>
    </row>
    <row r="104" spans="1:9" x14ac:dyDescent="0.25">
      <c r="A104" s="250"/>
      <c r="B104" s="250"/>
      <c r="C104" s="267"/>
      <c r="D104" s="279"/>
      <c r="E104" s="267"/>
      <c r="I104" s="258"/>
    </row>
    <row r="105" spans="1:9" x14ac:dyDescent="0.25">
      <c r="A105" s="250"/>
      <c r="B105" s="250"/>
      <c r="C105" s="267"/>
      <c r="D105" s="273"/>
      <c r="E105" s="267"/>
      <c r="G105" s="282"/>
    </row>
    <row r="106" spans="1:9" x14ac:dyDescent="0.25">
      <c r="E106" s="280"/>
    </row>
    <row r="107" spans="1:9" x14ac:dyDescent="0.25">
      <c r="C107" s="265"/>
      <c r="D107" s="268"/>
    </row>
    <row r="108" spans="1:9" x14ac:dyDescent="0.25">
      <c r="A108" s="248"/>
      <c r="B108" s="248"/>
      <c r="C108" s="248"/>
      <c r="D108" s="248"/>
      <c r="E108" s="248"/>
    </row>
    <row r="109" spans="1:9" x14ac:dyDescent="0.25">
      <c r="A109" s="250"/>
      <c r="B109" s="250"/>
      <c r="C109" s="267"/>
      <c r="D109" s="273"/>
      <c r="E109" s="267"/>
      <c r="G109" s="282"/>
    </row>
    <row r="110" spans="1:9" x14ac:dyDescent="0.25">
      <c r="A110" s="250"/>
      <c r="B110" s="250"/>
      <c r="C110" s="267"/>
      <c r="D110" s="291"/>
      <c r="E110" s="267"/>
      <c r="G110" s="282"/>
    </row>
    <row r="111" spans="1:9" x14ac:dyDescent="0.25">
      <c r="A111" s="250"/>
      <c r="B111" s="250"/>
      <c r="C111" s="267"/>
      <c r="D111" s="268"/>
      <c r="E111" s="267"/>
      <c r="G111" s="282"/>
    </row>
    <row r="112" spans="1:9" x14ac:dyDescent="0.25">
      <c r="A112" s="250"/>
      <c r="B112" s="250"/>
      <c r="C112" s="267"/>
      <c r="D112" s="273"/>
      <c r="E112" s="290"/>
    </row>
    <row r="113" spans="1:8" x14ac:dyDescent="0.25">
      <c r="A113" s="250"/>
      <c r="B113" s="250"/>
      <c r="C113" s="267"/>
      <c r="D113" s="273"/>
      <c r="E113" s="267"/>
      <c r="G113" s="268"/>
    </row>
    <row r="114" spans="1:8" x14ac:dyDescent="0.25">
      <c r="E114" s="274"/>
    </row>
    <row r="115" spans="1:8" x14ac:dyDescent="0.25">
      <c r="C115" s="265"/>
      <c r="D115" s="268"/>
    </row>
    <row r="116" spans="1:8" x14ac:dyDescent="0.25">
      <c r="A116" s="248"/>
      <c r="B116" s="248"/>
      <c r="C116" s="248"/>
      <c r="D116" s="248"/>
      <c r="E116" s="248"/>
    </row>
    <row r="117" spans="1:8" x14ac:dyDescent="0.25">
      <c r="A117" s="250"/>
      <c r="B117" s="250"/>
      <c r="C117" s="267"/>
      <c r="D117" s="273"/>
      <c r="E117" s="267"/>
      <c r="G117" s="268"/>
    </row>
    <row r="118" spans="1:8" x14ac:dyDescent="0.25">
      <c r="A118" s="250"/>
      <c r="B118" s="250"/>
      <c r="C118" s="267"/>
      <c r="D118" s="273"/>
      <c r="E118" s="267"/>
      <c r="G118" s="268"/>
      <c r="H118" s="258"/>
    </row>
    <row r="119" spans="1:8" x14ac:dyDescent="0.25">
      <c r="A119" s="250"/>
      <c r="B119" s="250"/>
      <c r="C119" s="267"/>
      <c r="D119" s="273"/>
      <c r="E119" s="267"/>
      <c r="G119" s="268"/>
    </row>
    <row r="120" spans="1:8" x14ac:dyDescent="0.25">
      <c r="A120" s="250"/>
      <c r="B120" s="250"/>
      <c r="C120" s="267"/>
      <c r="D120" s="279"/>
      <c r="E120" s="267"/>
    </row>
    <row r="121" spans="1:8" x14ac:dyDescent="0.25">
      <c r="A121" s="250"/>
      <c r="B121" s="250"/>
      <c r="C121" s="267"/>
      <c r="D121" s="279"/>
      <c r="E121" s="267"/>
    </row>
    <row r="122" spans="1:8" x14ac:dyDescent="0.25">
      <c r="E122" s="280"/>
    </row>
    <row r="123" spans="1:8" x14ac:dyDescent="0.25">
      <c r="C123" s="265"/>
      <c r="D123" s="268"/>
    </row>
    <row r="124" spans="1:8" x14ac:dyDescent="0.25">
      <c r="A124" s="248"/>
      <c r="B124" s="248"/>
      <c r="C124" s="248"/>
      <c r="D124" s="248"/>
      <c r="E124" s="248"/>
    </row>
    <row r="125" spans="1:8" x14ac:dyDescent="0.25">
      <c r="A125" s="250"/>
      <c r="B125" s="250"/>
      <c r="C125" s="273"/>
      <c r="D125" s="279"/>
      <c r="E125" s="279"/>
    </row>
    <row r="126" spans="1:8" x14ac:dyDescent="0.25">
      <c r="A126" s="250"/>
      <c r="B126" s="250"/>
      <c r="C126" s="273"/>
      <c r="D126" s="279"/>
      <c r="E126" s="279"/>
    </row>
    <row r="127" spans="1:8" x14ac:dyDescent="0.25">
      <c r="A127" s="250"/>
      <c r="B127" s="250"/>
      <c r="C127" s="273"/>
      <c r="D127" s="279"/>
      <c r="E127" s="279"/>
    </row>
    <row r="128" spans="1:8" x14ac:dyDescent="0.25">
      <c r="A128" s="250"/>
      <c r="B128" s="250"/>
      <c r="C128" s="273"/>
      <c r="D128" s="279"/>
      <c r="E128" s="279"/>
    </row>
    <row r="129" spans="1:5" x14ac:dyDescent="0.25">
      <c r="A129" s="250"/>
      <c r="B129" s="250"/>
      <c r="C129" s="273"/>
      <c r="D129" s="279"/>
      <c r="E129" s="279"/>
    </row>
    <row r="131" spans="1:5" x14ac:dyDescent="0.25">
      <c r="C131" s="258">
        <f>SUM(C125:C129)</f>
        <v>0</v>
      </c>
      <c r="D131">
        <f>SUM(D125:D129)</f>
        <v>0</v>
      </c>
      <c r="E131" s="283">
        <f>SUM(E125:E129)</f>
        <v>0</v>
      </c>
    </row>
  </sheetData>
  <mergeCells count="23">
    <mergeCell ref="A91:E91"/>
    <mergeCell ref="A55:E55"/>
    <mergeCell ref="A62:D62"/>
    <mergeCell ref="A64:E64"/>
    <mergeCell ref="A71:D71"/>
    <mergeCell ref="A73:E73"/>
    <mergeCell ref="A80:D80"/>
    <mergeCell ref="H91:I97"/>
    <mergeCell ref="H90:I90"/>
    <mergeCell ref="A53:D53"/>
    <mergeCell ref="A1:E1"/>
    <mergeCell ref="A8:D8"/>
    <mergeCell ref="A10:E10"/>
    <mergeCell ref="A17:D17"/>
    <mergeCell ref="A19:E19"/>
    <mergeCell ref="A26:D26"/>
    <mergeCell ref="A28:E28"/>
    <mergeCell ref="A35:D35"/>
    <mergeCell ref="A37:E37"/>
    <mergeCell ref="A44:D44"/>
    <mergeCell ref="A46:E46"/>
    <mergeCell ref="A82:E82"/>
    <mergeCell ref="A89:D89"/>
  </mergeCells>
  <pageMargins left="0.7" right="0.7" top="0.75" bottom="0.75" header="0.3" footer="0.3"/>
  <pageSetup paperSize="9" orientation="portrait" r:id="rId1"/>
  <legacy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9</vt:i4>
      </vt:variant>
      <vt:variant>
        <vt:lpstr>Rangos con nombre</vt:lpstr>
      </vt:variant>
      <vt:variant>
        <vt:i4>7</vt:i4>
      </vt:variant>
    </vt:vector>
  </HeadingPairs>
  <TitlesOfParts>
    <vt:vector size="16" baseType="lpstr">
      <vt:lpstr>02 DE ABRIL</vt:lpstr>
      <vt:lpstr>05 DE ABRIL</vt:lpstr>
      <vt:lpstr>12 DE ABRIL</vt:lpstr>
      <vt:lpstr>19 DE ABRIL</vt:lpstr>
      <vt:lpstr>26 DE ABRIL</vt:lpstr>
      <vt:lpstr>INFORME ABRIL</vt:lpstr>
      <vt:lpstr>PLANTILLA </vt:lpstr>
      <vt:lpstr>HUGO </vt:lpstr>
      <vt:lpstr>SALDOS POR PROYECTO</vt:lpstr>
      <vt:lpstr>'02 DE ABRIL'!Área_de_impresión</vt:lpstr>
      <vt:lpstr>'05 DE ABRIL'!Área_de_impresión</vt:lpstr>
      <vt:lpstr>'12 DE ABRIL'!Área_de_impresión</vt:lpstr>
      <vt:lpstr>'19 DE ABRIL'!Área_de_impresión</vt:lpstr>
      <vt:lpstr>'26 DE ABRIL'!Área_de_impresión</vt:lpstr>
      <vt:lpstr>'INFORME ABRIL'!Área_de_impresión</vt:lpstr>
      <vt:lpstr>'PLANTILLA '!Área_de_impresión</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LUIS MARTINEZ</dc:creator>
  <cp:lastModifiedBy>Mauricio Orlando Novoa Montenegro</cp:lastModifiedBy>
  <cp:lastPrinted>2025-12-04T16:36:34Z</cp:lastPrinted>
  <dcterms:created xsi:type="dcterms:W3CDTF">2023-05-04T13:56:57Z</dcterms:created>
  <dcterms:modified xsi:type="dcterms:W3CDTF">2026-05-05T23:33:33Z</dcterms:modified>
</cp:coreProperties>
</file>