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YONNE\Desktop\BIENESTAR\PROCESOS\092\EQUIDAD DE GENERO\"/>
    </mc:Choice>
  </mc:AlternateContent>
  <xr:revisionPtr revIDLastSave="0" documentId="8_{7FB1A054-6266-4856-9E78-4A5259B25403}" xr6:coauthVersionLast="47" xr6:coauthVersionMax="47" xr10:uidLastSave="{00000000-0000-0000-0000-000000000000}"/>
  <bookViews>
    <workbookView xWindow="-110" yWindow="-110" windowWidth="19420" windowHeight="10300" xr2:uid="{E927D475-791C-4538-AFD1-6E312F2C2495}"/>
  </bookViews>
  <sheets>
    <sheet name="PRESUPUESTO PROYECTO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07" i="2" l="1"/>
  <c r="I108" i="2"/>
  <c r="I109" i="2"/>
  <c r="I110" i="2"/>
  <c r="I113" i="2"/>
  <c r="J113" i="2" s="1"/>
  <c r="I114" i="2"/>
  <c r="J114" i="2" s="1"/>
  <c r="I115" i="2"/>
  <c r="J115" i="2" s="1"/>
  <c r="I116" i="2"/>
  <c r="I117" i="2"/>
  <c r="J117" i="2" s="1"/>
  <c r="I118" i="2"/>
  <c r="I119" i="2"/>
  <c r="J119" i="2" s="1"/>
  <c r="I120" i="2"/>
  <c r="J120" i="2" s="1"/>
  <c r="I124" i="2"/>
  <c r="J124" i="2" s="1"/>
  <c r="I132" i="2"/>
  <c r="J132" i="2" s="1"/>
  <c r="I135" i="2"/>
  <c r="J135" i="2" s="1"/>
  <c r="I141" i="2"/>
  <c r="I142" i="2"/>
  <c r="J142" i="2" s="1"/>
  <c r="J107" i="2"/>
  <c r="J108" i="2"/>
  <c r="J109" i="2"/>
  <c r="J110" i="2"/>
  <c r="J116" i="2"/>
  <c r="J118" i="2"/>
  <c r="J141" i="2"/>
  <c r="J143" i="2" s="1"/>
  <c r="I106" i="2"/>
  <c r="J106" i="2" s="1"/>
  <c r="I89" i="2"/>
  <c r="J89" i="2" s="1"/>
  <c r="I90" i="2"/>
  <c r="J90" i="2" s="1"/>
  <c r="I92" i="2"/>
  <c r="J92" i="2" s="1"/>
  <c r="I93" i="2"/>
  <c r="J93" i="2" s="1"/>
  <c r="I94" i="2"/>
  <c r="J94" i="2" s="1"/>
  <c r="I96" i="2"/>
  <c r="J96" i="2" s="1"/>
  <c r="I99" i="2"/>
  <c r="J99" i="2" s="1"/>
  <c r="I88" i="2"/>
  <c r="J88" i="2" s="1"/>
  <c r="J27" i="2"/>
  <c r="J57" i="2"/>
  <c r="J70" i="2"/>
  <c r="I23" i="2"/>
  <c r="J23" i="2" s="1"/>
  <c r="I24" i="2"/>
  <c r="J24" i="2" s="1"/>
  <c r="I25" i="2"/>
  <c r="J25" i="2" s="1"/>
  <c r="I27" i="2"/>
  <c r="I28" i="2"/>
  <c r="J28" i="2" s="1"/>
  <c r="I29" i="2"/>
  <c r="J29" i="2" s="1"/>
  <c r="I30" i="2"/>
  <c r="J30" i="2" s="1"/>
  <c r="I34" i="2"/>
  <c r="J34" i="2" s="1"/>
  <c r="I51" i="2"/>
  <c r="J51" i="2" s="1"/>
  <c r="I52" i="2"/>
  <c r="J52" i="2" s="1"/>
  <c r="I53" i="2"/>
  <c r="J53" i="2" s="1"/>
  <c r="I54" i="2"/>
  <c r="J54" i="2" s="1"/>
  <c r="I55" i="2"/>
  <c r="J55" i="2" s="1"/>
  <c r="I56" i="2"/>
  <c r="J56" i="2" s="1"/>
  <c r="I57" i="2"/>
  <c r="I58" i="2"/>
  <c r="J58" i="2" s="1"/>
  <c r="I59" i="2"/>
  <c r="J59" i="2" s="1"/>
  <c r="I60" i="2"/>
  <c r="J60" i="2" s="1"/>
  <c r="I61" i="2"/>
  <c r="J61" i="2" s="1"/>
  <c r="I62" i="2"/>
  <c r="J62" i="2" s="1"/>
  <c r="I63" i="2"/>
  <c r="J63" i="2" s="1"/>
  <c r="I66" i="2"/>
  <c r="J66" i="2" s="1"/>
  <c r="I67" i="2"/>
  <c r="J67" i="2" s="1"/>
  <c r="I68" i="2"/>
  <c r="J68" i="2" s="1"/>
  <c r="I69" i="2"/>
  <c r="J69" i="2" s="1"/>
  <c r="I70" i="2"/>
  <c r="I71" i="2"/>
  <c r="J71" i="2" s="1"/>
  <c r="I72" i="2"/>
  <c r="J72" i="2" s="1"/>
  <c r="I73" i="2"/>
  <c r="J73" i="2" s="1"/>
  <c r="I75" i="2"/>
  <c r="J75" i="2" s="1"/>
  <c r="I76" i="2"/>
  <c r="J76" i="2" s="1"/>
  <c r="I22" i="2"/>
  <c r="J22" i="2" s="1"/>
  <c r="J10" i="2"/>
  <c r="I5" i="2"/>
  <c r="J5" i="2" s="1"/>
  <c r="I6" i="2"/>
  <c r="J6" i="2" s="1"/>
  <c r="I7" i="2"/>
  <c r="J7" i="2" s="1"/>
  <c r="I9" i="2"/>
  <c r="J9" i="2" s="1"/>
  <c r="I10" i="2"/>
  <c r="I11" i="2"/>
  <c r="I12" i="2"/>
  <c r="J12" i="2" s="1"/>
  <c r="I13" i="2"/>
  <c r="J13" i="2" s="1"/>
  <c r="I15" i="2"/>
  <c r="J15" i="2" s="1"/>
  <c r="F4" i="2"/>
  <c r="G4" i="2" s="1"/>
  <c r="G8" i="2" s="1"/>
  <c r="G5" i="2"/>
  <c r="G6" i="2"/>
  <c r="G7" i="2"/>
  <c r="G9" i="2"/>
  <c r="G10" i="2"/>
  <c r="E11" i="2"/>
  <c r="G11" i="2"/>
  <c r="G12" i="2"/>
  <c r="G13" i="2"/>
  <c r="G15" i="2"/>
  <c r="G22" i="2"/>
  <c r="G23" i="2"/>
  <c r="G24" i="2"/>
  <c r="G25" i="2"/>
  <c r="G27" i="2"/>
  <c r="G28" i="2"/>
  <c r="G29" i="2"/>
  <c r="G30" i="2"/>
  <c r="F33" i="2"/>
  <c r="G33" i="2" s="1"/>
  <c r="F34" i="2"/>
  <c r="G34" i="2"/>
  <c r="F35" i="2"/>
  <c r="I35" i="2" s="1"/>
  <c r="J35" i="2" s="1"/>
  <c r="G35" i="2"/>
  <c r="F36" i="2"/>
  <c r="G36" i="2" s="1"/>
  <c r="F37" i="2"/>
  <c r="I37" i="2" s="1"/>
  <c r="J37" i="2" s="1"/>
  <c r="F38" i="2"/>
  <c r="G38" i="2" s="1"/>
  <c r="F39" i="2"/>
  <c r="I39" i="2" s="1"/>
  <c r="J39" i="2" s="1"/>
  <c r="G39" i="2"/>
  <c r="F40" i="2"/>
  <c r="G40" i="2" s="1"/>
  <c r="F41" i="2"/>
  <c r="G41" i="2" s="1"/>
  <c r="F42" i="2"/>
  <c r="I42" i="2" s="1"/>
  <c r="J42" i="2" s="1"/>
  <c r="F43" i="2"/>
  <c r="G43" i="2" s="1"/>
  <c r="F44" i="2"/>
  <c r="G44" i="2" s="1"/>
  <c r="F45" i="2"/>
  <c r="I45" i="2" s="1"/>
  <c r="J45" i="2" s="1"/>
  <c r="G45" i="2"/>
  <c r="F46" i="2"/>
  <c r="G46" i="2" s="1"/>
  <c r="F47" i="2"/>
  <c r="G47" i="2" s="1"/>
  <c r="F48" i="2"/>
  <c r="G48" i="2" s="1"/>
  <c r="F49" i="2"/>
  <c r="G49" i="2" s="1"/>
  <c r="G51" i="2"/>
  <c r="G52" i="2"/>
  <c r="G53" i="2"/>
  <c r="G54" i="2"/>
  <c r="G55" i="2"/>
  <c r="G56" i="2"/>
  <c r="G57" i="2"/>
  <c r="G58" i="2"/>
  <c r="G59" i="2"/>
  <c r="G60" i="2"/>
  <c r="G61" i="2"/>
  <c r="G62" i="2"/>
  <c r="G63" i="2"/>
  <c r="F64" i="2"/>
  <c r="I64" i="2" s="1"/>
  <c r="J64" i="2" s="1"/>
  <c r="F65" i="2"/>
  <c r="I65" i="2" s="1"/>
  <c r="J65" i="2" s="1"/>
  <c r="G66" i="2"/>
  <c r="G67" i="2"/>
  <c r="G68" i="2"/>
  <c r="G69" i="2"/>
  <c r="G70" i="2"/>
  <c r="G71" i="2"/>
  <c r="G72" i="2"/>
  <c r="G73" i="2"/>
  <c r="G75" i="2"/>
  <c r="G76" i="2"/>
  <c r="G101" i="2"/>
  <c r="G106" i="2"/>
  <c r="G107" i="2"/>
  <c r="G108" i="2"/>
  <c r="G109" i="2"/>
  <c r="G110" i="2"/>
  <c r="F111" i="2"/>
  <c r="G111" i="2" s="1"/>
  <c r="G113" i="2"/>
  <c r="G114" i="2"/>
  <c r="G117" i="2"/>
  <c r="G118" i="2"/>
  <c r="F121" i="2"/>
  <c r="I121" i="2" s="1"/>
  <c r="J121" i="2" s="1"/>
  <c r="F123" i="2"/>
  <c r="G123" i="2" s="1"/>
  <c r="F124" i="2"/>
  <c r="G124" i="2" s="1"/>
  <c r="F125" i="2"/>
  <c r="I125" i="2" s="1"/>
  <c r="J125" i="2" s="1"/>
  <c r="F126" i="2"/>
  <c r="I126" i="2" s="1"/>
  <c r="J126" i="2" s="1"/>
  <c r="F127" i="2"/>
  <c r="G127" i="2" s="1"/>
  <c r="F128" i="2"/>
  <c r="G128" i="2" s="1"/>
  <c r="F129" i="2"/>
  <c r="I129" i="2" s="1"/>
  <c r="J129" i="2" s="1"/>
  <c r="G129" i="2"/>
  <c r="F130" i="2"/>
  <c r="G130" i="2" s="1"/>
  <c r="F131" i="2"/>
  <c r="I131" i="2" s="1"/>
  <c r="J131" i="2" s="1"/>
  <c r="G132" i="2"/>
  <c r="F134" i="2"/>
  <c r="G134" i="2" s="1"/>
  <c r="F135" i="2"/>
  <c r="G135" i="2"/>
  <c r="F136" i="2"/>
  <c r="G136" i="2" s="1"/>
  <c r="F137" i="2"/>
  <c r="I137" i="2" s="1"/>
  <c r="J137" i="2" s="1"/>
  <c r="G137" i="2"/>
  <c r="F138" i="2"/>
  <c r="G138" i="2" s="1"/>
  <c r="F139" i="2"/>
  <c r="G139" i="2" s="1"/>
  <c r="G141" i="2"/>
  <c r="G142" i="2"/>
  <c r="G143" i="2"/>
  <c r="J100" i="2" l="1"/>
  <c r="J91" i="2"/>
  <c r="G121" i="2"/>
  <c r="G140" i="2" s="1"/>
  <c r="G42" i="2"/>
  <c r="I38" i="2"/>
  <c r="J38" i="2" s="1"/>
  <c r="I128" i="2"/>
  <c r="J128" i="2" s="1"/>
  <c r="G131" i="2"/>
  <c r="G126" i="2"/>
  <c r="I136" i="2"/>
  <c r="J136" i="2" s="1"/>
  <c r="I127" i="2"/>
  <c r="J127" i="2" s="1"/>
  <c r="G125" i="2"/>
  <c r="I33" i="2"/>
  <c r="J33" i="2" s="1"/>
  <c r="I134" i="2"/>
  <c r="J134" i="2" s="1"/>
  <c r="G16" i="2"/>
  <c r="G17" i="2" s="1"/>
  <c r="J11" i="2"/>
  <c r="J16" i="2" s="1"/>
  <c r="I49" i="2"/>
  <c r="J49" i="2" s="1"/>
  <c r="I123" i="2"/>
  <c r="J123" i="2" s="1"/>
  <c r="J140" i="2" s="1"/>
  <c r="G77" i="2"/>
  <c r="I43" i="2"/>
  <c r="J43" i="2" s="1"/>
  <c r="I139" i="2"/>
  <c r="J139" i="2" s="1"/>
  <c r="I130" i="2"/>
  <c r="J130" i="2" s="1"/>
  <c r="G65" i="2"/>
  <c r="G37" i="2"/>
  <c r="I138" i="2"/>
  <c r="J138" i="2" s="1"/>
  <c r="I111" i="2"/>
  <c r="J111" i="2" s="1"/>
  <c r="J112" i="2" s="1"/>
  <c r="J77" i="2"/>
  <c r="J26" i="2"/>
  <c r="I4" i="2"/>
  <c r="J4" i="2" s="1"/>
  <c r="J8" i="2" s="1"/>
  <c r="I48" i="2"/>
  <c r="J48" i="2" s="1"/>
  <c r="I40" i="2"/>
  <c r="J40" i="2" s="1"/>
  <c r="I41" i="2"/>
  <c r="J41" i="2" s="1"/>
  <c r="G64" i="2"/>
  <c r="I47" i="2"/>
  <c r="J47" i="2" s="1"/>
  <c r="G26" i="2"/>
  <c r="I46" i="2"/>
  <c r="J46" i="2" s="1"/>
  <c r="I44" i="2"/>
  <c r="J44" i="2" s="1"/>
  <c r="I36" i="2"/>
  <c r="J36" i="2" s="1"/>
  <c r="J74" i="2" s="1"/>
  <c r="J78" i="2" s="1"/>
  <c r="G112" i="2"/>
  <c r="J144" i="2" l="1"/>
  <c r="J145" i="2" s="1"/>
  <c r="J146" i="2" s="1"/>
  <c r="G74" i="2"/>
  <c r="G78" i="2" s="1"/>
  <c r="J17" i="2"/>
  <c r="J101" i="2"/>
  <c r="G144" i="2"/>
  <c r="G145" i="2" s="1"/>
  <c r="G146" i="2" s="1"/>
</calcChain>
</file>

<file path=xl/sharedStrings.xml><?xml version="1.0" encoding="utf-8"?>
<sst xmlns="http://schemas.openxmlformats.org/spreadsheetml/2006/main" count="310" uniqueCount="157">
  <si>
    <r>
      <rPr>
        <b/>
        <sz val="11"/>
        <rFont val="Calibri"/>
        <family val="2"/>
        <scheme val="minor"/>
      </rPr>
      <t>Nota:</t>
    </r>
    <r>
      <rPr>
        <sz val="11"/>
        <color theme="1"/>
        <rFont val="Calibri"/>
        <family val="2"/>
        <scheme val="minor"/>
      </rPr>
      <t xml:space="preserve">Los  impuestos, como el IVA, la Retefuente y la Reteica, se aplicarán según la persona jurídica que presente la oferta para cubrir la necesidad. Esto se hará sin perjuicio de que la Alcaldía del Distrito de Santiago de Cali deba implementar nuevas deducciones e impuestos conforme a normativas legales superiores que entren en vigor después de la emisión de este documento. En cualquier caso, al presentar la propuesta, se entenderá que el proponente acepta la forma de pago y todas las deducciones y retenciones aplicables.
</t>
    </r>
  </si>
  <si>
    <r>
      <rPr>
        <b/>
        <sz val="11"/>
        <color theme="1"/>
        <rFont val="Calibri"/>
        <family val="2"/>
        <scheme val="minor"/>
      </rPr>
      <t>Nota</t>
    </r>
    <r>
      <rPr>
        <sz val="11"/>
        <color theme="1"/>
        <rFont val="Calibri"/>
        <family val="2"/>
        <scheme val="minor"/>
      </rPr>
      <t>: Las estampillas relacionadas pueden ser modificadas de conformidad con los requerimientos establecidos por los lineamientos del Departamento Administrativo de Hacienda.</t>
    </r>
  </si>
  <si>
    <t xml:space="preserve">DEDUCCIONES </t>
  </si>
  <si>
    <t>TOTAL PRESUPUESTO</t>
  </si>
  <si>
    <t>TOTAL PROYECTO COMUNA 21</t>
  </si>
  <si>
    <t>TOTAL ACTIVIDAD 1.1.3</t>
  </si>
  <si>
    <t>Número</t>
  </si>
  <si>
    <t>Realizar Sistematización de los procesos formativos y encuentros pedagogicos de la comuna 21</t>
  </si>
  <si>
    <t>Realizar caracterización de las iniciativas sociales o productivas de las mujeres de la comuna 21</t>
  </si>
  <si>
    <t>Realizar seguimiento al fortalecimiento de las iniciativas sociales o productivas de las mujeres</t>
  </si>
  <si>
    <t>1.1.3</t>
  </si>
  <si>
    <t>TOTAL ACTIVIDAD 1.1.2</t>
  </si>
  <si>
    <t>Dinamizador de la jornada de clausura o salida de cierre pedagogico</t>
  </si>
  <si>
    <t>Expresiones artisticas</t>
  </si>
  <si>
    <t>Suministrar servicio de transporte en bus para el desplazamiento de las mujeres al encuentro</t>
  </si>
  <si>
    <t xml:space="preserve">Suministrar refrigerio en encuentro pedagogico </t>
  </si>
  <si>
    <t>Suministrar almuerzo para encuentro pedagogico</t>
  </si>
  <si>
    <t>Adquirir entrada a sitio de encuentro para jornada pedagogica</t>
  </si>
  <si>
    <t>Realizar encuentro pedagogico de los procesos formativos</t>
  </si>
  <si>
    <t>Adquirir cuello 2 metros</t>
  </si>
  <si>
    <t>Adquirir 2 Hilazas</t>
  </si>
  <si>
    <t>Adquirir 2 hilos para cada una</t>
  </si>
  <si>
    <t>Adquirir resortes y encajes</t>
  </si>
  <si>
    <t>Adquirir 6 metros Tela Fria para cada mujer</t>
  </si>
  <si>
    <t>Adquirir Revista de moldes</t>
  </si>
  <si>
    <t>Adquirir Regla</t>
  </si>
  <si>
    <t>Adquirir Pulidor</t>
  </si>
  <si>
    <t>Adquirir Metro</t>
  </si>
  <si>
    <t>Adquirir Tijera para corte de telas</t>
  </si>
  <si>
    <t>Realizar entrega de Kit para confección</t>
  </si>
  <si>
    <t>Alquiler de espacios para los procesos formativos</t>
  </si>
  <si>
    <t>Alquiler de espacios para el proceso formativo de seguridad y vigilancia</t>
  </si>
  <si>
    <t>Adquirir agenda con lapicero para el proceso formativo de las mujeres</t>
  </si>
  <si>
    <t>Suministrar complemento nutricional Tipo III que incluya: Minuta Patrón: Una proteína animal (85 gramos), un carbohidrato (60 gramos), 1 fruta (150 gramos), una bebida de jugo natural (200ml). Esta minuta patrón se suministrará conforme el ciclo de menú formulado por profesional nutricionista del organismo.</t>
  </si>
  <si>
    <t>Adquirir refrigerios para las jornadas de capacitación</t>
  </si>
  <si>
    <t>Adquirir pasajes para el desplazamiento de las mujeres al taller de confección</t>
  </si>
  <si>
    <t>Adquirir tarjetas de mio para el desplazamiento de las mujeres al taller de confección</t>
  </si>
  <si>
    <t>Adquirir pasajes para el desplazamiento de las mujeres a la practica de vigilancia (poligono)</t>
  </si>
  <si>
    <t>Adquirir tarjetas de mio para el desplazamiento de las mujeres a la practica de vigilancia (poligono)</t>
  </si>
  <si>
    <t>Realizar apoyo logístico para los ejercicios formativos con perspectiva de género para el fortalecimiento de iniciativas sociales o productivas de las mujeres.</t>
  </si>
  <si>
    <t>1.1.2</t>
  </si>
  <si>
    <t>TOTAL ACTIVIDAD 1.1.1</t>
  </si>
  <si>
    <t>Apoyar la articulación territorial para el desarrollo de los procesos pedagogicos</t>
  </si>
  <si>
    <t>Realizar proceso formativo en vigilancia y seguridad privada a mujeres.</t>
  </si>
  <si>
    <t>Realizar proceso formativo a mujeres en confección de blusas.</t>
  </si>
  <si>
    <t xml:space="preserve">Número </t>
  </si>
  <si>
    <t>Suministrar Póliza de Accidentes contra riesgo de muerte o daño corporal (gastos médicos).</t>
  </si>
  <si>
    <t xml:space="preserve">Realizar convocatoria, divulgación e inscripción de beneficiarios. Incluye diligenciamiento de formularios de inscripción por medio físico o digital con las aspirantes a participar de los procesos formativos. </t>
  </si>
  <si>
    <t>Realizar socialización del proyecto "Proceso de participación política, social y de desarrollo de capacidades que faciliten su autonomía económica en la comuna 21".</t>
  </si>
  <si>
    <t>Realizar ejercicios formativos con perspectiva de género con metodogía teórico prácticas para el fortalecimiento de iniciativas sociales o productivas de las mujeres.</t>
  </si>
  <si>
    <t>1.1.1</t>
  </si>
  <si>
    <t>VALOR TOTAL</t>
  </si>
  <si>
    <t>VALOR UNITARIO 2026</t>
  </si>
  <si>
    <t>CANTIDAD</t>
  </si>
  <si>
    <t>UNIDAD DE MEDIDA</t>
  </si>
  <si>
    <t>DESCRIPCIÓN</t>
  </si>
  <si>
    <t>ACTIVIDAD</t>
  </si>
  <si>
    <t>ITEM</t>
  </si>
  <si>
    <t>ANEXO TECNICO DETALLADO 2026</t>
  </si>
  <si>
    <t xml:space="preserve">BP-26005663 Fortalecimiento  de iniciativas sociales o productivas de las mujeres con perspectiva de género en la Comuna 21 de Santiago de Cali
</t>
  </si>
  <si>
    <t>TOTAL PROYECTO COMUNA 10</t>
  </si>
  <si>
    <t xml:space="preserve">realizar un cierre de los espacios de  formación en un espacio en donde se permita la visibilizacion de lo aprendido del espacio, este cierre se debe realizar en un espacio abierto a la comunidad en donde se pueda garantizar la participación de las 100 mujeres beneficiarias de los proceso formativos </t>
  </si>
  <si>
    <t>Realizar Cierra a partir de Festival  de la mujer de la Comuna 10</t>
  </si>
  <si>
    <t>Realizar encuentro pedagógico</t>
  </si>
  <si>
    <t xml:space="preserve">Realizar entrega de Kits de insumos de acuerdo al proceso formativo de empoderamiento económico de la mujeres para el desarrollo de su autonomía económica. Los insumos deben suministrarse  de acuerdo a diagnostico realizado de las beneficiarias participantes del proyecto.
</t>
  </si>
  <si>
    <t>Realizar entrega de Kit</t>
  </si>
  <si>
    <t xml:space="preserve">Alquiler de espacios  comunales en la comuna 10 para los procesos formativos </t>
  </si>
  <si>
    <t>Diseño y reproducción de constancias de participación en las capacitaciones para mujeres asistentes al proceso.</t>
  </si>
  <si>
    <t>Apoyar con dos enlaces a  la coordinación ( estrategia de   vinculación que pertenezca a la comuna 10) de los procesos formativos y feria pedagógica de las mujeres</t>
  </si>
  <si>
    <t>horas</t>
  </si>
  <si>
    <t>Etiqueta y protocolo, 
2 grupo de 25 mujeres, para manicure y pedicure básico, duración mes y medio. (18 Sesiones, cada sesión de  2 horas)   72 horas por hora valor hora $ 150.000</t>
  </si>
  <si>
    <t>Manicure y pedicure básico, para 50 mujeres, 18 sesiones de 2 horas, total 36 horas,  discriminado:
2 grupo de 25 mujeres, para manicure y pedicure básico, duración mes y medio. (18 Sesiones, cada sesión de  2 horas)   72 horas por hora valor hora $ 150.000</t>
  </si>
  <si>
    <t>Realizar proceso formativo con perspectiva de género para el empoderamiento económico de las mujeres de la comuna 10. distribuido por 6 jornadas de 2 horas cada una, dirigida a 100 mujeres en total (Divididas en 4 grupos de 25 personas)</t>
  </si>
  <si>
    <t>Realizar proceso formativo de la Escuela de Incidencia Política con enfoque de género, incluyendo la realización de jornadas pedagógicas integrales de 3 módulos  distribuidos en 24 sesiones de 2 horas cada una, dirigida a 100 mujeres en total (Divididas en 4 grupos de 25 personas), enfocada en brindar herramientas teórico- prácticas para su incidencia, participación política y comunitaria desde una perspectiva de género. 
Los contenidos que se abordarán estarán relacionados con: Conceptos básicos de género; en tres temas básico a desarrollar: Tema 1: fortalecer la solidaridad. la resilencia y la empatía de las mujeres; Tema 2: cual es el papel de la Mujer en la construcción de comunidad justas e inclusivas;  talleres de meditación con enfoque holístico.</t>
  </si>
  <si>
    <t>Realizar socialización del proyecto "Proceso de participación política, social y de desarrollo de capacidades que faciliten su autonomía económica en la comuna 10".</t>
  </si>
  <si>
    <t>Realizar ejercicios formativos con perspectiva de género con metodología teórico prácticas para el fortalecimiento de iniciativas sociales o productivas de las mujeres.</t>
  </si>
  <si>
    <t>ÍTEM</t>
  </si>
  <si>
    <t>PRESUPUESTO DETALLADO 2026</t>
  </si>
  <si>
    <t xml:space="preserve">BP-26005755 Fortalecimiento de iniciativas sociales o productivas de las mujeres con perspectiva de género en la Comuna 10 de Santiago de Cali                                                                                             </t>
  </si>
  <si>
    <t>TOTAL PROYECTO COMUNA 9</t>
  </si>
  <si>
    <t>Realizar Sistematización de los procesos formativos y encuentros pedagógicos de la comuna 9</t>
  </si>
  <si>
    <t>Realizar caracterización de las iniciativas sociales o productivas de las mujeres de la comuna 9</t>
  </si>
  <si>
    <t>Paleta de labiales 5 tonos</t>
  </si>
  <si>
    <t>Pañitos húmedos</t>
  </si>
  <si>
    <t>Jabón facial</t>
  </si>
  <si>
    <t>Agua de rosas</t>
  </si>
  <si>
    <t>Desmaquillante</t>
  </si>
  <si>
    <t>Crema hidratante</t>
  </si>
  <si>
    <t xml:space="preserve">Esponja </t>
  </si>
  <si>
    <t>Kit de brochas</t>
  </si>
  <si>
    <t>Dúo de lapices de ojos</t>
  </si>
  <si>
    <t>Dúo de lapices labiales</t>
  </si>
  <si>
    <t>Pestañina</t>
  </si>
  <si>
    <t>Set de 3 bases para maquillaje (tonos claro, medio y oscuro)</t>
  </si>
  <si>
    <t xml:space="preserve">Paleta de correctores con 3 tonos </t>
  </si>
  <si>
    <t>Paleta polvo compacto</t>
  </si>
  <si>
    <t>Paleta de contorno</t>
  </si>
  <si>
    <t>Paleta de sombras colores cálidos</t>
  </si>
  <si>
    <t>Paleta de sombras colores fríos</t>
  </si>
  <si>
    <t>Delineador tipo plumón</t>
  </si>
  <si>
    <t>Delineador tipo pincel</t>
  </si>
  <si>
    <t>Kit de hena para cejas en tono negro, castaño claro y castaño oscuro</t>
  </si>
  <si>
    <t>Pegante para pestañas</t>
  </si>
  <si>
    <t>Pestañas talla S, M y L</t>
  </si>
  <si>
    <t>Fijador de maquillaje</t>
  </si>
  <si>
    <t>Realizar entrega de Kit de maquillaje</t>
  </si>
  <si>
    <t>Caja guantes</t>
  </si>
  <si>
    <t>Acondicionador litro</t>
  </si>
  <si>
    <t>Shampoo litro</t>
  </si>
  <si>
    <t>Paquete toallas cuadradas</t>
  </si>
  <si>
    <t>Kit de tijeras x 2</t>
  </si>
  <si>
    <t>Caimanes</t>
  </si>
  <si>
    <t>Kit peinetas x 10</t>
  </si>
  <si>
    <t>Kit cepillos x 3</t>
  </si>
  <si>
    <t>Termoprotector</t>
  </si>
  <si>
    <t>Bomboner tratamiento x 4000</t>
  </si>
  <si>
    <t>Máquina profesional</t>
  </si>
  <si>
    <t>Patillera profesional</t>
  </si>
  <si>
    <t>Barbera</t>
  </si>
  <si>
    <t>Cepillo sacudidor</t>
  </si>
  <si>
    <t>Capa grande</t>
  </si>
  <si>
    <t>Plancha brenss babyliss profesional</t>
  </si>
  <si>
    <t>Secador brenss babyliss profesional</t>
  </si>
  <si>
    <t xml:space="preserve">Realizar entrega de Kit peluquería y aplicación de tratamientos capilares de alisado y reconstrucción capilar </t>
  </si>
  <si>
    <t xml:space="preserve">Realizar entrega de Kit de manicure y pedicure </t>
  </si>
  <si>
    <t>Pasajes del MIO por cada tarjeta</t>
  </si>
  <si>
    <t xml:space="preserve">Tarjetas del MIO </t>
  </si>
  <si>
    <t>Certificado de culminación del proceso (tamaño carta, papel propalcote 250gr, full color)</t>
  </si>
  <si>
    <t>Suministrar póliza de accidentes contra riesgo de muerte o daño corportal (gastos médicos)</t>
  </si>
  <si>
    <t>Apoyar articulación comunitaria e institucional para el desarrollo de los procesos formativos.</t>
  </si>
  <si>
    <t>Apoyar la coordinación de los procesos formativos y encuentros pedagógicos de las mujeres</t>
  </si>
  <si>
    <t>Realizar proceso formativo a mujeres en maquillaje de 12 horas (6 sesiones de 2 horas) Costeo por persona. 100 Mujeres para oficio No. 2</t>
  </si>
  <si>
    <t>Número de Personas</t>
  </si>
  <si>
    <t>Realizar proceso formativo a mujeres en peluquería de 16 horas (8 sesiones de 2 horas cada una) y aplicación de tratamientos capilares de alisado y reconstrucción capilar (queratina, Botox, repolarización) de 24 horas (8 sesiones de 3 horas cada una) - Costeo por persona, 100 Mujeres para oficio No. 1</t>
  </si>
  <si>
    <t>Realizar ejercicios formativos con perspectiva de género con metodología teórico prácticas para el fortalecimiento de iniciativas sociales o productivas de las mujeres</t>
  </si>
  <si>
    <t>ANEXO TÉCNICO DETALLADO 2026</t>
  </si>
  <si>
    <t xml:space="preserve">BP-26005619 Fortalecimiento de iniciativas sociales o productivas de las mujeres con perspectiva de género en la Comuna 9 de Santiago de Cali
</t>
  </si>
  <si>
    <t>TOTAL PROYECTO COMUNA 6</t>
  </si>
  <si>
    <t>Realizar entrega de insumos de acuerdo a las necesidades de las iniciativas productivas de las mujeres que participaron de los procesos formativos</t>
  </si>
  <si>
    <t>Realizar entrega kit de autonomía económica de las mujeres</t>
  </si>
  <si>
    <t>Realizar diseño y reproducción de constancias de participación en las capacitaciones para mujeres asistentes al proceso.</t>
  </si>
  <si>
    <t>Adquirir agenda con lápicero para el proceso formativo de las mujeres</t>
  </si>
  <si>
    <t>Adquirir recargas de tarjetas de contacto para uso del STIM MIO</t>
  </si>
  <si>
    <t>Adquirir tarjetas de MIO para el desplazamiento de las mujeres</t>
  </si>
  <si>
    <t xml:space="preserve">Apoyar la coordinación para el adecuado desarrollo de los procesos formativos </t>
  </si>
  <si>
    <t>Realizar las tareas relacionadas con la convocatoria, inscripción y proceso de selección de las participantes de la  Escuela de Incidencia Política con base en los criterios establecidos en conjunto con las mujeres en territorio. Realizar una Caracterización de la Poblacion Beneficiaria a traves de las fichas DUB (Destinatario, Usuario, Beneficiario), suministrando: 50 fichas DUB diligenciadas, un informe de caracterizacion y un documento consolidado con la base de datos en formato excel.</t>
  </si>
  <si>
    <t>Realizar proceso formativo con perspectiva de género de incidencia política para 50 mujeres de la comuna 6 de Santiago de Cali con duración de 24 horas teórico experienciales (12 sesiones de 2 horas)</t>
  </si>
  <si>
    <t>Realizar proceso formativo a mujeres de marketing personal (4 sesiones de 2 horas para 2 grupos de 25 personas)</t>
  </si>
  <si>
    <t xml:space="preserve">VALOR UNITARIO </t>
  </si>
  <si>
    <t xml:space="preserve">FACTOR DE AJUSTE IPC </t>
  </si>
  <si>
    <t>VALOR PROMEDIO 2026</t>
  </si>
  <si>
    <t>APROBADO VIGENCIA 2025</t>
  </si>
  <si>
    <t>AJUSTE IPC 2026</t>
  </si>
  <si>
    <t>PRESUPUESTO DETALLADO</t>
  </si>
  <si>
    <t>VALOR APROBADO PARA LA VIGENCIA 2026</t>
  </si>
  <si>
    <t>VALOR INDEXADO 2026</t>
  </si>
  <si>
    <t>PRESUPUESTO ECONÓMICO APROBADO VIGENCIA 2025 Y PRECIOS ACTUALIZADOS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</si>
</sst>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quot;$&quot;\ * #,##0_-;\-&quot;$&quot;\ * #,##0_-;_-&quot;$&quot;\ * &quot;-&quot;??_-;_-@"/>
    <numFmt numFmtId="166" formatCode="[$-C0A]General"/>
    <numFmt numFmtId="167" formatCode="&quot;$&quot;\ #,##0"/>
  </numFmts>
  <fonts count="33">
    <font>
      <sz val="11"/>
      <color theme="1"/>
      <name val="Calibri"/>
      <family val="2"/>
      <scheme val="minor"/>
    </font>
    <font>
      <b/>
      <sz val="11"/>
      <color theme="1"/>
      <name val="Calibri"/>
      <family val="2"/>
      <scheme val="minor"/>
    </font>
    <font>
      <sz val="10"/>
      <color theme="1"/>
      <name val="Arial"/>
      <family val="2"/>
    </font>
    <font>
      <b/>
      <sz val="11"/>
      <name val="Calibri"/>
      <family val="2"/>
      <scheme val="minor"/>
    </font>
    <font>
      <b/>
      <sz val="11"/>
      <color theme="1"/>
      <name val="Calibri"/>
      <scheme val="minor"/>
    </font>
    <font>
      <sz val="11"/>
      <name val="Calibri"/>
      <family val="2"/>
    </font>
    <font>
      <b/>
      <sz val="10"/>
      <color rgb="FF000000"/>
      <name val="Play"/>
    </font>
    <font>
      <b/>
      <sz val="11"/>
      <color theme="1"/>
      <name val="Arial"/>
      <family val="2"/>
    </font>
    <font>
      <b/>
      <sz val="10"/>
      <color rgb="FF000000"/>
      <name val="Arial"/>
      <family val="2"/>
    </font>
    <font>
      <sz val="10"/>
      <color rgb="FF000000"/>
      <name val="Arial"/>
      <family val="2"/>
    </font>
    <font>
      <b/>
      <sz val="11"/>
      <color theme="1"/>
      <name val="Calibri"/>
      <family val="2"/>
    </font>
    <font>
      <sz val="11"/>
      <color theme="1"/>
      <name val="Calibri"/>
      <scheme val="minor"/>
    </font>
    <font>
      <sz val="11"/>
      <name val="Calibri"/>
    </font>
    <font>
      <b/>
      <sz val="11"/>
      <color theme="1"/>
      <name val="Arial"/>
    </font>
    <font>
      <b/>
      <sz val="12"/>
      <color theme="1"/>
      <name val="Arial"/>
      <family val="2"/>
    </font>
    <font>
      <b/>
      <sz val="10"/>
      <color rgb="FF000000"/>
      <name val="Arial"/>
    </font>
    <font>
      <sz val="10"/>
      <color theme="1"/>
      <name val="Arial"/>
    </font>
    <font>
      <b/>
      <sz val="10"/>
      <color theme="1"/>
      <name val="Arial"/>
    </font>
    <font>
      <sz val="10"/>
      <color rgb="FF000000"/>
      <name val="Arial"/>
    </font>
    <font>
      <b/>
      <sz val="11"/>
      <color rgb="FF000000"/>
      <name val="Arial"/>
    </font>
    <font>
      <b/>
      <sz val="11"/>
      <color rgb="FF000000"/>
      <name val="Arial"/>
      <family val="2"/>
    </font>
    <font>
      <sz val="11"/>
      <color theme="1"/>
      <name val="Arial"/>
      <family val="2"/>
    </font>
    <font>
      <sz val="11"/>
      <color rgb="FF000000"/>
      <name val="Arial"/>
      <family val="2"/>
    </font>
    <font>
      <b/>
      <sz val="8"/>
      <color theme="1"/>
      <name val="Arial"/>
      <family val="2"/>
    </font>
    <font>
      <sz val="8"/>
      <color theme="1"/>
      <name val="Arial"/>
      <family val="2"/>
    </font>
    <font>
      <sz val="8"/>
      <color rgb="FF000000"/>
      <name val="Arial"/>
      <family val="2"/>
    </font>
    <font>
      <sz val="8"/>
      <name val="Calibri"/>
      <family val="2"/>
    </font>
    <font>
      <b/>
      <sz val="8"/>
      <color theme="1"/>
      <name val="Calibri"/>
      <family val="2"/>
    </font>
    <font>
      <sz val="8"/>
      <name val="Arial"/>
      <family val="2"/>
    </font>
    <font>
      <b/>
      <sz val="8"/>
      <name val="Calibri"/>
      <family val="2"/>
    </font>
    <font>
      <b/>
      <u val="singleAccounting"/>
      <sz val="8"/>
      <color theme="1"/>
      <name val="Arial"/>
      <family val="2"/>
    </font>
    <font>
      <b/>
      <sz val="8"/>
      <color theme="1"/>
      <name val="Calibri"/>
      <family val="2"/>
      <scheme val="minor"/>
    </font>
    <font>
      <sz val="8"/>
      <color theme="1"/>
      <name val="Calibri"/>
      <family val="2"/>
      <scheme val="minor"/>
    </font>
  </fonts>
  <fills count="2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5" tint="0.79998168889431442"/>
        <bgColor rgb="FFD8D8D8"/>
      </patternFill>
    </fill>
    <fill>
      <patternFill patternType="solid">
        <fgColor theme="5" tint="0.79998168889431442"/>
        <bgColor rgb="FFBDD6EE"/>
      </patternFill>
    </fill>
    <fill>
      <patternFill patternType="solid">
        <fgColor theme="6" tint="0.79998168889431442"/>
        <bgColor rgb="FFD8D8D8"/>
      </patternFill>
    </fill>
    <fill>
      <patternFill patternType="solid">
        <fgColor theme="6" tint="0.79998168889431442"/>
        <bgColor indexed="64"/>
      </patternFill>
    </fill>
    <fill>
      <patternFill patternType="solid">
        <fgColor rgb="FFD8D8D8"/>
        <bgColor rgb="FFD8D8D8"/>
      </patternFill>
    </fill>
    <fill>
      <patternFill patternType="solid">
        <fgColor theme="0"/>
        <bgColor theme="0"/>
      </patternFill>
    </fill>
    <fill>
      <patternFill patternType="solid">
        <fgColor theme="4" tint="0.59999389629810485"/>
        <bgColor indexed="64"/>
      </patternFill>
    </fill>
    <fill>
      <patternFill patternType="solid">
        <fgColor theme="4" tint="0.59999389629810485"/>
        <bgColor rgb="FFDBE5F1"/>
      </patternFill>
    </fill>
    <fill>
      <patternFill patternType="solid">
        <fgColor theme="3" tint="0.749992370372631"/>
        <bgColor rgb="FFB8CCE4"/>
      </patternFill>
    </fill>
    <fill>
      <patternFill patternType="solid">
        <fgColor theme="3" tint="0.89999084444715716"/>
        <bgColor theme="0"/>
      </patternFill>
    </fill>
    <fill>
      <patternFill patternType="solid">
        <fgColor theme="3" tint="0.749992370372631"/>
        <bgColor indexed="64"/>
      </patternFill>
    </fill>
    <fill>
      <patternFill patternType="solid">
        <fgColor theme="3" tint="0.749992370372631"/>
        <bgColor rgb="FFD8D8D8"/>
      </patternFill>
    </fill>
    <fill>
      <patternFill patternType="solid">
        <fgColor theme="3" tint="0.89999084444715716"/>
        <bgColor indexed="64"/>
      </patternFill>
    </fill>
    <fill>
      <patternFill patternType="solid">
        <fgColor rgb="FFDBE5F1"/>
        <bgColor rgb="FFDBE5F1"/>
      </patternFill>
    </fill>
    <fill>
      <patternFill patternType="solid">
        <fgColor rgb="FFB8CCE4"/>
        <bgColor rgb="FFB8CCE4"/>
      </patternFill>
    </fill>
    <fill>
      <patternFill patternType="solid">
        <fgColor theme="0"/>
        <bgColor rgb="FFD8D8D8"/>
      </patternFill>
    </fill>
    <fill>
      <patternFill patternType="solid">
        <fgColor theme="0"/>
        <bgColor rgb="FFFFFFFF"/>
      </patternFill>
    </fill>
    <fill>
      <patternFill patternType="solid">
        <fgColor theme="2" tint="-9.9978637043366805E-2"/>
        <bgColor indexed="64"/>
      </patternFill>
    </fill>
    <fill>
      <patternFill patternType="solid">
        <fgColor theme="2" tint="-9.9978637043366805E-2"/>
        <bgColor rgb="FFD8D8D8"/>
      </patternFill>
    </fill>
    <fill>
      <patternFill patternType="solid">
        <fgColor theme="2"/>
        <bgColor rgb="FFD8D8D8"/>
      </patternFill>
    </fill>
    <fill>
      <patternFill patternType="solid">
        <fgColor theme="2"/>
        <bgColor indexed="64"/>
      </patternFill>
    </fill>
    <fill>
      <patternFill patternType="solid">
        <fgColor theme="0" tint="-0.14999847407452621"/>
        <bgColor indexed="64"/>
      </patternFill>
    </fill>
    <fill>
      <patternFill patternType="solid">
        <fgColor theme="7" tint="0.59999389629810485"/>
        <bgColor theme="0"/>
      </patternFill>
    </fill>
  </fills>
  <borders count="33">
    <border>
      <left/>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rgb="FF000000"/>
      </bottom>
      <diagonal/>
    </border>
  </borders>
  <cellStyleXfs count="2">
    <xf numFmtId="0" fontId="0" fillId="0" borderId="0"/>
    <xf numFmtId="0" fontId="11" fillId="0" borderId="0"/>
  </cellStyleXfs>
  <cellXfs count="238">
    <xf numFmtId="0" fontId="0" fillId="0" borderId="0" xfId="0"/>
    <xf numFmtId="0" fontId="7" fillId="8" borderId="17" xfId="0" applyFont="1" applyFill="1" applyBorder="1" applyAlignment="1">
      <alignment horizontal="center" vertical="center" wrapText="1"/>
    </xf>
    <xf numFmtId="0" fontId="12" fillId="0" borderId="0" xfId="0" applyFont="1"/>
    <xf numFmtId="166" fontId="19" fillId="8" borderId="0" xfId="0" applyNumberFormat="1" applyFont="1" applyFill="1" applyAlignment="1">
      <alignment horizontal="center" vertical="center" wrapText="1"/>
    </xf>
    <xf numFmtId="0" fontId="7" fillId="8" borderId="16" xfId="0" applyFont="1" applyFill="1" applyBorder="1" applyAlignment="1">
      <alignment horizontal="center" vertical="center" wrapText="1"/>
    </xf>
    <xf numFmtId="0" fontId="12" fillId="2" borderId="0" xfId="0" applyFont="1" applyFill="1"/>
    <xf numFmtId="166" fontId="20" fillId="19" borderId="0" xfId="0" applyNumberFormat="1" applyFont="1" applyFill="1" applyAlignment="1">
      <alignment horizontal="center" vertical="center" wrapText="1"/>
    </xf>
    <xf numFmtId="0" fontId="17" fillId="8" borderId="16" xfId="0" applyFont="1" applyFill="1" applyBorder="1" applyAlignment="1">
      <alignment horizontal="center" vertical="center" wrapText="1"/>
    </xf>
    <xf numFmtId="0" fontId="17" fillId="8" borderId="9" xfId="1" applyFont="1" applyFill="1" applyBorder="1" applyAlignment="1">
      <alignment horizontal="center" vertical="center" wrapText="1"/>
    </xf>
    <xf numFmtId="165" fontId="0" fillId="0" borderId="0" xfId="0" applyNumberFormat="1"/>
    <xf numFmtId="166" fontId="8" fillId="19" borderId="0" xfId="1" applyNumberFormat="1" applyFont="1" applyFill="1" applyBorder="1" applyAlignment="1">
      <alignment horizontal="center" vertical="center" wrapText="1"/>
    </xf>
    <xf numFmtId="0" fontId="12" fillId="2" borderId="0" xfId="1" applyFont="1" applyFill="1" applyBorder="1"/>
    <xf numFmtId="0" fontId="0" fillId="2" borderId="0" xfId="0" applyFill="1"/>
    <xf numFmtId="166" fontId="6" fillId="5" borderId="9" xfId="0" applyNumberFormat="1" applyFont="1" applyFill="1" applyBorder="1" applyAlignment="1">
      <alignment vertical="center" wrapText="1"/>
    </xf>
    <xf numFmtId="0" fontId="5" fillId="3" borderId="9" xfId="0" applyFont="1" applyFill="1" applyBorder="1" applyAlignment="1"/>
    <xf numFmtId="0" fontId="23" fillId="8" borderId="16" xfId="0" applyFont="1" applyFill="1" applyBorder="1" applyAlignment="1">
      <alignment horizontal="center" vertical="center" wrapText="1"/>
    </xf>
    <xf numFmtId="167" fontId="23" fillId="8" borderId="16" xfId="0" applyNumberFormat="1" applyFont="1" applyFill="1" applyBorder="1" applyAlignment="1">
      <alignment horizontal="center" vertical="center" wrapText="1"/>
    </xf>
    <xf numFmtId="167" fontId="23" fillId="8" borderId="12" xfId="0" applyNumberFormat="1" applyFont="1" applyFill="1" applyBorder="1" applyAlignment="1">
      <alignment horizontal="center" vertical="center" wrapText="1"/>
    </xf>
    <xf numFmtId="167" fontId="23" fillId="8" borderId="9" xfId="0" applyNumberFormat="1" applyFont="1" applyFill="1" applyBorder="1" applyAlignment="1">
      <alignment horizontal="center" vertical="center" wrapText="1"/>
    </xf>
    <xf numFmtId="164" fontId="23" fillId="8" borderId="9" xfId="0" applyNumberFormat="1" applyFont="1" applyFill="1" applyBorder="1" applyAlignment="1">
      <alignment horizontal="center" vertical="center" wrapText="1"/>
    </xf>
    <xf numFmtId="0" fontId="24" fillId="0" borderId="10" xfId="0" applyFont="1" applyBorder="1" applyAlignment="1">
      <alignment horizontal="left" vertical="center" wrapText="1"/>
    </xf>
    <xf numFmtId="0" fontId="24" fillId="0" borderId="16" xfId="0" applyFont="1" applyBorder="1" applyAlignment="1">
      <alignment horizontal="center" vertical="center" wrapText="1"/>
    </xf>
    <xf numFmtId="0" fontId="24" fillId="0" borderId="10" xfId="0" applyFont="1" applyBorder="1" applyAlignment="1">
      <alignment horizontal="center" vertical="center"/>
    </xf>
    <xf numFmtId="165" fontId="24" fillId="0" borderId="10" xfId="0" applyNumberFormat="1" applyFont="1" applyBorder="1" applyAlignment="1">
      <alignment horizontal="center" vertical="center"/>
    </xf>
    <xf numFmtId="165" fontId="24" fillId="0" borderId="14" xfId="0" applyNumberFormat="1" applyFont="1" applyBorder="1" applyAlignment="1">
      <alignment horizontal="right" vertical="center"/>
    </xf>
    <xf numFmtId="2" fontId="24" fillId="0" borderId="24" xfId="0" applyNumberFormat="1" applyFont="1" applyBorder="1" applyAlignment="1">
      <alignment horizontal="center" vertical="center"/>
    </xf>
    <xf numFmtId="165" fontId="24" fillId="0" borderId="9" xfId="0" applyNumberFormat="1" applyFont="1" applyBorder="1" applyAlignment="1">
      <alignment vertical="center"/>
    </xf>
    <xf numFmtId="164" fontId="24" fillId="0" borderId="9" xfId="0" applyNumberFormat="1" applyFont="1" applyBorder="1" applyAlignment="1">
      <alignment vertical="center"/>
    </xf>
    <xf numFmtId="2" fontId="24" fillId="0" borderId="9" xfId="0" applyNumberFormat="1" applyFont="1" applyBorder="1" applyAlignment="1">
      <alignment horizontal="center" vertical="center"/>
    </xf>
    <xf numFmtId="165" fontId="23" fillId="22" borderId="14" xfId="0" applyNumberFormat="1" applyFont="1" applyFill="1" applyBorder="1" applyAlignment="1">
      <alignment horizontal="right"/>
    </xf>
    <xf numFmtId="0" fontId="24" fillId="21" borderId="9" xfId="0" applyFont="1" applyFill="1" applyBorder="1" applyAlignment="1">
      <alignment horizontal="center" vertical="center"/>
    </xf>
    <xf numFmtId="165" fontId="24" fillId="21" borderId="9" xfId="0" applyNumberFormat="1" applyFont="1" applyFill="1" applyBorder="1" applyAlignment="1">
      <alignment vertical="center"/>
    </xf>
    <xf numFmtId="164" fontId="23" fillId="21" borderId="9" xfId="0" applyNumberFormat="1" applyFont="1" applyFill="1" applyBorder="1" applyAlignment="1">
      <alignment vertical="center"/>
    </xf>
    <xf numFmtId="0" fontId="24" fillId="2" borderId="10" xfId="0" applyFont="1" applyFill="1" applyBorder="1" applyAlignment="1">
      <alignment horizontal="left" vertical="center" wrapText="1"/>
    </xf>
    <xf numFmtId="0" fontId="24" fillId="2" borderId="16" xfId="0" applyFont="1" applyFill="1" applyBorder="1" applyAlignment="1">
      <alignment horizontal="center" vertical="center" wrapText="1"/>
    </xf>
    <xf numFmtId="0" fontId="24" fillId="2" borderId="10" xfId="0" applyFont="1" applyFill="1" applyBorder="1" applyAlignment="1">
      <alignment horizontal="center" vertical="center"/>
    </xf>
    <xf numFmtId="165" fontId="24" fillId="2" borderId="10" xfId="0" applyNumberFormat="1" applyFont="1" applyFill="1" applyBorder="1" applyAlignment="1">
      <alignment horizontal="center" vertical="center"/>
    </xf>
    <xf numFmtId="165" fontId="24" fillId="2" borderId="14" xfId="0" applyNumberFormat="1" applyFont="1" applyFill="1" applyBorder="1" applyAlignment="1">
      <alignment horizontal="right" vertical="center"/>
    </xf>
    <xf numFmtId="166" fontId="25" fillId="2" borderId="10" xfId="0" applyNumberFormat="1" applyFont="1" applyFill="1" applyBorder="1" applyAlignment="1">
      <alignment horizontal="left" vertical="center" wrapText="1"/>
    </xf>
    <xf numFmtId="0" fontId="24" fillId="20" borderId="10" xfId="0" applyFont="1" applyFill="1" applyBorder="1" applyAlignment="1">
      <alignment horizontal="center" vertical="center"/>
    </xf>
    <xf numFmtId="165" fontId="24" fillId="20" borderId="10" xfId="0" applyNumberFormat="1" applyFont="1" applyFill="1" applyBorder="1" applyAlignment="1">
      <alignment horizontal="center" vertical="center"/>
    </xf>
    <xf numFmtId="165" fontId="24" fillId="20" borderId="14" xfId="0" applyNumberFormat="1" applyFont="1" applyFill="1" applyBorder="1" applyAlignment="1">
      <alignment horizontal="right" vertical="center"/>
    </xf>
    <xf numFmtId="0" fontId="25" fillId="0" borderId="10" xfId="0" applyFont="1" applyBorder="1" applyAlignment="1">
      <alignment horizontal="left" vertical="center" wrapText="1"/>
    </xf>
    <xf numFmtId="0" fontId="25" fillId="0" borderId="8" xfId="0" applyFont="1" applyBorder="1" applyAlignment="1">
      <alignment horizontal="left" vertical="center" wrapText="1"/>
    </xf>
    <xf numFmtId="0" fontId="24" fillId="15" borderId="0" xfId="0" applyFont="1" applyFill="1" applyBorder="1" applyAlignment="1">
      <alignment wrapText="1"/>
    </xf>
    <xf numFmtId="0" fontId="24" fillId="15" borderId="0" xfId="0" applyFont="1" applyFill="1" applyBorder="1" applyAlignment="1">
      <alignment vertical="center" wrapText="1"/>
    </xf>
    <xf numFmtId="0" fontId="24" fillId="15" borderId="25" xfId="0" applyFont="1" applyFill="1" applyBorder="1" applyAlignment="1">
      <alignment vertical="center" wrapText="1"/>
    </xf>
    <xf numFmtId="165" fontId="23" fillId="23" borderId="14" xfId="0" applyNumberFormat="1" applyFont="1" applyFill="1" applyBorder="1" applyAlignment="1">
      <alignment horizontal="right"/>
    </xf>
    <xf numFmtId="0" fontId="24" fillId="24" borderId="9" xfId="0" applyFont="1" applyFill="1" applyBorder="1" applyAlignment="1">
      <alignment horizontal="center" vertical="center"/>
    </xf>
    <xf numFmtId="165" fontId="24" fillId="24" borderId="9" xfId="0" applyNumberFormat="1" applyFont="1" applyFill="1" applyBorder="1" applyAlignment="1">
      <alignment vertical="center"/>
    </xf>
    <xf numFmtId="164" fontId="23" fillId="24" borderId="9" xfId="0" applyNumberFormat="1" applyFont="1" applyFill="1" applyBorder="1" applyAlignment="1">
      <alignment vertical="center"/>
    </xf>
    <xf numFmtId="0" fontId="26" fillId="2" borderId="0" xfId="0" applyFont="1" applyFill="1"/>
    <xf numFmtId="165" fontId="23" fillId="19" borderId="0" xfId="0" applyNumberFormat="1" applyFont="1" applyFill="1" applyAlignment="1">
      <alignment horizontal="right"/>
    </xf>
    <xf numFmtId="0" fontId="24" fillId="0" borderId="0" xfId="0" applyFont="1" applyAlignment="1">
      <alignment horizontal="center" vertical="center"/>
    </xf>
    <xf numFmtId="165" fontId="24" fillId="0" borderId="0" xfId="0" applyNumberFormat="1" applyFont="1" applyAlignment="1">
      <alignment vertical="center"/>
    </xf>
    <xf numFmtId="164" fontId="24" fillId="0" borderId="0" xfId="0" applyNumberFormat="1" applyFont="1" applyAlignment="1">
      <alignment vertical="center"/>
    </xf>
    <xf numFmtId="165" fontId="23" fillId="8" borderId="16" xfId="0" applyNumberFormat="1" applyFont="1" applyFill="1" applyBorder="1" applyAlignment="1">
      <alignment horizontal="center" vertical="center" wrapText="1"/>
    </xf>
    <xf numFmtId="165" fontId="23" fillId="8" borderId="16" xfId="0" applyNumberFormat="1" applyFont="1" applyFill="1" applyBorder="1" applyAlignment="1">
      <alignment horizontal="right" vertical="center" wrapText="1"/>
    </xf>
    <xf numFmtId="0" fontId="24" fillId="0" borderId="10" xfId="0" applyFont="1" applyBorder="1" applyAlignment="1">
      <alignment horizontal="left" wrapText="1"/>
    </xf>
    <xf numFmtId="0" fontId="24" fillId="0" borderId="10" xfId="0" applyFont="1" applyBorder="1" applyAlignment="1">
      <alignment horizontal="center" vertical="center" wrapText="1"/>
    </xf>
    <xf numFmtId="0" fontId="24" fillId="0" borderId="10" xfId="0" applyFont="1" applyBorder="1" applyAlignment="1">
      <alignment horizontal="left"/>
    </xf>
    <xf numFmtId="0" fontId="24" fillId="2" borderId="10" xfId="0" applyFont="1" applyFill="1" applyBorder="1" applyAlignment="1">
      <alignment horizontal="left" wrapText="1"/>
    </xf>
    <xf numFmtId="165" fontId="23" fillId="8" borderId="14" xfId="0" applyNumberFormat="1" applyFont="1" applyFill="1" applyBorder="1" applyAlignment="1">
      <alignment horizontal="right"/>
    </xf>
    <xf numFmtId="0" fontId="24" fillId="0" borderId="10" xfId="0" applyFont="1" applyBorder="1" applyAlignment="1">
      <alignment horizontal="center" wrapText="1"/>
    </xf>
    <xf numFmtId="0" fontId="24" fillId="2" borderId="10" xfId="0" applyFont="1" applyFill="1" applyBorder="1" applyAlignment="1">
      <alignment horizontal="center" vertical="center" wrapText="1"/>
    </xf>
    <xf numFmtId="0" fontId="24" fillId="2" borderId="10" xfId="0" applyFont="1" applyFill="1" applyBorder="1" applyAlignment="1">
      <alignment horizontal="center" wrapText="1"/>
    </xf>
    <xf numFmtId="0" fontId="24" fillId="2" borderId="16" xfId="0" applyFont="1" applyFill="1" applyBorder="1" applyAlignment="1">
      <alignment horizontal="left" wrapText="1"/>
    </xf>
    <xf numFmtId="0" fontId="24" fillId="2" borderId="16" xfId="0" applyFont="1" applyFill="1" applyBorder="1" applyAlignment="1">
      <alignment horizontal="center" wrapText="1"/>
    </xf>
    <xf numFmtId="165" fontId="24" fillId="2" borderId="16" xfId="0" applyNumberFormat="1" applyFont="1" applyFill="1" applyBorder="1" applyAlignment="1">
      <alignment horizontal="center" vertical="center"/>
    </xf>
    <xf numFmtId="165" fontId="24" fillId="2" borderId="12" xfId="0" applyNumberFormat="1" applyFont="1" applyFill="1" applyBorder="1" applyAlignment="1">
      <alignment horizontal="right" vertical="center"/>
    </xf>
    <xf numFmtId="2" fontId="24" fillId="0" borderId="29" xfId="0" applyNumberFormat="1" applyFont="1" applyBorder="1" applyAlignment="1">
      <alignment horizontal="center" vertical="center"/>
    </xf>
    <xf numFmtId="165" fontId="24" fillId="0" borderId="29" xfId="0" applyNumberFormat="1" applyFont="1" applyBorder="1" applyAlignment="1">
      <alignment vertical="center"/>
    </xf>
    <xf numFmtId="164" fontId="24" fillId="0" borderId="29" xfId="0" applyNumberFormat="1" applyFont="1" applyBorder="1" applyAlignment="1">
      <alignment vertical="center"/>
    </xf>
    <xf numFmtId="0" fontId="24" fillId="0" borderId="15" xfId="0" applyFont="1" applyBorder="1" applyAlignment="1">
      <alignment horizontal="left" wrapText="1"/>
    </xf>
    <xf numFmtId="0" fontId="24" fillId="0" borderId="15" xfId="0" applyFont="1" applyBorder="1" applyAlignment="1">
      <alignment wrapText="1"/>
    </xf>
    <xf numFmtId="0" fontId="24" fillId="0" borderId="15" xfId="0" applyFont="1" applyBorder="1" applyAlignment="1">
      <alignment horizontal="center" wrapText="1"/>
    </xf>
    <xf numFmtId="165" fontId="24" fillId="0" borderId="15" xfId="0" applyNumberFormat="1" applyFont="1" applyBorder="1"/>
    <xf numFmtId="165" fontId="24" fillId="0" borderId="21" xfId="0" applyNumberFormat="1" applyFont="1" applyBorder="1" applyAlignment="1">
      <alignment horizontal="right" wrapText="1"/>
    </xf>
    <xf numFmtId="165" fontId="24" fillId="0" borderId="24" xfId="0" applyNumberFormat="1" applyFont="1" applyBorder="1" applyAlignment="1">
      <alignment vertical="center"/>
    </xf>
    <xf numFmtId="164" fontId="24" fillId="0" borderId="24" xfId="0" applyNumberFormat="1" applyFont="1" applyBorder="1" applyAlignment="1">
      <alignment vertical="center"/>
    </xf>
    <xf numFmtId="0" fontId="24" fillId="0" borderId="10" xfId="0" applyFont="1" applyBorder="1" applyAlignment="1">
      <alignment wrapText="1"/>
    </xf>
    <xf numFmtId="165" fontId="24" fillId="0" borderId="10" xfId="0" applyNumberFormat="1" applyFont="1" applyBorder="1"/>
    <xf numFmtId="165" fontId="24" fillId="0" borderId="14" xfId="0" applyNumberFormat="1" applyFont="1" applyBorder="1" applyAlignment="1">
      <alignment horizontal="right" wrapText="1"/>
    </xf>
    <xf numFmtId="165" fontId="24" fillId="0" borderId="10" xfId="0" applyNumberFormat="1" applyFont="1" applyBorder="1" applyAlignment="1">
      <alignment vertical="center"/>
    </xf>
    <xf numFmtId="165" fontId="23" fillId="6" borderId="14" xfId="0" applyNumberFormat="1" applyFont="1" applyFill="1" applyBorder="1" applyAlignment="1">
      <alignment horizontal="right"/>
    </xf>
    <xf numFmtId="0" fontId="26" fillId="0" borderId="0" xfId="0" applyFont="1"/>
    <xf numFmtId="0" fontId="23" fillId="8" borderId="9" xfId="1" applyFont="1" applyFill="1" applyBorder="1" applyAlignment="1">
      <alignment horizontal="center" vertical="center" wrapText="1"/>
    </xf>
    <xf numFmtId="167" fontId="23" fillId="8" borderId="9" xfId="1" applyNumberFormat="1" applyFont="1" applyFill="1" applyBorder="1" applyAlignment="1">
      <alignment horizontal="center" vertical="center" wrapText="1"/>
    </xf>
    <xf numFmtId="167" fontId="23" fillId="8" borderId="9" xfId="1" applyNumberFormat="1" applyFont="1" applyFill="1" applyBorder="1" applyAlignment="1">
      <alignment horizontal="right" vertical="center" wrapText="1"/>
    </xf>
    <xf numFmtId="0" fontId="24" fillId="0" borderId="9" xfId="1" applyFont="1" applyBorder="1" applyAlignment="1">
      <alignment horizontal="left" vertical="center" wrapText="1"/>
    </xf>
    <xf numFmtId="0" fontId="24" fillId="0" borderId="9" xfId="1" applyFont="1" applyBorder="1" applyAlignment="1">
      <alignment horizontal="center" vertical="center"/>
    </xf>
    <xf numFmtId="165" fontId="24" fillId="0" borderId="9" xfId="1" applyNumberFormat="1" applyFont="1" applyBorder="1" applyAlignment="1">
      <alignment horizontal="center" vertical="center"/>
    </xf>
    <xf numFmtId="165" fontId="24" fillId="0" borderId="9" xfId="1" applyNumberFormat="1" applyFont="1" applyBorder="1" applyAlignment="1">
      <alignment horizontal="right" vertical="center"/>
    </xf>
    <xf numFmtId="0" fontId="24" fillId="0" borderId="9" xfId="0" applyFont="1" applyBorder="1" applyAlignment="1">
      <alignment horizontal="center" vertical="center"/>
    </xf>
    <xf numFmtId="0" fontId="24" fillId="0" borderId="9" xfId="0" applyFont="1" applyBorder="1" applyAlignment="1">
      <alignment vertical="center"/>
    </xf>
    <xf numFmtId="0" fontId="24" fillId="9" borderId="9" xfId="1" applyFont="1" applyFill="1" applyBorder="1" applyAlignment="1">
      <alignment horizontal="center" vertical="center"/>
    </xf>
    <xf numFmtId="0" fontId="24" fillId="0" borderId="9" xfId="1" applyFont="1" applyBorder="1" applyAlignment="1">
      <alignment vertical="top" wrapText="1"/>
    </xf>
    <xf numFmtId="0" fontId="24" fillId="0" borderId="9" xfId="1" applyFont="1" applyBorder="1" applyAlignment="1">
      <alignment wrapText="1"/>
    </xf>
    <xf numFmtId="165" fontId="23" fillId="8" borderId="9" xfId="1" applyNumberFormat="1" applyFont="1" applyFill="1" applyBorder="1" applyAlignment="1">
      <alignment horizontal="right"/>
    </xf>
    <xf numFmtId="164" fontId="23" fillId="25" borderId="9" xfId="0" applyNumberFormat="1" applyFont="1" applyFill="1" applyBorder="1" applyAlignment="1">
      <alignment vertical="center"/>
    </xf>
    <xf numFmtId="165" fontId="24" fillId="0" borderId="9" xfId="1" applyNumberFormat="1" applyFont="1" applyBorder="1" applyAlignment="1">
      <alignment vertical="center"/>
    </xf>
    <xf numFmtId="165" fontId="24" fillId="0" borderId="9" xfId="1" applyNumberFormat="1" applyFont="1" applyBorder="1" applyAlignment="1">
      <alignment horizontal="right"/>
    </xf>
    <xf numFmtId="0" fontId="23" fillId="15" borderId="26" xfId="1" applyFont="1" applyFill="1" applyBorder="1" applyAlignment="1">
      <alignment wrapText="1"/>
    </xf>
    <xf numFmtId="0" fontId="23" fillId="15" borderId="28" xfId="1" applyFont="1" applyFill="1" applyBorder="1" applyAlignment="1">
      <alignment wrapText="1"/>
    </xf>
    <xf numFmtId="0" fontId="23" fillId="15" borderId="28" xfId="1" applyFont="1" applyFill="1" applyBorder="1" applyAlignment="1">
      <alignment vertical="center" wrapText="1"/>
    </xf>
    <xf numFmtId="0" fontId="23" fillId="15" borderId="27" xfId="1" applyFont="1" applyFill="1" applyBorder="1" applyAlignment="1">
      <alignment vertical="center" wrapText="1"/>
    </xf>
    <xf numFmtId="165" fontId="24" fillId="0" borderId="9" xfId="1" applyNumberFormat="1" applyFont="1" applyBorder="1" applyAlignment="1">
      <alignment horizontal="left" vertical="center"/>
    </xf>
    <xf numFmtId="0" fontId="23" fillId="8" borderId="26" xfId="1" applyFont="1" applyFill="1" applyBorder="1" applyAlignment="1">
      <alignment wrapText="1"/>
    </xf>
    <xf numFmtId="0" fontId="23" fillId="8" borderId="28" xfId="1" applyFont="1" applyFill="1" applyBorder="1" applyAlignment="1">
      <alignment wrapText="1"/>
    </xf>
    <xf numFmtId="0" fontId="23" fillId="8" borderId="28" xfId="1" applyFont="1" applyFill="1" applyBorder="1" applyAlignment="1">
      <alignment vertical="center" wrapText="1"/>
    </xf>
    <xf numFmtId="0" fontId="23" fillId="8" borderId="27" xfId="1" applyFont="1" applyFill="1" applyBorder="1" applyAlignment="1">
      <alignment vertical="center" wrapText="1"/>
    </xf>
    <xf numFmtId="0" fontId="24" fillId="0" borderId="9" xfId="1" applyFont="1" applyBorder="1" applyAlignment="1">
      <alignment horizontal="center" vertical="center" wrapText="1"/>
    </xf>
    <xf numFmtId="165" fontId="27" fillId="8" borderId="9" xfId="1" applyNumberFormat="1" applyFont="1" applyFill="1" applyBorder="1" applyAlignment="1">
      <alignment horizontal="right"/>
    </xf>
    <xf numFmtId="165" fontId="27" fillId="6" borderId="9" xfId="1" applyNumberFormat="1" applyFont="1" applyFill="1" applyBorder="1" applyAlignment="1">
      <alignment horizontal="right"/>
    </xf>
    <xf numFmtId="0" fontId="26" fillId="2" borderId="0" xfId="1" applyFont="1" applyFill="1" applyBorder="1"/>
    <xf numFmtId="165" fontId="27" fillId="19" borderId="0" xfId="1" applyNumberFormat="1" applyFont="1" applyFill="1" applyBorder="1" applyAlignment="1">
      <alignment horizontal="right"/>
    </xf>
    <xf numFmtId="0" fontId="24" fillId="2" borderId="0" xfId="0" applyFont="1" applyFill="1" applyBorder="1" applyAlignment="1">
      <alignment horizontal="center" vertical="center"/>
    </xf>
    <xf numFmtId="0" fontId="24" fillId="2" borderId="0" xfId="0" applyFont="1" applyFill="1" applyBorder="1" applyAlignment="1">
      <alignment vertical="center"/>
    </xf>
    <xf numFmtId="164" fontId="24" fillId="2" borderId="0" xfId="0" applyNumberFormat="1" applyFont="1" applyFill="1" applyBorder="1" applyAlignment="1">
      <alignment vertical="center"/>
    </xf>
    <xf numFmtId="0" fontId="23" fillId="8" borderId="17" xfId="0" applyFont="1" applyFill="1" applyBorder="1" applyAlignment="1">
      <alignment horizontal="center" vertical="center" wrapText="1"/>
    </xf>
    <xf numFmtId="165" fontId="23" fillId="8" borderId="18" xfId="0" applyNumberFormat="1" applyFont="1" applyFill="1" applyBorder="1" applyAlignment="1">
      <alignment horizontal="center" vertical="center" wrapText="1"/>
    </xf>
    <xf numFmtId="165" fontId="23" fillId="8" borderId="15" xfId="0" applyNumberFormat="1" applyFont="1" applyFill="1" applyBorder="1" applyAlignment="1">
      <alignment horizontal="right" vertical="center" wrapText="1"/>
    </xf>
    <xf numFmtId="0" fontId="24" fillId="0" borderId="10" xfId="0" applyFont="1" applyBorder="1" applyAlignment="1">
      <alignment horizontal="justify" vertical="center" wrapText="1"/>
    </xf>
    <xf numFmtId="0" fontId="24" fillId="0" borderId="10" xfId="0" applyFont="1" applyBorder="1" applyAlignment="1">
      <alignment vertical="center"/>
    </xf>
    <xf numFmtId="0" fontId="28" fillId="0" borderId="10" xfId="0" applyFont="1" applyBorder="1" applyAlignment="1">
      <alignment horizontal="center" vertical="center"/>
    </xf>
    <xf numFmtId="165" fontId="27" fillId="8" borderId="14" xfId="0" applyNumberFormat="1" applyFont="1" applyFill="1" applyBorder="1" applyAlignment="1">
      <alignment horizontal="right"/>
    </xf>
    <xf numFmtId="0" fontId="24" fillId="2" borderId="10" xfId="0" applyFont="1" applyFill="1" applyBorder="1" applyAlignment="1">
      <alignment horizontal="justify" vertical="center" wrapText="1"/>
    </xf>
    <xf numFmtId="0" fontId="24" fillId="2" borderId="10" xfId="0" applyFont="1" applyFill="1" applyBorder="1" applyAlignment="1">
      <alignment vertical="center"/>
    </xf>
    <xf numFmtId="165" fontId="24" fillId="2" borderId="10" xfId="0" applyNumberFormat="1" applyFont="1" applyFill="1" applyBorder="1" applyAlignment="1">
      <alignment vertical="center"/>
    </xf>
    <xf numFmtId="0" fontId="24" fillId="0" borderId="8" xfId="0" applyFont="1" applyBorder="1" applyAlignment="1">
      <alignment wrapText="1"/>
    </xf>
    <xf numFmtId="0" fontId="24" fillId="0" borderId="10" xfId="0" applyFont="1" applyBorder="1"/>
    <xf numFmtId="0" fontId="24" fillId="0" borderId="10" xfId="0" applyFont="1" applyBorder="1" applyAlignment="1">
      <alignment horizontal="center"/>
    </xf>
    <xf numFmtId="165" fontId="24" fillId="0" borderId="14" xfId="0" applyNumberFormat="1" applyFont="1" applyBorder="1" applyAlignment="1">
      <alignment horizontal="right"/>
    </xf>
    <xf numFmtId="0" fontId="28" fillId="10" borderId="0" xfId="0" applyFont="1" applyFill="1" applyBorder="1" applyAlignment="1"/>
    <xf numFmtId="0" fontId="28" fillId="10" borderId="25" xfId="0" applyFont="1" applyFill="1" applyBorder="1" applyAlignment="1"/>
    <xf numFmtId="0" fontId="24" fillId="2" borderId="8" xfId="0" applyFont="1" applyFill="1" applyBorder="1" applyAlignment="1">
      <alignment wrapText="1"/>
    </xf>
    <xf numFmtId="0" fontId="24" fillId="0" borderId="16" xfId="0" applyFont="1" applyBorder="1" applyAlignment="1">
      <alignment vertical="center" wrapText="1"/>
    </xf>
    <xf numFmtId="0" fontId="24" fillId="0" borderId="16" xfId="0" applyFont="1" applyBorder="1" applyAlignment="1">
      <alignment vertical="center"/>
    </xf>
    <xf numFmtId="0" fontId="24" fillId="0" borderId="16" xfId="0" applyFont="1" applyBorder="1" applyAlignment="1">
      <alignment horizontal="center" vertical="center"/>
    </xf>
    <xf numFmtId="165" fontId="24" fillId="0" borderId="16" xfId="0" applyNumberFormat="1" applyFont="1" applyBorder="1" applyAlignment="1">
      <alignment vertical="center"/>
    </xf>
    <xf numFmtId="165" fontId="23" fillId="8" borderId="13" xfId="0" applyNumberFormat="1" applyFont="1" applyFill="1" applyBorder="1" applyAlignment="1">
      <alignment horizontal="right"/>
    </xf>
    <xf numFmtId="165" fontId="23" fillId="6" borderId="11" xfId="0" applyNumberFormat="1" applyFont="1" applyFill="1" applyBorder="1" applyAlignment="1">
      <alignment horizontal="right"/>
    </xf>
    <xf numFmtId="164" fontId="23" fillId="24" borderId="29" xfId="0" applyNumberFormat="1" applyFont="1" applyFill="1" applyBorder="1" applyAlignment="1">
      <alignment vertical="center"/>
    </xf>
    <xf numFmtId="0" fontId="26" fillId="3" borderId="9" xfId="0" applyFont="1" applyFill="1" applyBorder="1" applyAlignment="1"/>
    <xf numFmtId="0" fontId="29" fillId="3" borderId="9" xfId="0" applyFont="1" applyFill="1" applyBorder="1" applyAlignment="1">
      <alignment wrapText="1"/>
    </xf>
    <xf numFmtId="165" fontId="30" fillId="4" borderId="9" xfId="0" applyNumberFormat="1" applyFont="1" applyFill="1" applyBorder="1" applyAlignment="1">
      <alignment horizontal="right" vertical="center"/>
    </xf>
    <xf numFmtId="164" fontId="30" fillId="3" borderId="9" xfId="0" applyNumberFormat="1" applyFont="1" applyFill="1" applyBorder="1" applyAlignment="1">
      <alignment vertical="center"/>
    </xf>
    <xf numFmtId="164" fontId="31" fillId="3" borderId="9" xfId="0" applyNumberFormat="1" applyFont="1" applyFill="1" applyBorder="1" applyAlignment="1">
      <alignment horizontal="right"/>
    </xf>
    <xf numFmtId="164" fontId="23" fillId="3" borderId="9" xfId="0" applyNumberFormat="1" applyFont="1" applyFill="1" applyBorder="1" applyAlignment="1">
      <alignment vertical="center"/>
    </xf>
    <xf numFmtId="0" fontId="32" fillId="0" borderId="0" xfId="0" applyFont="1"/>
    <xf numFmtId="0" fontId="32" fillId="0" borderId="0" xfId="0" applyFont="1" applyAlignment="1">
      <alignment horizontal="right"/>
    </xf>
    <xf numFmtId="0" fontId="24" fillId="0" borderId="0" xfId="0" applyFont="1" applyAlignment="1">
      <alignment vertical="center"/>
    </xf>
    <xf numFmtId="166" fontId="8" fillId="8" borderId="9" xfId="0" applyNumberFormat="1" applyFont="1" applyFill="1" applyBorder="1" applyAlignment="1">
      <alignment horizontal="center" vertical="center" wrapText="1"/>
    </xf>
    <xf numFmtId="0" fontId="5" fillId="0" borderId="9" xfId="0" applyFont="1" applyBorder="1"/>
    <xf numFmtId="166" fontId="22" fillId="9" borderId="16" xfId="0" applyNumberFormat="1" applyFont="1" applyFill="1" applyBorder="1" applyAlignment="1">
      <alignment horizontal="center" vertical="center" wrapText="1"/>
    </xf>
    <xf numFmtId="0" fontId="5" fillId="0" borderId="17" xfId="0" applyFont="1" applyBorder="1"/>
    <xf numFmtId="0" fontId="5" fillId="0" borderId="15" xfId="0" applyFont="1" applyBorder="1"/>
    <xf numFmtId="0" fontId="21" fillId="9" borderId="16" xfId="0" applyFont="1" applyFill="1" applyBorder="1" applyAlignment="1">
      <alignment horizontal="center" vertical="center" wrapText="1"/>
    </xf>
    <xf numFmtId="166" fontId="20" fillId="8" borderId="14" xfId="0" applyNumberFormat="1" applyFont="1" applyFill="1" applyBorder="1" applyAlignment="1">
      <alignment horizontal="center" vertical="center" wrapText="1"/>
    </xf>
    <xf numFmtId="0" fontId="5" fillId="0" borderId="13" xfId="0" applyFont="1" applyBorder="1"/>
    <xf numFmtId="0" fontId="5" fillId="0" borderId="8" xfId="0" applyFont="1" applyBorder="1"/>
    <xf numFmtId="166" fontId="8" fillId="6" borderId="9" xfId="0" applyNumberFormat="1" applyFont="1" applyFill="1" applyBorder="1" applyAlignment="1">
      <alignment horizontal="center" vertical="center" wrapText="1"/>
    </xf>
    <xf numFmtId="0" fontId="5" fillId="7" borderId="9" xfId="0" applyFont="1" applyFill="1" applyBorder="1"/>
    <xf numFmtId="0" fontId="2" fillId="9" borderId="16" xfId="0" applyFont="1" applyFill="1" applyBorder="1" applyAlignment="1">
      <alignment horizontal="center" vertical="center" wrapText="1"/>
    </xf>
    <xf numFmtId="166" fontId="8" fillId="8" borderId="14" xfId="0" applyNumberFormat="1" applyFont="1" applyFill="1" applyBorder="1" applyAlignment="1">
      <alignment horizontal="center" vertical="center" wrapText="1"/>
    </xf>
    <xf numFmtId="166" fontId="9" fillId="9" borderId="16" xfId="0" applyNumberFormat="1" applyFont="1" applyFill="1" applyBorder="1" applyAlignment="1">
      <alignment horizontal="center" vertical="center" wrapText="1"/>
    </xf>
    <xf numFmtId="0" fontId="24" fillId="11" borderId="14" xfId="0" applyFont="1" applyFill="1" applyBorder="1" applyAlignment="1">
      <alignment horizontal="center" wrapText="1"/>
    </xf>
    <xf numFmtId="0" fontId="24" fillId="11" borderId="13" xfId="0" applyFont="1" applyFill="1" applyBorder="1" applyAlignment="1">
      <alignment horizontal="center" wrapText="1"/>
    </xf>
    <xf numFmtId="166" fontId="20" fillId="6" borderId="14" xfId="0" applyNumberFormat="1" applyFont="1" applyFill="1" applyBorder="1" applyAlignment="1">
      <alignment horizontal="center" vertical="center" wrapText="1"/>
    </xf>
    <xf numFmtId="0" fontId="5" fillId="7" borderId="13" xfId="0" applyFont="1" applyFill="1" applyBorder="1"/>
    <xf numFmtId="0" fontId="5" fillId="7" borderId="8" xfId="0" applyFont="1" applyFill="1" applyBorder="1"/>
    <xf numFmtId="0" fontId="0" fillId="2" borderId="7" xfId="0" applyFill="1" applyBorder="1" applyAlignment="1">
      <alignment horizontal="center" wrapText="1"/>
    </xf>
    <xf numFmtId="0" fontId="0" fillId="2" borderId="6" xfId="0" applyFill="1" applyBorder="1" applyAlignment="1">
      <alignment horizontal="center" wrapText="1"/>
    </xf>
    <xf numFmtId="0" fontId="0" fillId="2" borderId="5" xfId="0" applyFill="1" applyBorder="1" applyAlignment="1">
      <alignment horizont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4" fillId="3" borderId="9" xfId="0" applyFont="1" applyFill="1" applyBorder="1" applyAlignment="1">
      <alignment horizontal="center"/>
    </xf>
    <xf numFmtId="0" fontId="5" fillId="0" borderId="17" xfId="0" applyFont="1" applyBorder="1" applyAlignment="1">
      <alignment horizontal="center" vertical="center"/>
    </xf>
    <xf numFmtId="0" fontId="12" fillId="0" borderId="17" xfId="0" applyFont="1" applyBorder="1" applyAlignment="1">
      <alignment horizontal="center" vertical="center"/>
    </xf>
    <xf numFmtId="0" fontId="12" fillId="0" borderId="15" xfId="0" applyFont="1" applyBorder="1" applyAlignment="1">
      <alignment horizontal="center" vertical="center"/>
    </xf>
    <xf numFmtId="0" fontId="12" fillId="0" borderId="17" xfId="0" applyFont="1" applyBorder="1"/>
    <xf numFmtId="0" fontId="12" fillId="0" borderId="15" xfId="0" applyFont="1" applyBorder="1"/>
    <xf numFmtId="166" fontId="15" fillId="8" borderId="14" xfId="0" applyNumberFormat="1" applyFont="1" applyFill="1" applyBorder="1" applyAlignment="1">
      <alignment horizontal="center" vertical="center" wrapText="1"/>
    </xf>
    <xf numFmtId="0" fontId="12" fillId="0" borderId="13" xfId="0" applyFont="1" applyBorder="1"/>
    <xf numFmtId="0" fontId="12" fillId="0" borderId="8" xfId="0" applyFont="1" applyBorder="1"/>
    <xf numFmtId="166" fontId="19" fillId="8" borderId="14" xfId="0" applyNumberFormat="1" applyFont="1" applyFill="1" applyBorder="1" applyAlignment="1">
      <alignment horizontal="center" vertical="center" wrapText="1"/>
    </xf>
    <xf numFmtId="0" fontId="12" fillId="7" borderId="13" xfId="0" applyFont="1" applyFill="1" applyBorder="1"/>
    <xf numFmtId="0" fontId="12" fillId="7" borderId="8" xfId="0" applyFont="1" applyFill="1" applyBorder="1"/>
    <xf numFmtId="166" fontId="15" fillId="8" borderId="9" xfId="1" applyNumberFormat="1" applyFont="1" applyFill="1" applyBorder="1" applyAlignment="1">
      <alignment horizontal="center" vertical="center" wrapText="1"/>
    </xf>
    <xf numFmtId="0" fontId="12" fillId="0" borderId="9" xfId="1" applyFont="1" applyBorder="1"/>
    <xf numFmtId="0" fontId="5" fillId="0" borderId="9" xfId="1" applyFont="1" applyBorder="1" applyAlignment="1">
      <alignment horizontal="center" vertical="center"/>
    </xf>
    <xf numFmtId="0" fontId="12" fillId="0" borderId="9" xfId="1" applyFont="1" applyBorder="1" applyAlignment="1">
      <alignment horizontal="center" vertical="center"/>
    </xf>
    <xf numFmtId="166" fontId="18" fillId="9" borderId="17" xfId="0" applyNumberFormat="1" applyFont="1" applyFill="1" applyBorder="1" applyAlignment="1">
      <alignment horizontal="center" vertical="center" wrapText="1"/>
    </xf>
    <xf numFmtId="0" fontId="16" fillId="9" borderId="17" xfId="0" applyFont="1" applyFill="1" applyBorder="1" applyAlignment="1">
      <alignment horizontal="center" vertical="center" wrapText="1"/>
    </xf>
    <xf numFmtId="0" fontId="24" fillId="15" borderId="14" xfId="0" applyFont="1" applyFill="1" applyBorder="1" applyAlignment="1">
      <alignment horizontal="center" wrapText="1"/>
    </xf>
    <xf numFmtId="0" fontId="26" fillId="14" borderId="13" xfId="0" applyFont="1" applyFill="1" applyBorder="1"/>
    <xf numFmtId="0" fontId="13" fillId="8" borderId="21" xfId="1" applyFont="1" applyFill="1" applyBorder="1" applyAlignment="1">
      <alignment horizontal="center" vertical="center"/>
    </xf>
    <xf numFmtId="0" fontId="12" fillId="0" borderId="19" xfId="1" applyFont="1" applyBorder="1"/>
    <xf numFmtId="0" fontId="12" fillId="0" borderId="20" xfId="1" applyFont="1" applyBorder="1"/>
    <xf numFmtId="166" fontId="8" fillId="6" borderId="9" xfId="1" applyNumberFormat="1" applyFont="1" applyFill="1" applyBorder="1" applyAlignment="1">
      <alignment horizontal="center" vertical="center" wrapText="1"/>
    </xf>
    <xf numFmtId="0" fontId="12" fillId="7" borderId="9" xfId="1" applyFont="1" applyFill="1" applyBorder="1"/>
    <xf numFmtId="0" fontId="23" fillId="21" borderId="9" xfId="0" applyFont="1" applyFill="1" applyBorder="1" applyAlignment="1">
      <alignment horizontal="center" vertical="center" wrapText="1"/>
    </xf>
    <xf numFmtId="0" fontId="23" fillId="21" borderId="9" xfId="0" applyFont="1" applyFill="1" applyBorder="1" applyAlignment="1">
      <alignment horizontal="center" vertical="center"/>
    </xf>
    <xf numFmtId="0" fontId="23" fillId="21" borderId="24" xfId="0" applyFont="1" applyFill="1" applyBorder="1" applyAlignment="1">
      <alignment horizontal="center" vertical="center" wrapText="1"/>
    </xf>
    <xf numFmtId="0" fontId="23" fillId="21" borderId="24" xfId="0" applyFont="1" applyFill="1" applyBorder="1" applyAlignment="1">
      <alignment horizontal="center" vertical="center"/>
    </xf>
    <xf numFmtId="0" fontId="14" fillId="16" borderId="9" xfId="0" applyFont="1" applyFill="1" applyBorder="1" applyAlignment="1">
      <alignment horizontal="center" vertical="center" wrapText="1"/>
    </xf>
    <xf numFmtId="0" fontId="24" fillId="17" borderId="18" xfId="0" applyFont="1" applyFill="1" applyBorder="1" applyAlignment="1">
      <alignment horizontal="center" wrapText="1"/>
    </xf>
    <xf numFmtId="0" fontId="24" fillId="17" borderId="0" xfId="0" applyFont="1" applyFill="1" applyBorder="1" applyAlignment="1">
      <alignment horizontal="center" wrapText="1"/>
    </xf>
    <xf numFmtId="0" fontId="24" fillId="17" borderId="25" xfId="0" applyFont="1" applyFill="1" applyBorder="1" applyAlignment="1">
      <alignment horizontal="center" wrapText="1"/>
    </xf>
    <xf numFmtId="0" fontId="24" fillId="17" borderId="9" xfId="0" applyFont="1" applyFill="1" applyBorder="1" applyAlignment="1">
      <alignment horizontal="center" wrapText="1"/>
    </xf>
    <xf numFmtId="0" fontId="24" fillId="18" borderId="9" xfId="0" applyFont="1" applyFill="1" applyBorder="1" applyAlignment="1">
      <alignment horizontal="center" wrapText="1"/>
    </xf>
    <xf numFmtId="0" fontId="24" fillId="21" borderId="26" xfId="0" applyFont="1" applyFill="1" applyBorder="1" applyAlignment="1">
      <alignment horizontal="center" vertical="center"/>
    </xf>
    <xf numFmtId="0" fontId="24" fillId="21" borderId="27" xfId="0" applyFont="1" applyFill="1" applyBorder="1" applyAlignment="1">
      <alignment horizontal="center" vertical="center"/>
    </xf>
    <xf numFmtId="0" fontId="13" fillId="8" borderId="9" xfId="1" applyFont="1" applyFill="1" applyBorder="1" applyAlignment="1">
      <alignment horizontal="center" vertical="center"/>
    </xf>
    <xf numFmtId="166" fontId="18" fillId="0" borderId="9" xfId="1" applyNumberFormat="1" applyFont="1" applyBorder="1" applyAlignment="1">
      <alignment horizontal="center" vertical="center" wrapText="1"/>
    </xf>
    <xf numFmtId="0" fontId="16" fillId="0" borderId="9" xfId="1" applyFont="1" applyBorder="1" applyAlignment="1">
      <alignment horizontal="center" vertical="center" wrapText="1"/>
    </xf>
    <xf numFmtId="0" fontId="5" fillId="0" borderId="9" xfId="1" applyFont="1" applyBorder="1" applyAlignment="1">
      <alignment horizontal="center" vertical="center" wrapText="1"/>
    </xf>
    <xf numFmtId="0" fontId="12" fillId="0" borderId="9" xfId="1" applyFont="1" applyBorder="1" applyAlignment="1">
      <alignment horizontal="center" vertical="center" wrapText="1"/>
    </xf>
    <xf numFmtId="0" fontId="5" fillId="0" borderId="18" xfId="0" applyFont="1" applyBorder="1"/>
    <xf numFmtId="0" fontId="24" fillId="25" borderId="26" xfId="0" applyFont="1" applyFill="1" applyBorder="1" applyAlignment="1">
      <alignment horizontal="center" vertical="center"/>
    </xf>
    <xf numFmtId="0" fontId="24" fillId="25" borderId="27" xfId="0" applyFont="1" applyFill="1" applyBorder="1" applyAlignment="1">
      <alignment horizontal="center" vertical="center"/>
    </xf>
    <xf numFmtId="0" fontId="24" fillId="24" borderId="26" xfId="0" applyFont="1" applyFill="1" applyBorder="1" applyAlignment="1">
      <alignment horizontal="center" vertical="center"/>
    </xf>
    <xf numFmtId="0" fontId="24" fillId="24" borderId="27" xfId="0" applyFont="1" applyFill="1" applyBorder="1" applyAlignment="1">
      <alignment horizontal="center" vertical="center"/>
    </xf>
    <xf numFmtId="0" fontId="10" fillId="26" borderId="9" xfId="0" applyFont="1" applyFill="1" applyBorder="1" applyAlignment="1">
      <alignment horizontal="center" vertical="center"/>
    </xf>
    <xf numFmtId="0" fontId="7" fillId="8" borderId="22" xfId="1" applyFont="1" applyFill="1" applyBorder="1" applyAlignment="1">
      <alignment horizontal="center" vertical="center"/>
    </xf>
    <xf numFmtId="0" fontId="13" fillId="8" borderId="23" xfId="1" applyFont="1" applyFill="1" applyBorder="1" applyAlignment="1">
      <alignment horizontal="center" vertical="center"/>
    </xf>
    <xf numFmtId="0" fontId="23" fillId="8" borderId="23" xfId="1" applyFont="1" applyFill="1" applyBorder="1" applyAlignment="1">
      <alignment horizontal="center" vertical="center"/>
    </xf>
    <xf numFmtId="0" fontId="23" fillId="8" borderId="32" xfId="1" applyFont="1" applyFill="1" applyBorder="1" applyAlignment="1">
      <alignment horizontal="center" vertical="center"/>
    </xf>
    <xf numFmtId="0" fontId="24" fillId="3" borderId="9" xfId="0" applyFont="1" applyFill="1" applyBorder="1" applyAlignment="1">
      <alignment horizontal="center" vertical="center"/>
    </xf>
    <xf numFmtId="0" fontId="24" fillId="12" borderId="18" xfId="0" applyFont="1" applyFill="1" applyBorder="1" applyAlignment="1">
      <alignment horizontal="center" wrapText="1"/>
    </xf>
    <xf numFmtId="0" fontId="24" fillId="12" borderId="0" xfId="0" applyFont="1" applyFill="1" applyBorder="1" applyAlignment="1">
      <alignment horizontal="center" wrapText="1"/>
    </xf>
    <xf numFmtId="0" fontId="24" fillId="12" borderId="25" xfId="0" applyFont="1" applyFill="1" applyBorder="1" applyAlignment="1">
      <alignment horizontal="center" wrapText="1"/>
    </xf>
    <xf numFmtId="0" fontId="14" fillId="13" borderId="9" xfId="0" applyFont="1" applyFill="1" applyBorder="1" applyAlignment="1">
      <alignment horizontal="center" wrapText="1"/>
    </xf>
    <xf numFmtId="0" fontId="24" fillId="24" borderId="30" xfId="0" applyFont="1" applyFill="1" applyBorder="1" applyAlignment="1">
      <alignment horizontal="center" vertical="center"/>
    </xf>
    <xf numFmtId="0" fontId="24" fillId="24" borderId="31" xfId="0" applyFont="1" applyFill="1" applyBorder="1" applyAlignment="1">
      <alignment horizontal="center" vertical="center"/>
    </xf>
    <xf numFmtId="0" fontId="23" fillId="3" borderId="9" xfId="0" applyFont="1" applyFill="1" applyBorder="1" applyAlignment="1">
      <alignment horizontal="center" vertical="center"/>
    </xf>
  </cellXfs>
  <cellStyles count="2">
    <cellStyle name="Normal" xfId="0" builtinId="0"/>
    <cellStyle name="Normal 2" xfId="1" xr:uid="{448C1D5B-A02D-4B8F-9389-4E4E365C6E76}"/>
  </cellStyles>
  <dxfs count="2">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128337</xdr:colOff>
      <xdr:row>150</xdr:row>
      <xdr:rowOff>8021</xdr:rowOff>
    </xdr:from>
    <xdr:ext cx="4387917" cy="2450431"/>
    <xdr:pic>
      <xdr:nvPicPr>
        <xdr:cNvPr id="2" name="Imagen 1">
          <a:extLst>
            <a:ext uri="{FF2B5EF4-FFF2-40B4-BE49-F238E27FC236}">
              <a16:creationId xmlns:a16="http://schemas.microsoft.com/office/drawing/2014/main" id="{2DD24A89-5464-421D-8D1B-D5C3062DAE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337" y="36423600"/>
          <a:ext cx="4387917" cy="245043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969CF-7B93-43C8-9F48-CC2EC472856F}">
  <dimension ref="A1:L161"/>
  <sheetViews>
    <sheetView tabSelected="1" topLeftCell="C137" zoomScale="85" zoomScaleNormal="85" workbookViewId="0">
      <selection activeCell="O144" sqref="O144"/>
    </sheetView>
  </sheetViews>
  <sheetFormatPr baseColWidth="10" defaultRowHeight="14.5"/>
  <cols>
    <col min="1" max="1" width="0" hidden="1" customWidth="1"/>
    <col min="2" max="2" width="34.08984375" hidden="1" customWidth="1"/>
    <col min="3" max="3" width="32.36328125" style="149" customWidth="1"/>
    <col min="4" max="4" width="12.36328125" style="149" customWidth="1"/>
    <col min="5" max="5" width="11.54296875" style="149"/>
    <col min="6" max="6" width="15" style="149" customWidth="1"/>
    <col min="7" max="7" width="15.1796875" style="150" customWidth="1"/>
    <col min="8" max="8" width="12.90625" style="53" customWidth="1"/>
    <col min="9" max="9" width="14.54296875" style="151" bestFit="1" customWidth="1"/>
    <col min="10" max="10" width="16.81640625" style="55" bestFit="1" customWidth="1"/>
    <col min="11" max="12" width="14.08984375" bestFit="1" customWidth="1"/>
  </cols>
  <sheetData>
    <row r="1" spans="1:10" ht="46.25" customHeight="1">
      <c r="A1" s="225" t="s">
        <v>156</v>
      </c>
      <c r="B1" s="225"/>
      <c r="C1" s="225"/>
      <c r="D1" s="225"/>
      <c r="E1" s="225"/>
      <c r="F1" s="225"/>
      <c r="G1" s="225"/>
      <c r="H1" s="225"/>
      <c r="I1" s="225"/>
      <c r="J1" s="225"/>
    </row>
    <row r="2" spans="1:10" ht="28.75" customHeight="1">
      <c r="A2" s="226" t="s">
        <v>153</v>
      </c>
      <c r="B2" s="227"/>
      <c r="C2" s="227"/>
      <c r="D2" s="228" t="s">
        <v>154</v>
      </c>
      <c r="E2" s="228"/>
      <c r="F2" s="228"/>
      <c r="G2" s="229"/>
      <c r="H2" s="203" t="s">
        <v>149</v>
      </c>
      <c r="I2" s="204" t="s">
        <v>155</v>
      </c>
      <c r="J2" s="204"/>
    </row>
    <row r="3" spans="1:10" ht="26.4" customHeight="1">
      <c r="A3" s="7" t="s">
        <v>57</v>
      </c>
      <c r="B3" s="7" t="s">
        <v>56</v>
      </c>
      <c r="C3" s="15" t="s">
        <v>55</v>
      </c>
      <c r="D3" s="15" t="s">
        <v>54</v>
      </c>
      <c r="E3" s="15" t="s">
        <v>53</v>
      </c>
      <c r="F3" s="16" t="s">
        <v>148</v>
      </c>
      <c r="G3" s="17" t="s">
        <v>51</v>
      </c>
      <c r="H3" s="203"/>
      <c r="I3" s="18" t="s">
        <v>148</v>
      </c>
      <c r="J3" s="19" t="s">
        <v>51</v>
      </c>
    </row>
    <row r="4" spans="1:10" ht="40.25" customHeight="1">
      <c r="A4" s="179" t="s">
        <v>50</v>
      </c>
      <c r="B4" s="182"/>
      <c r="C4" s="20" t="s">
        <v>147</v>
      </c>
      <c r="D4" s="21" t="s">
        <v>6</v>
      </c>
      <c r="E4" s="22">
        <v>50</v>
      </c>
      <c r="F4" s="23">
        <f>290000*(1+5.8%)</f>
        <v>306820</v>
      </c>
      <c r="G4" s="24">
        <f>E4*F4</f>
        <v>15341000</v>
      </c>
      <c r="H4" s="25">
        <v>5.0999999999999996</v>
      </c>
      <c r="I4" s="26">
        <f>+(F4*H4%)+F4</f>
        <v>322467.82</v>
      </c>
      <c r="J4" s="27">
        <f>+I4*E4</f>
        <v>16123391</v>
      </c>
    </row>
    <row r="5" spans="1:10" ht="43.75" customHeight="1">
      <c r="A5" s="180"/>
      <c r="B5" s="182"/>
      <c r="C5" s="20" t="s">
        <v>146</v>
      </c>
      <c r="D5" s="21" t="s">
        <v>6</v>
      </c>
      <c r="E5" s="22">
        <v>50</v>
      </c>
      <c r="F5" s="23">
        <v>298356</v>
      </c>
      <c r="G5" s="24">
        <f>E5*F5</f>
        <v>14917800</v>
      </c>
      <c r="H5" s="28">
        <v>5.0999999999999996</v>
      </c>
      <c r="I5" s="26">
        <f t="shared" ref="I5:I15" si="0">+(F5*H5%)+F5</f>
        <v>313572.15600000002</v>
      </c>
      <c r="J5" s="27">
        <f t="shared" ref="J5:J15" si="1">+I5*E5</f>
        <v>15678607.800000001</v>
      </c>
    </row>
    <row r="6" spans="1:10" ht="110">
      <c r="A6" s="180"/>
      <c r="B6" s="182"/>
      <c r="C6" s="20" t="s">
        <v>145</v>
      </c>
      <c r="D6" s="21" t="s">
        <v>6</v>
      </c>
      <c r="E6" s="22">
        <v>1</v>
      </c>
      <c r="F6" s="23">
        <v>2634500</v>
      </c>
      <c r="G6" s="24">
        <f>E6*F6</f>
        <v>2634500</v>
      </c>
      <c r="H6" s="28">
        <v>5.0999999999999996</v>
      </c>
      <c r="I6" s="26">
        <f t="shared" si="0"/>
        <v>2768859.5</v>
      </c>
      <c r="J6" s="27">
        <f t="shared" si="1"/>
        <v>2768859.5</v>
      </c>
    </row>
    <row r="7" spans="1:10" ht="25.75" customHeight="1">
      <c r="A7" s="181"/>
      <c r="B7" s="183"/>
      <c r="C7" s="20" t="s">
        <v>144</v>
      </c>
      <c r="D7" s="21" t="s">
        <v>6</v>
      </c>
      <c r="E7" s="22">
        <v>3</v>
      </c>
      <c r="F7" s="23">
        <v>3080000</v>
      </c>
      <c r="G7" s="24">
        <f>E7*F7</f>
        <v>9240000</v>
      </c>
      <c r="H7" s="28">
        <v>5.0999999999999996</v>
      </c>
      <c r="I7" s="26">
        <f t="shared" si="0"/>
        <v>3237080</v>
      </c>
      <c r="J7" s="27">
        <f t="shared" si="1"/>
        <v>9711240</v>
      </c>
    </row>
    <row r="8" spans="1:10">
      <c r="A8" s="184" t="s">
        <v>41</v>
      </c>
      <c r="B8" s="185"/>
      <c r="C8" s="185"/>
      <c r="D8" s="185"/>
      <c r="E8" s="185"/>
      <c r="F8" s="186"/>
      <c r="G8" s="29">
        <f>SUM(G4:G7)</f>
        <v>42133300</v>
      </c>
      <c r="H8" s="30"/>
      <c r="I8" s="31"/>
      <c r="J8" s="32">
        <f>SUM(J4:J7)</f>
        <v>44282098.299999997</v>
      </c>
    </row>
    <row r="9" spans="1:10" ht="15.75" customHeight="1">
      <c r="A9" s="194" t="s">
        <v>40</v>
      </c>
      <c r="B9" s="195"/>
      <c r="C9" s="33" t="s">
        <v>143</v>
      </c>
      <c r="D9" s="34" t="s">
        <v>6</v>
      </c>
      <c r="E9" s="35">
        <v>50</v>
      </c>
      <c r="F9" s="36">
        <v>7000</v>
      </c>
      <c r="G9" s="37">
        <f>E9*F9</f>
        <v>350000</v>
      </c>
      <c r="H9" s="28">
        <v>5.0999999999999996</v>
      </c>
      <c r="I9" s="26">
        <f t="shared" si="0"/>
        <v>7357</v>
      </c>
      <c r="J9" s="27">
        <f t="shared" si="1"/>
        <v>367850</v>
      </c>
    </row>
    <row r="10" spans="1:10" ht="25" customHeight="1">
      <c r="A10" s="182"/>
      <c r="B10" s="182"/>
      <c r="C10" s="38" t="s">
        <v>142</v>
      </c>
      <c r="D10" s="34" t="s">
        <v>6</v>
      </c>
      <c r="E10" s="39">
        <v>50</v>
      </c>
      <c r="F10" s="40">
        <v>127040</v>
      </c>
      <c r="G10" s="41">
        <f>E10*F10</f>
        <v>6352000</v>
      </c>
      <c r="H10" s="28">
        <v>5.0999999999999996</v>
      </c>
      <c r="I10" s="26">
        <f t="shared" si="0"/>
        <v>133519.04000000001</v>
      </c>
      <c r="J10" s="27">
        <f t="shared" si="1"/>
        <v>6675952</v>
      </c>
    </row>
    <row r="11" spans="1:10" ht="49.25" customHeight="1">
      <c r="A11" s="182"/>
      <c r="B11" s="182"/>
      <c r="C11" s="33" t="s">
        <v>33</v>
      </c>
      <c r="D11" s="34" t="s">
        <v>6</v>
      </c>
      <c r="E11" s="35">
        <f>16*50</f>
        <v>800</v>
      </c>
      <c r="F11" s="36">
        <v>18000</v>
      </c>
      <c r="G11" s="37">
        <f>E11*F11</f>
        <v>14400000</v>
      </c>
      <c r="H11" s="28">
        <v>5.0999999999999996</v>
      </c>
      <c r="I11" s="26">
        <f t="shared" si="0"/>
        <v>18918</v>
      </c>
      <c r="J11" s="27">
        <f t="shared" si="1"/>
        <v>15134400</v>
      </c>
    </row>
    <row r="12" spans="1:10" ht="20.399999999999999" customHeight="1">
      <c r="A12" s="182"/>
      <c r="B12" s="182"/>
      <c r="C12" s="42" t="s">
        <v>141</v>
      </c>
      <c r="D12" s="21" t="s">
        <v>6</v>
      </c>
      <c r="E12" s="22">
        <v>50</v>
      </c>
      <c r="F12" s="23">
        <v>38500</v>
      </c>
      <c r="G12" s="24">
        <f>E12*F12</f>
        <v>1925000</v>
      </c>
      <c r="H12" s="28">
        <v>5.0999999999999996</v>
      </c>
      <c r="I12" s="26">
        <f t="shared" si="0"/>
        <v>40463.5</v>
      </c>
      <c r="J12" s="27">
        <f t="shared" si="1"/>
        <v>2023175</v>
      </c>
    </row>
    <row r="13" spans="1:10" ht="27.5" customHeight="1">
      <c r="A13" s="182"/>
      <c r="B13" s="182"/>
      <c r="C13" s="43" t="s">
        <v>140</v>
      </c>
      <c r="D13" s="21" t="s">
        <v>6</v>
      </c>
      <c r="E13" s="22">
        <v>50</v>
      </c>
      <c r="F13" s="23">
        <v>11000</v>
      </c>
      <c r="G13" s="24">
        <f>E13*F13</f>
        <v>550000</v>
      </c>
      <c r="H13" s="28">
        <v>5.0999999999999996</v>
      </c>
      <c r="I13" s="26">
        <f t="shared" si="0"/>
        <v>11561</v>
      </c>
      <c r="J13" s="27">
        <f t="shared" si="1"/>
        <v>578050</v>
      </c>
    </row>
    <row r="14" spans="1:10" ht="15.75" customHeight="1">
      <c r="A14" s="182"/>
      <c r="B14" s="182"/>
      <c r="C14" s="196" t="s">
        <v>139</v>
      </c>
      <c r="D14" s="197"/>
      <c r="E14" s="197"/>
      <c r="F14" s="197"/>
      <c r="G14" s="44"/>
      <c r="H14" s="44"/>
      <c r="I14" s="45"/>
      <c r="J14" s="46"/>
    </row>
    <row r="15" spans="1:10" ht="36" customHeight="1">
      <c r="A15" s="182"/>
      <c r="B15" s="182"/>
      <c r="C15" s="43" t="s">
        <v>138</v>
      </c>
      <c r="D15" s="21" t="s">
        <v>6</v>
      </c>
      <c r="E15" s="22">
        <v>50</v>
      </c>
      <c r="F15" s="23">
        <v>990000</v>
      </c>
      <c r="G15" s="24">
        <f>E15*F15</f>
        <v>49500000</v>
      </c>
      <c r="H15" s="28">
        <v>5.0999999999999996</v>
      </c>
      <c r="I15" s="26">
        <f t="shared" si="0"/>
        <v>1040490</v>
      </c>
      <c r="J15" s="27">
        <f t="shared" si="1"/>
        <v>52024500</v>
      </c>
    </row>
    <row r="16" spans="1:10" ht="15.75" customHeight="1">
      <c r="A16" s="187" t="s">
        <v>11</v>
      </c>
      <c r="B16" s="185"/>
      <c r="C16" s="185"/>
      <c r="D16" s="185"/>
      <c r="E16" s="185"/>
      <c r="F16" s="186"/>
      <c r="G16" s="29">
        <f>SUM(G9:G15)</f>
        <v>73077000</v>
      </c>
      <c r="H16" s="30"/>
      <c r="I16" s="31"/>
      <c r="J16" s="32">
        <f>SUM(J9:J15)</f>
        <v>76803927</v>
      </c>
    </row>
    <row r="17" spans="1:10" ht="15.75" customHeight="1">
      <c r="A17" s="168" t="s">
        <v>137</v>
      </c>
      <c r="B17" s="188"/>
      <c r="C17" s="188"/>
      <c r="D17" s="188"/>
      <c r="E17" s="188"/>
      <c r="F17" s="189"/>
      <c r="G17" s="47">
        <f>+G16+G8</f>
        <v>115210300</v>
      </c>
      <c r="H17" s="48"/>
      <c r="I17" s="49"/>
      <c r="J17" s="50">
        <f>+J16+J8</f>
        <v>121086025.3</v>
      </c>
    </row>
    <row r="18" spans="1:10" ht="15.75" customHeight="1">
      <c r="A18" s="6"/>
      <c r="B18" s="5"/>
      <c r="C18" s="51"/>
      <c r="D18" s="51"/>
      <c r="E18" s="51"/>
      <c r="F18" s="51"/>
      <c r="G18" s="52"/>
      <c r="I18" s="54"/>
    </row>
    <row r="19" spans="1:10" ht="36" customHeight="1">
      <c r="A19" s="207" t="s">
        <v>136</v>
      </c>
      <c r="B19" s="207"/>
      <c r="C19" s="207"/>
      <c r="D19" s="207"/>
      <c r="E19" s="207"/>
      <c r="F19" s="207"/>
      <c r="G19" s="207"/>
      <c r="H19" s="207"/>
      <c r="I19" s="207"/>
      <c r="J19" s="207"/>
    </row>
    <row r="20" spans="1:10" ht="36" customHeight="1">
      <c r="A20" s="198" t="s">
        <v>135</v>
      </c>
      <c r="B20" s="199"/>
      <c r="C20" s="199"/>
      <c r="D20" s="199"/>
      <c r="E20" s="199"/>
      <c r="F20" s="199"/>
      <c r="G20" s="200"/>
      <c r="H20" s="205" t="s">
        <v>149</v>
      </c>
      <c r="I20" s="206" t="s">
        <v>150</v>
      </c>
      <c r="J20" s="206"/>
    </row>
    <row r="21" spans="1:10" ht="39" customHeight="1">
      <c r="A21" s="4" t="s">
        <v>57</v>
      </c>
      <c r="B21" s="4" t="s">
        <v>56</v>
      </c>
      <c r="C21" s="15" t="s">
        <v>55</v>
      </c>
      <c r="D21" s="15" t="s">
        <v>54</v>
      </c>
      <c r="E21" s="15" t="s">
        <v>53</v>
      </c>
      <c r="F21" s="56" t="s">
        <v>52</v>
      </c>
      <c r="G21" s="57" t="s">
        <v>51</v>
      </c>
      <c r="H21" s="203"/>
      <c r="I21" s="18" t="s">
        <v>148</v>
      </c>
      <c r="J21" s="19" t="s">
        <v>51</v>
      </c>
    </row>
    <row r="22" spans="1:10" ht="71.5">
      <c r="A22" s="154" t="s">
        <v>50</v>
      </c>
      <c r="B22" s="157" t="s">
        <v>134</v>
      </c>
      <c r="C22" s="58" t="s">
        <v>133</v>
      </c>
      <c r="D22" s="59" t="s">
        <v>132</v>
      </c>
      <c r="E22" s="22">
        <v>100</v>
      </c>
      <c r="F22" s="23">
        <v>1000000</v>
      </c>
      <c r="G22" s="24">
        <f>E22*F22</f>
        <v>100000000</v>
      </c>
      <c r="H22" s="28">
        <v>5.0999999999999996</v>
      </c>
      <c r="I22" s="26">
        <f>+(F22*H22%)+F22</f>
        <v>1051000</v>
      </c>
      <c r="J22" s="27">
        <f>+I22*E22</f>
        <v>105100000</v>
      </c>
    </row>
    <row r="23" spans="1:10" ht="15.75" customHeight="1">
      <c r="A23" s="155"/>
      <c r="B23" s="155"/>
      <c r="C23" s="60" t="s">
        <v>131</v>
      </c>
      <c r="D23" s="59" t="s">
        <v>6</v>
      </c>
      <c r="E23" s="22">
        <v>100</v>
      </c>
      <c r="F23" s="23">
        <v>400000</v>
      </c>
      <c r="G23" s="24">
        <f>E23*F23</f>
        <v>40000000</v>
      </c>
      <c r="H23" s="28">
        <v>5.0999999999999996</v>
      </c>
      <c r="I23" s="26">
        <f t="shared" ref="I23:I76" si="2">+(F23*H23%)+F23</f>
        <v>420400</v>
      </c>
      <c r="J23" s="27">
        <f t="shared" ref="J23:J76" si="3">+I23*E23</f>
        <v>42040000</v>
      </c>
    </row>
    <row r="24" spans="1:10" ht="15.75" customHeight="1">
      <c r="A24" s="155"/>
      <c r="B24" s="155"/>
      <c r="C24" s="61" t="s">
        <v>130</v>
      </c>
      <c r="D24" s="22" t="s">
        <v>6</v>
      </c>
      <c r="E24" s="22">
        <v>3</v>
      </c>
      <c r="F24" s="23">
        <v>3630000</v>
      </c>
      <c r="G24" s="24">
        <f>E24*F24</f>
        <v>10890000</v>
      </c>
      <c r="H24" s="28">
        <v>5.0999999999999996</v>
      </c>
      <c r="I24" s="26">
        <f t="shared" si="2"/>
        <v>3815130</v>
      </c>
      <c r="J24" s="27">
        <f t="shared" si="3"/>
        <v>11445390</v>
      </c>
    </row>
    <row r="25" spans="1:10" ht="15.75" customHeight="1">
      <c r="A25" s="156"/>
      <c r="B25" s="156"/>
      <c r="C25" s="61" t="s">
        <v>129</v>
      </c>
      <c r="D25" s="22" t="s">
        <v>6</v>
      </c>
      <c r="E25" s="22">
        <v>3</v>
      </c>
      <c r="F25" s="23">
        <v>5133333.333333333</v>
      </c>
      <c r="G25" s="24">
        <f>E25*F25</f>
        <v>15400000</v>
      </c>
      <c r="H25" s="28">
        <v>5.0999999999999996</v>
      </c>
      <c r="I25" s="26">
        <f t="shared" si="2"/>
        <v>5395133.333333333</v>
      </c>
      <c r="J25" s="27">
        <f t="shared" si="3"/>
        <v>16185400</v>
      </c>
    </row>
    <row r="26" spans="1:10" ht="15.75" customHeight="1">
      <c r="A26" s="158" t="s">
        <v>41</v>
      </c>
      <c r="B26" s="159"/>
      <c r="C26" s="159"/>
      <c r="D26" s="159"/>
      <c r="E26" s="159"/>
      <c r="F26" s="160"/>
      <c r="G26" s="62">
        <f>SUM(G22:G25)</f>
        <v>166290000</v>
      </c>
      <c r="H26" s="213"/>
      <c r="I26" s="214"/>
      <c r="J26" s="32">
        <f>SUM(J22:J25)</f>
        <v>174770790</v>
      </c>
    </row>
    <row r="27" spans="1:10" ht="15.75" customHeight="1">
      <c r="A27" s="155"/>
      <c r="B27" s="155"/>
      <c r="C27" s="58" t="s">
        <v>128</v>
      </c>
      <c r="D27" s="59" t="s">
        <v>6</v>
      </c>
      <c r="E27" s="59">
        <v>200</v>
      </c>
      <c r="F27" s="23">
        <v>30000</v>
      </c>
      <c r="G27" s="24">
        <f>E27*F27</f>
        <v>6000000</v>
      </c>
      <c r="H27" s="28">
        <v>5.0999999999999996</v>
      </c>
      <c r="I27" s="26">
        <f t="shared" si="2"/>
        <v>31530</v>
      </c>
      <c r="J27" s="27">
        <f t="shared" si="3"/>
        <v>6306000</v>
      </c>
    </row>
    <row r="28" spans="1:10" ht="15.75" customHeight="1">
      <c r="A28" s="155"/>
      <c r="B28" s="155"/>
      <c r="C28" s="58" t="s">
        <v>127</v>
      </c>
      <c r="D28" s="59" t="s">
        <v>6</v>
      </c>
      <c r="E28" s="63">
        <v>200</v>
      </c>
      <c r="F28" s="23">
        <v>18671</v>
      </c>
      <c r="G28" s="24">
        <f>E28*F28</f>
        <v>3734200</v>
      </c>
      <c r="H28" s="28">
        <v>5.0999999999999996</v>
      </c>
      <c r="I28" s="26">
        <f t="shared" si="2"/>
        <v>19623.221000000001</v>
      </c>
      <c r="J28" s="27">
        <f t="shared" si="3"/>
        <v>3924644.2</v>
      </c>
    </row>
    <row r="29" spans="1:10" ht="15.75" customHeight="1">
      <c r="A29" s="155"/>
      <c r="B29" s="155"/>
      <c r="C29" s="61" t="s">
        <v>126</v>
      </c>
      <c r="D29" s="64" t="s">
        <v>6</v>
      </c>
      <c r="E29" s="65">
        <v>200</v>
      </c>
      <c r="F29" s="36">
        <v>7000</v>
      </c>
      <c r="G29" s="37">
        <f>E29*F29</f>
        <v>1400000</v>
      </c>
      <c r="H29" s="28">
        <v>5.0999999999999996</v>
      </c>
      <c r="I29" s="26">
        <f t="shared" si="2"/>
        <v>7357</v>
      </c>
      <c r="J29" s="27">
        <f t="shared" si="3"/>
        <v>1471400</v>
      </c>
    </row>
    <row r="30" spans="1:10" ht="15.75" customHeight="1">
      <c r="A30" s="155"/>
      <c r="B30" s="155"/>
      <c r="C30" s="66" t="s">
        <v>125</v>
      </c>
      <c r="D30" s="34" t="s">
        <v>6</v>
      </c>
      <c r="E30" s="67">
        <v>4400</v>
      </c>
      <c r="F30" s="68">
        <v>4000</v>
      </c>
      <c r="G30" s="69">
        <f>E30*F30</f>
        <v>17600000</v>
      </c>
      <c r="H30" s="70">
        <v>5.0999999999999996</v>
      </c>
      <c r="I30" s="71">
        <f t="shared" si="2"/>
        <v>4204</v>
      </c>
      <c r="J30" s="72">
        <f t="shared" si="3"/>
        <v>18497600</v>
      </c>
    </row>
    <row r="31" spans="1:10" ht="15.75" customHeight="1">
      <c r="A31" s="155"/>
      <c r="B31" s="220"/>
      <c r="C31" s="212" t="s">
        <v>124</v>
      </c>
      <c r="D31" s="212"/>
      <c r="E31" s="212"/>
      <c r="F31" s="212"/>
      <c r="G31" s="212"/>
      <c r="H31" s="212"/>
      <c r="I31" s="212"/>
      <c r="J31" s="212"/>
    </row>
    <row r="32" spans="1:10" ht="15.75" customHeight="1">
      <c r="A32" s="155"/>
      <c r="B32" s="220"/>
      <c r="C32" s="211" t="s">
        <v>123</v>
      </c>
      <c r="D32" s="211"/>
      <c r="E32" s="211"/>
      <c r="F32" s="211"/>
      <c r="G32" s="211"/>
      <c r="H32" s="211"/>
      <c r="I32" s="211"/>
      <c r="J32" s="211"/>
    </row>
    <row r="33" spans="1:10" ht="15.75" customHeight="1">
      <c r="A33" s="155"/>
      <c r="B33" s="155"/>
      <c r="C33" s="73" t="s">
        <v>122</v>
      </c>
      <c r="D33" s="74" t="s">
        <v>6</v>
      </c>
      <c r="E33" s="75">
        <v>100</v>
      </c>
      <c r="F33" s="76">
        <f>150000</f>
        <v>150000</v>
      </c>
      <c r="G33" s="77">
        <f t="shared" ref="G33:G49" si="4">F33*E33</f>
        <v>15000000</v>
      </c>
      <c r="H33" s="25">
        <v>5.0999999999999996</v>
      </c>
      <c r="I33" s="78">
        <f t="shared" si="2"/>
        <v>157650</v>
      </c>
      <c r="J33" s="79">
        <f t="shared" si="3"/>
        <v>15765000</v>
      </c>
    </row>
    <row r="34" spans="1:10" ht="15.75" customHeight="1">
      <c r="A34" s="155"/>
      <c r="B34" s="155"/>
      <c r="C34" s="58" t="s">
        <v>121</v>
      </c>
      <c r="D34" s="80" t="s">
        <v>6</v>
      </c>
      <c r="E34" s="63">
        <v>100</v>
      </c>
      <c r="F34" s="81">
        <f>170000</f>
        <v>170000</v>
      </c>
      <c r="G34" s="82">
        <f t="shared" si="4"/>
        <v>17000000</v>
      </c>
      <c r="H34" s="28">
        <v>5.0999999999999996</v>
      </c>
      <c r="I34" s="26">
        <f t="shared" si="2"/>
        <v>178670</v>
      </c>
      <c r="J34" s="27">
        <f t="shared" si="3"/>
        <v>17867000</v>
      </c>
    </row>
    <row r="35" spans="1:10" ht="15.75" customHeight="1">
      <c r="A35" s="155"/>
      <c r="B35" s="155"/>
      <c r="C35" s="58" t="s">
        <v>120</v>
      </c>
      <c r="D35" s="80" t="s">
        <v>6</v>
      </c>
      <c r="E35" s="63">
        <v>100</v>
      </c>
      <c r="F35" s="81">
        <f>15000</f>
        <v>15000</v>
      </c>
      <c r="G35" s="82">
        <f t="shared" si="4"/>
        <v>1500000</v>
      </c>
      <c r="H35" s="28">
        <v>5.0999999999999996</v>
      </c>
      <c r="I35" s="26">
        <f t="shared" si="2"/>
        <v>15765</v>
      </c>
      <c r="J35" s="27">
        <f t="shared" si="3"/>
        <v>1576500</v>
      </c>
    </row>
    <row r="36" spans="1:10" ht="15.75" customHeight="1">
      <c r="A36" s="155"/>
      <c r="B36" s="155"/>
      <c r="C36" s="58" t="s">
        <v>119</v>
      </c>
      <c r="D36" s="80" t="s">
        <v>6</v>
      </c>
      <c r="E36" s="63">
        <v>100</v>
      </c>
      <c r="F36" s="81">
        <f>9000</f>
        <v>9000</v>
      </c>
      <c r="G36" s="82">
        <f t="shared" si="4"/>
        <v>900000</v>
      </c>
      <c r="H36" s="28">
        <v>5.0999999999999996</v>
      </c>
      <c r="I36" s="26">
        <f t="shared" si="2"/>
        <v>9459</v>
      </c>
      <c r="J36" s="27">
        <f t="shared" si="3"/>
        <v>945900</v>
      </c>
    </row>
    <row r="37" spans="1:10" ht="15.75" customHeight="1">
      <c r="A37" s="155"/>
      <c r="B37" s="155"/>
      <c r="C37" s="58" t="s">
        <v>118</v>
      </c>
      <c r="D37" s="80" t="s">
        <v>6</v>
      </c>
      <c r="E37" s="63">
        <v>100</v>
      </c>
      <c r="F37" s="81">
        <f>4500</f>
        <v>4500</v>
      </c>
      <c r="G37" s="82">
        <f t="shared" si="4"/>
        <v>450000</v>
      </c>
      <c r="H37" s="28">
        <v>5.0999999999999996</v>
      </c>
      <c r="I37" s="26">
        <f t="shared" si="2"/>
        <v>4729.5</v>
      </c>
      <c r="J37" s="27">
        <f t="shared" si="3"/>
        <v>472950</v>
      </c>
    </row>
    <row r="38" spans="1:10" ht="15.75" customHeight="1">
      <c r="A38" s="155"/>
      <c r="B38" s="155"/>
      <c r="C38" s="58" t="s">
        <v>117</v>
      </c>
      <c r="D38" s="80" t="s">
        <v>6</v>
      </c>
      <c r="E38" s="63">
        <v>100</v>
      </c>
      <c r="F38" s="81">
        <f>100000</f>
        <v>100000</v>
      </c>
      <c r="G38" s="82">
        <f t="shared" si="4"/>
        <v>10000000</v>
      </c>
      <c r="H38" s="28">
        <v>5.0999999999999996</v>
      </c>
      <c r="I38" s="26">
        <f t="shared" si="2"/>
        <v>105100</v>
      </c>
      <c r="J38" s="27">
        <f t="shared" si="3"/>
        <v>10510000</v>
      </c>
    </row>
    <row r="39" spans="1:10" ht="15.75" customHeight="1">
      <c r="A39" s="155"/>
      <c r="B39" s="155"/>
      <c r="C39" s="58" t="s">
        <v>116</v>
      </c>
      <c r="D39" s="80" t="s">
        <v>6</v>
      </c>
      <c r="E39" s="63">
        <v>100</v>
      </c>
      <c r="F39" s="81">
        <f>150000</f>
        <v>150000</v>
      </c>
      <c r="G39" s="82">
        <f t="shared" si="4"/>
        <v>15000000</v>
      </c>
      <c r="H39" s="28">
        <v>5.0999999999999996</v>
      </c>
      <c r="I39" s="26">
        <f t="shared" si="2"/>
        <v>157650</v>
      </c>
      <c r="J39" s="27">
        <f t="shared" si="3"/>
        <v>15765000</v>
      </c>
    </row>
    <row r="40" spans="1:10" ht="15.75" customHeight="1">
      <c r="A40" s="155"/>
      <c r="B40" s="155"/>
      <c r="C40" s="58" t="s">
        <v>115</v>
      </c>
      <c r="D40" s="80" t="s">
        <v>6</v>
      </c>
      <c r="E40" s="63">
        <v>100</v>
      </c>
      <c r="F40" s="81">
        <f>30000</f>
        <v>30000</v>
      </c>
      <c r="G40" s="82">
        <f t="shared" si="4"/>
        <v>3000000</v>
      </c>
      <c r="H40" s="28">
        <v>5.0999999999999996</v>
      </c>
      <c r="I40" s="26">
        <f t="shared" si="2"/>
        <v>31530</v>
      </c>
      <c r="J40" s="27">
        <f t="shared" si="3"/>
        <v>3153000</v>
      </c>
    </row>
    <row r="41" spans="1:10" ht="15.75" customHeight="1">
      <c r="A41" s="155"/>
      <c r="B41" s="155"/>
      <c r="C41" s="58" t="s">
        <v>114</v>
      </c>
      <c r="D41" s="80" t="s">
        <v>6</v>
      </c>
      <c r="E41" s="63">
        <v>100</v>
      </c>
      <c r="F41" s="81">
        <f>22000</f>
        <v>22000</v>
      </c>
      <c r="G41" s="82">
        <f t="shared" si="4"/>
        <v>2200000</v>
      </c>
      <c r="H41" s="28">
        <v>5.0999999999999996</v>
      </c>
      <c r="I41" s="26">
        <f t="shared" si="2"/>
        <v>23122</v>
      </c>
      <c r="J41" s="27">
        <f t="shared" si="3"/>
        <v>2312200</v>
      </c>
    </row>
    <row r="42" spans="1:10" ht="15.75" customHeight="1">
      <c r="A42" s="155"/>
      <c r="B42" s="155"/>
      <c r="C42" s="58" t="s">
        <v>113</v>
      </c>
      <c r="D42" s="80" t="s">
        <v>6</v>
      </c>
      <c r="E42" s="63">
        <v>100</v>
      </c>
      <c r="F42" s="81">
        <f>85000</f>
        <v>85000</v>
      </c>
      <c r="G42" s="82">
        <f t="shared" si="4"/>
        <v>8500000</v>
      </c>
      <c r="H42" s="28">
        <v>5.0999999999999996</v>
      </c>
      <c r="I42" s="26">
        <f t="shared" si="2"/>
        <v>89335</v>
      </c>
      <c r="J42" s="27">
        <f t="shared" si="3"/>
        <v>8933500</v>
      </c>
    </row>
    <row r="43" spans="1:10" ht="15.75" customHeight="1">
      <c r="A43" s="155"/>
      <c r="B43" s="155"/>
      <c r="C43" s="58" t="s">
        <v>112</v>
      </c>
      <c r="D43" s="80" t="s">
        <v>6</v>
      </c>
      <c r="E43" s="63">
        <v>100</v>
      </c>
      <c r="F43" s="81">
        <f>10000</f>
        <v>10000</v>
      </c>
      <c r="G43" s="82">
        <f t="shared" si="4"/>
        <v>1000000</v>
      </c>
      <c r="H43" s="28">
        <v>5.0999999999999996</v>
      </c>
      <c r="I43" s="26">
        <f t="shared" si="2"/>
        <v>10510</v>
      </c>
      <c r="J43" s="27">
        <f t="shared" si="3"/>
        <v>1051000</v>
      </c>
    </row>
    <row r="44" spans="1:10" ht="15.75" customHeight="1">
      <c r="A44" s="155"/>
      <c r="B44" s="155"/>
      <c r="C44" s="58" t="s">
        <v>111</v>
      </c>
      <c r="D44" s="80" t="s">
        <v>6</v>
      </c>
      <c r="E44" s="63">
        <v>100</v>
      </c>
      <c r="F44" s="81">
        <f>12000</f>
        <v>12000</v>
      </c>
      <c r="G44" s="82">
        <f t="shared" si="4"/>
        <v>1200000</v>
      </c>
      <c r="H44" s="28">
        <v>5.0999999999999996</v>
      </c>
      <c r="I44" s="26">
        <f t="shared" si="2"/>
        <v>12612</v>
      </c>
      <c r="J44" s="27">
        <f t="shared" si="3"/>
        <v>1261200</v>
      </c>
    </row>
    <row r="45" spans="1:10" ht="15.75" customHeight="1">
      <c r="A45" s="155"/>
      <c r="B45" s="155"/>
      <c r="C45" s="58" t="s">
        <v>110</v>
      </c>
      <c r="D45" s="80" t="s">
        <v>6</v>
      </c>
      <c r="E45" s="63">
        <v>100</v>
      </c>
      <c r="F45" s="81">
        <f>60000</f>
        <v>60000</v>
      </c>
      <c r="G45" s="82">
        <f t="shared" si="4"/>
        <v>6000000</v>
      </c>
      <c r="H45" s="28">
        <v>5.0999999999999996</v>
      </c>
      <c r="I45" s="26">
        <f t="shared" si="2"/>
        <v>63060</v>
      </c>
      <c r="J45" s="27">
        <f t="shared" si="3"/>
        <v>6306000</v>
      </c>
    </row>
    <row r="46" spans="1:10" ht="15.75" customHeight="1">
      <c r="A46" s="155"/>
      <c r="B46" s="155"/>
      <c r="C46" s="58" t="s">
        <v>109</v>
      </c>
      <c r="D46" s="80" t="s">
        <v>6</v>
      </c>
      <c r="E46" s="63">
        <v>100</v>
      </c>
      <c r="F46" s="81">
        <f>26000</f>
        <v>26000</v>
      </c>
      <c r="G46" s="82">
        <f t="shared" si="4"/>
        <v>2600000</v>
      </c>
      <c r="H46" s="28">
        <v>5.0999999999999996</v>
      </c>
      <c r="I46" s="26">
        <f t="shared" si="2"/>
        <v>27326</v>
      </c>
      <c r="J46" s="27">
        <f t="shared" si="3"/>
        <v>2732600</v>
      </c>
    </row>
    <row r="47" spans="1:10" ht="15.75" customHeight="1">
      <c r="A47" s="155"/>
      <c r="B47" s="155"/>
      <c r="C47" s="58" t="s">
        <v>108</v>
      </c>
      <c r="D47" s="80" t="s">
        <v>6</v>
      </c>
      <c r="E47" s="63">
        <v>100</v>
      </c>
      <c r="F47" s="81">
        <f>15000</f>
        <v>15000</v>
      </c>
      <c r="G47" s="82">
        <f t="shared" si="4"/>
        <v>1500000</v>
      </c>
      <c r="H47" s="28">
        <v>5.0999999999999996</v>
      </c>
      <c r="I47" s="26">
        <f t="shared" si="2"/>
        <v>15765</v>
      </c>
      <c r="J47" s="27">
        <f t="shared" si="3"/>
        <v>1576500</v>
      </c>
    </row>
    <row r="48" spans="1:10" ht="15.75" customHeight="1">
      <c r="A48" s="155"/>
      <c r="B48" s="155"/>
      <c r="C48" s="58" t="s">
        <v>107</v>
      </c>
      <c r="D48" s="80" t="s">
        <v>6</v>
      </c>
      <c r="E48" s="63">
        <v>100</v>
      </c>
      <c r="F48" s="81">
        <f>15000</f>
        <v>15000</v>
      </c>
      <c r="G48" s="82">
        <f t="shared" si="4"/>
        <v>1500000</v>
      </c>
      <c r="H48" s="28">
        <v>5.0999999999999996</v>
      </c>
      <c r="I48" s="26">
        <f t="shared" si="2"/>
        <v>15765</v>
      </c>
      <c r="J48" s="27">
        <f t="shared" si="3"/>
        <v>1576500</v>
      </c>
    </row>
    <row r="49" spans="1:10" ht="15.75" customHeight="1">
      <c r="A49" s="155"/>
      <c r="B49" s="155"/>
      <c r="C49" s="58" t="s">
        <v>106</v>
      </c>
      <c r="D49" s="80" t="s">
        <v>6</v>
      </c>
      <c r="E49" s="63">
        <v>100</v>
      </c>
      <c r="F49" s="81">
        <f>20000</f>
        <v>20000</v>
      </c>
      <c r="G49" s="82">
        <f t="shared" si="4"/>
        <v>2000000</v>
      </c>
      <c r="H49" s="28">
        <v>5.0999999999999996</v>
      </c>
      <c r="I49" s="26">
        <f t="shared" si="2"/>
        <v>21020</v>
      </c>
      <c r="J49" s="27">
        <f t="shared" si="3"/>
        <v>2102000</v>
      </c>
    </row>
    <row r="50" spans="1:10" ht="15.75" customHeight="1">
      <c r="A50" s="155"/>
      <c r="B50" s="155"/>
      <c r="C50" s="208" t="s">
        <v>105</v>
      </c>
      <c r="D50" s="209"/>
      <c r="E50" s="209"/>
      <c r="F50" s="209"/>
      <c r="G50" s="209"/>
      <c r="H50" s="209"/>
      <c r="I50" s="209"/>
      <c r="J50" s="210"/>
    </row>
    <row r="51" spans="1:10" ht="15.75" customHeight="1">
      <c r="A51" s="155"/>
      <c r="B51" s="155"/>
      <c r="C51" s="58" t="s">
        <v>104</v>
      </c>
      <c r="D51" s="80" t="s">
        <v>6</v>
      </c>
      <c r="E51" s="63">
        <v>100</v>
      </c>
      <c r="F51" s="81">
        <v>23000</v>
      </c>
      <c r="G51" s="82">
        <f t="shared" ref="G51:G73" si="5">E51*F51</f>
        <v>2300000</v>
      </c>
      <c r="H51" s="28">
        <v>5.0999999999999996</v>
      </c>
      <c r="I51" s="26">
        <f t="shared" si="2"/>
        <v>24173</v>
      </c>
      <c r="J51" s="27">
        <f t="shared" si="3"/>
        <v>2417300</v>
      </c>
    </row>
    <row r="52" spans="1:10" ht="15.75" customHeight="1">
      <c r="A52" s="155"/>
      <c r="B52" s="155"/>
      <c r="C52" s="58" t="s">
        <v>103</v>
      </c>
      <c r="D52" s="80" t="s">
        <v>6</v>
      </c>
      <c r="E52" s="63">
        <v>100</v>
      </c>
      <c r="F52" s="81">
        <v>6000</v>
      </c>
      <c r="G52" s="82">
        <f t="shared" si="5"/>
        <v>600000</v>
      </c>
      <c r="H52" s="28">
        <v>5.0999999999999996</v>
      </c>
      <c r="I52" s="26">
        <f t="shared" si="2"/>
        <v>6306</v>
      </c>
      <c r="J52" s="27">
        <f t="shared" si="3"/>
        <v>630600</v>
      </c>
    </row>
    <row r="53" spans="1:10" ht="15.75" customHeight="1">
      <c r="A53" s="155"/>
      <c r="B53" s="155"/>
      <c r="C53" s="58" t="s">
        <v>102</v>
      </c>
      <c r="D53" s="80" t="s">
        <v>6</v>
      </c>
      <c r="E53" s="63">
        <v>100</v>
      </c>
      <c r="F53" s="81">
        <v>5500</v>
      </c>
      <c r="G53" s="82">
        <f t="shared" si="5"/>
        <v>550000</v>
      </c>
      <c r="H53" s="28">
        <v>5.0999999999999996</v>
      </c>
      <c r="I53" s="26">
        <f t="shared" si="2"/>
        <v>5780.5</v>
      </c>
      <c r="J53" s="27">
        <f t="shared" si="3"/>
        <v>578050</v>
      </c>
    </row>
    <row r="54" spans="1:10" ht="15.75" customHeight="1">
      <c r="A54" s="155"/>
      <c r="B54" s="155"/>
      <c r="C54" s="58" t="s">
        <v>101</v>
      </c>
      <c r="D54" s="80" t="s">
        <v>6</v>
      </c>
      <c r="E54" s="63">
        <v>100</v>
      </c>
      <c r="F54" s="81">
        <v>36000</v>
      </c>
      <c r="G54" s="82">
        <f t="shared" si="5"/>
        <v>3600000</v>
      </c>
      <c r="H54" s="28">
        <v>5.0999999999999996</v>
      </c>
      <c r="I54" s="26">
        <f t="shared" si="2"/>
        <v>37836</v>
      </c>
      <c r="J54" s="27">
        <f t="shared" si="3"/>
        <v>3783600</v>
      </c>
    </row>
    <row r="55" spans="1:10" ht="15.75" customHeight="1">
      <c r="A55" s="155"/>
      <c r="B55" s="155"/>
      <c r="C55" s="58" t="s">
        <v>100</v>
      </c>
      <c r="D55" s="80" t="s">
        <v>6</v>
      </c>
      <c r="E55" s="63">
        <v>100</v>
      </c>
      <c r="F55" s="81">
        <v>12000</v>
      </c>
      <c r="G55" s="82">
        <f t="shared" si="5"/>
        <v>1200000</v>
      </c>
      <c r="H55" s="28">
        <v>5.0999999999999996</v>
      </c>
      <c r="I55" s="26">
        <f t="shared" si="2"/>
        <v>12612</v>
      </c>
      <c r="J55" s="27">
        <f t="shared" si="3"/>
        <v>1261200</v>
      </c>
    </row>
    <row r="56" spans="1:10" ht="15.75" customHeight="1">
      <c r="A56" s="155"/>
      <c r="B56" s="155"/>
      <c r="C56" s="58" t="s">
        <v>99</v>
      </c>
      <c r="D56" s="80" t="s">
        <v>6</v>
      </c>
      <c r="E56" s="63">
        <v>100</v>
      </c>
      <c r="F56" s="81">
        <v>15000</v>
      </c>
      <c r="G56" s="82">
        <f t="shared" si="5"/>
        <v>1500000</v>
      </c>
      <c r="H56" s="28">
        <v>5.0999999999999996</v>
      </c>
      <c r="I56" s="26">
        <f t="shared" si="2"/>
        <v>15765</v>
      </c>
      <c r="J56" s="27">
        <f t="shared" si="3"/>
        <v>1576500</v>
      </c>
    </row>
    <row r="57" spans="1:10" ht="15.75" customHeight="1">
      <c r="A57" s="155"/>
      <c r="B57" s="155"/>
      <c r="C57" s="80" t="s">
        <v>98</v>
      </c>
      <c r="D57" s="80" t="s">
        <v>6</v>
      </c>
      <c r="E57" s="63">
        <v>100</v>
      </c>
      <c r="F57" s="81">
        <v>40000</v>
      </c>
      <c r="G57" s="82">
        <f t="shared" si="5"/>
        <v>4000000</v>
      </c>
      <c r="H57" s="28">
        <v>5.0999999999999996</v>
      </c>
      <c r="I57" s="26">
        <f t="shared" si="2"/>
        <v>42040</v>
      </c>
      <c r="J57" s="27">
        <f t="shared" si="3"/>
        <v>4204000</v>
      </c>
    </row>
    <row r="58" spans="1:10" ht="15.75" customHeight="1">
      <c r="A58" s="155"/>
      <c r="B58" s="155"/>
      <c r="C58" s="80" t="s">
        <v>97</v>
      </c>
      <c r="D58" s="80" t="s">
        <v>6</v>
      </c>
      <c r="E58" s="63">
        <v>100</v>
      </c>
      <c r="F58" s="81">
        <v>40000</v>
      </c>
      <c r="G58" s="82">
        <f t="shared" si="5"/>
        <v>4000000</v>
      </c>
      <c r="H58" s="28">
        <v>5.0999999999999996</v>
      </c>
      <c r="I58" s="26">
        <f t="shared" si="2"/>
        <v>42040</v>
      </c>
      <c r="J58" s="27">
        <f t="shared" si="3"/>
        <v>4204000</v>
      </c>
    </row>
    <row r="59" spans="1:10" ht="15.75" customHeight="1">
      <c r="A59" s="155"/>
      <c r="B59" s="155"/>
      <c r="C59" s="80" t="s">
        <v>96</v>
      </c>
      <c r="D59" s="80" t="s">
        <v>6</v>
      </c>
      <c r="E59" s="63">
        <v>100</v>
      </c>
      <c r="F59" s="81">
        <v>20000</v>
      </c>
      <c r="G59" s="82">
        <f t="shared" si="5"/>
        <v>2000000</v>
      </c>
      <c r="H59" s="28">
        <v>5.0999999999999996</v>
      </c>
      <c r="I59" s="26">
        <f t="shared" si="2"/>
        <v>21020</v>
      </c>
      <c r="J59" s="27">
        <f t="shared" si="3"/>
        <v>2102000</v>
      </c>
    </row>
    <row r="60" spans="1:10" ht="15.75" customHeight="1">
      <c r="A60" s="155"/>
      <c r="B60" s="155"/>
      <c r="C60" s="80" t="s">
        <v>95</v>
      </c>
      <c r="D60" s="80" t="s">
        <v>6</v>
      </c>
      <c r="E60" s="63">
        <v>100</v>
      </c>
      <c r="F60" s="81">
        <v>35000</v>
      </c>
      <c r="G60" s="82">
        <f t="shared" si="5"/>
        <v>3500000</v>
      </c>
      <c r="H60" s="28">
        <v>5.0999999999999996</v>
      </c>
      <c r="I60" s="26">
        <f t="shared" si="2"/>
        <v>36785</v>
      </c>
      <c r="J60" s="27">
        <f t="shared" si="3"/>
        <v>3678500</v>
      </c>
    </row>
    <row r="61" spans="1:10" ht="15.75" customHeight="1">
      <c r="A61" s="155"/>
      <c r="B61" s="155"/>
      <c r="C61" s="80" t="s">
        <v>94</v>
      </c>
      <c r="D61" s="80" t="s">
        <v>6</v>
      </c>
      <c r="E61" s="63">
        <v>100</v>
      </c>
      <c r="F61" s="81">
        <v>16000</v>
      </c>
      <c r="G61" s="82">
        <f t="shared" si="5"/>
        <v>1600000</v>
      </c>
      <c r="H61" s="28">
        <v>5.0999999999999996</v>
      </c>
      <c r="I61" s="26">
        <f t="shared" si="2"/>
        <v>16816</v>
      </c>
      <c r="J61" s="27">
        <f t="shared" si="3"/>
        <v>1681600</v>
      </c>
    </row>
    <row r="62" spans="1:10" ht="15.75" customHeight="1">
      <c r="A62" s="155"/>
      <c r="B62" s="155"/>
      <c r="C62" s="80" t="s">
        <v>93</v>
      </c>
      <c r="D62" s="80" t="s">
        <v>6</v>
      </c>
      <c r="E62" s="63">
        <v>100</v>
      </c>
      <c r="F62" s="81">
        <v>13000</v>
      </c>
      <c r="G62" s="82">
        <f t="shared" si="5"/>
        <v>1300000</v>
      </c>
      <c r="H62" s="28">
        <v>5.0999999999999996</v>
      </c>
      <c r="I62" s="26">
        <f t="shared" si="2"/>
        <v>13663</v>
      </c>
      <c r="J62" s="27">
        <f t="shared" si="3"/>
        <v>1366300</v>
      </c>
    </row>
    <row r="63" spans="1:10" ht="15.75" customHeight="1">
      <c r="A63" s="155"/>
      <c r="B63" s="155"/>
      <c r="C63" s="80" t="s">
        <v>92</v>
      </c>
      <c r="D63" s="80" t="s">
        <v>6</v>
      </c>
      <c r="E63" s="63">
        <v>100</v>
      </c>
      <c r="F63" s="81">
        <v>10000</v>
      </c>
      <c r="G63" s="82">
        <f t="shared" si="5"/>
        <v>1000000</v>
      </c>
      <c r="H63" s="28">
        <v>5.0999999999999996</v>
      </c>
      <c r="I63" s="26">
        <f t="shared" si="2"/>
        <v>10510</v>
      </c>
      <c r="J63" s="27">
        <f t="shared" si="3"/>
        <v>1051000</v>
      </c>
    </row>
    <row r="64" spans="1:10" ht="15.75" customHeight="1">
      <c r="A64" s="155"/>
      <c r="B64" s="155"/>
      <c r="C64" s="58" t="s">
        <v>91</v>
      </c>
      <c r="D64" s="80" t="s">
        <v>6</v>
      </c>
      <c r="E64" s="63">
        <v>100</v>
      </c>
      <c r="F64" s="81">
        <f>3600*2</f>
        <v>7200</v>
      </c>
      <c r="G64" s="82">
        <f t="shared" si="5"/>
        <v>720000</v>
      </c>
      <c r="H64" s="28">
        <v>5.0999999999999996</v>
      </c>
      <c r="I64" s="26">
        <f t="shared" si="2"/>
        <v>7567.2</v>
      </c>
      <c r="J64" s="27">
        <f t="shared" si="3"/>
        <v>756720</v>
      </c>
    </row>
    <row r="65" spans="1:10" ht="15.75" customHeight="1">
      <c r="A65" s="155"/>
      <c r="B65" s="155"/>
      <c r="C65" s="80" t="s">
        <v>90</v>
      </c>
      <c r="D65" s="80" t="s">
        <v>6</v>
      </c>
      <c r="E65" s="63">
        <v>100</v>
      </c>
      <c r="F65" s="81">
        <f>2500*2</f>
        <v>5000</v>
      </c>
      <c r="G65" s="82">
        <f t="shared" si="5"/>
        <v>500000</v>
      </c>
      <c r="H65" s="28">
        <v>5.0999999999999996</v>
      </c>
      <c r="I65" s="26">
        <f t="shared" si="2"/>
        <v>5255</v>
      </c>
      <c r="J65" s="27">
        <f t="shared" si="3"/>
        <v>525500</v>
      </c>
    </row>
    <row r="66" spans="1:10" ht="15.75" customHeight="1">
      <c r="A66" s="155"/>
      <c r="B66" s="155"/>
      <c r="C66" s="80" t="s">
        <v>89</v>
      </c>
      <c r="D66" s="80" t="s">
        <v>6</v>
      </c>
      <c r="E66" s="63">
        <v>100</v>
      </c>
      <c r="F66" s="81">
        <v>25000</v>
      </c>
      <c r="G66" s="82">
        <f t="shared" si="5"/>
        <v>2500000</v>
      </c>
      <c r="H66" s="28">
        <v>5.0999999999999996</v>
      </c>
      <c r="I66" s="26">
        <f t="shared" si="2"/>
        <v>26275</v>
      </c>
      <c r="J66" s="27">
        <f t="shared" si="3"/>
        <v>2627500</v>
      </c>
    </row>
    <row r="67" spans="1:10" ht="15.75" customHeight="1">
      <c r="A67" s="155"/>
      <c r="B67" s="155"/>
      <c r="C67" s="80" t="s">
        <v>88</v>
      </c>
      <c r="D67" s="80" t="s">
        <v>6</v>
      </c>
      <c r="E67" s="63">
        <v>100</v>
      </c>
      <c r="F67" s="81">
        <v>4000</v>
      </c>
      <c r="G67" s="82">
        <f t="shared" si="5"/>
        <v>400000</v>
      </c>
      <c r="H67" s="28">
        <v>5.0999999999999996</v>
      </c>
      <c r="I67" s="26">
        <f t="shared" si="2"/>
        <v>4204</v>
      </c>
      <c r="J67" s="27">
        <f t="shared" si="3"/>
        <v>420400</v>
      </c>
    </row>
    <row r="68" spans="1:10" ht="15.75" customHeight="1">
      <c r="A68" s="155"/>
      <c r="B68" s="155"/>
      <c r="C68" s="80" t="s">
        <v>87</v>
      </c>
      <c r="D68" s="80" t="s">
        <v>6</v>
      </c>
      <c r="E68" s="63">
        <v>100</v>
      </c>
      <c r="F68" s="81">
        <v>15000</v>
      </c>
      <c r="G68" s="82">
        <f t="shared" si="5"/>
        <v>1500000</v>
      </c>
      <c r="H68" s="28">
        <v>5.0999999999999996</v>
      </c>
      <c r="I68" s="26">
        <f t="shared" si="2"/>
        <v>15765</v>
      </c>
      <c r="J68" s="27">
        <f t="shared" si="3"/>
        <v>1576500</v>
      </c>
    </row>
    <row r="69" spans="1:10" ht="15.75" customHeight="1">
      <c r="A69" s="155"/>
      <c r="B69" s="155"/>
      <c r="C69" s="80" t="s">
        <v>86</v>
      </c>
      <c r="D69" s="80" t="s">
        <v>6</v>
      </c>
      <c r="E69" s="63">
        <v>100</v>
      </c>
      <c r="F69" s="81">
        <v>10000</v>
      </c>
      <c r="G69" s="82">
        <f t="shared" si="5"/>
        <v>1000000</v>
      </c>
      <c r="H69" s="28">
        <v>5.0999999999999996</v>
      </c>
      <c r="I69" s="26">
        <f t="shared" si="2"/>
        <v>10510</v>
      </c>
      <c r="J69" s="27">
        <f t="shared" si="3"/>
        <v>1051000</v>
      </c>
    </row>
    <row r="70" spans="1:10" ht="15.75" customHeight="1">
      <c r="A70" s="155"/>
      <c r="B70" s="155"/>
      <c r="C70" s="80" t="s">
        <v>85</v>
      </c>
      <c r="D70" s="80" t="s">
        <v>6</v>
      </c>
      <c r="E70" s="63">
        <v>100</v>
      </c>
      <c r="F70" s="81">
        <v>75000</v>
      </c>
      <c r="G70" s="82">
        <f t="shared" si="5"/>
        <v>7500000</v>
      </c>
      <c r="H70" s="28">
        <v>5.0999999999999996</v>
      </c>
      <c r="I70" s="26">
        <f t="shared" si="2"/>
        <v>78825</v>
      </c>
      <c r="J70" s="27">
        <f t="shared" si="3"/>
        <v>7882500</v>
      </c>
    </row>
    <row r="71" spans="1:10" ht="15.75" customHeight="1">
      <c r="A71" s="155"/>
      <c r="B71" s="155"/>
      <c r="C71" s="80" t="s">
        <v>84</v>
      </c>
      <c r="D71" s="80" t="s">
        <v>6</v>
      </c>
      <c r="E71" s="63">
        <v>100</v>
      </c>
      <c r="F71" s="81">
        <v>15000</v>
      </c>
      <c r="G71" s="82">
        <f t="shared" si="5"/>
        <v>1500000</v>
      </c>
      <c r="H71" s="28">
        <v>5.0999999999999996</v>
      </c>
      <c r="I71" s="26">
        <f t="shared" si="2"/>
        <v>15765</v>
      </c>
      <c r="J71" s="27">
        <f t="shared" si="3"/>
        <v>1576500</v>
      </c>
    </row>
    <row r="72" spans="1:10" ht="15.75" customHeight="1">
      <c r="A72" s="155"/>
      <c r="B72" s="155"/>
      <c r="C72" s="80" t="s">
        <v>83</v>
      </c>
      <c r="D72" s="80" t="s">
        <v>6</v>
      </c>
      <c r="E72" s="63">
        <v>100</v>
      </c>
      <c r="F72" s="81">
        <v>6000</v>
      </c>
      <c r="G72" s="82">
        <f t="shared" si="5"/>
        <v>600000</v>
      </c>
      <c r="H72" s="28">
        <v>5.0999999999999996</v>
      </c>
      <c r="I72" s="26">
        <f t="shared" si="2"/>
        <v>6306</v>
      </c>
      <c r="J72" s="27">
        <f t="shared" si="3"/>
        <v>630600</v>
      </c>
    </row>
    <row r="73" spans="1:10" ht="15.75" customHeight="1">
      <c r="A73" s="156"/>
      <c r="B73" s="156"/>
      <c r="C73" s="58" t="s">
        <v>82</v>
      </c>
      <c r="D73" s="80" t="s">
        <v>6</v>
      </c>
      <c r="E73" s="63">
        <v>100</v>
      </c>
      <c r="F73" s="81">
        <v>35000</v>
      </c>
      <c r="G73" s="82">
        <f t="shared" si="5"/>
        <v>3500000</v>
      </c>
      <c r="H73" s="28">
        <v>5.0999999999999996</v>
      </c>
      <c r="I73" s="26">
        <f t="shared" si="2"/>
        <v>36785</v>
      </c>
      <c r="J73" s="27">
        <f t="shared" si="3"/>
        <v>3678500</v>
      </c>
    </row>
    <row r="74" spans="1:10" ht="15.75" customHeight="1">
      <c r="A74" s="164" t="s">
        <v>11</v>
      </c>
      <c r="B74" s="159"/>
      <c r="C74" s="159"/>
      <c r="D74" s="159"/>
      <c r="E74" s="159"/>
      <c r="F74" s="160"/>
      <c r="G74" s="62">
        <f>SUM(G27:G73)</f>
        <v>164954200</v>
      </c>
      <c r="H74" s="213"/>
      <c r="I74" s="214"/>
      <c r="J74" s="32">
        <f>SUM(J27:J73)</f>
        <v>173366864.19999999</v>
      </c>
    </row>
    <row r="75" spans="1:10" ht="24" customHeight="1">
      <c r="A75" s="165" t="s">
        <v>10</v>
      </c>
      <c r="B75" s="163" t="s">
        <v>9</v>
      </c>
      <c r="C75" s="20" t="s">
        <v>81</v>
      </c>
      <c r="D75" s="59" t="s">
        <v>6</v>
      </c>
      <c r="E75" s="59">
        <v>3</v>
      </c>
      <c r="F75" s="83">
        <v>3850000</v>
      </c>
      <c r="G75" s="24">
        <f>E75*F75</f>
        <v>11550000</v>
      </c>
      <c r="H75" s="28">
        <v>5.0999999999999996</v>
      </c>
      <c r="I75" s="26">
        <f t="shared" si="2"/>
        <v>4046350</v>
      </c>
      <c r="J75" s="27">
        <f t="shared" si="3"/>
        <v>12139050</v>
      </c>
    </row>
    <row r="76" spans="1:10" ht="25.75" customHeight="1">
      <c r="A76" s="156"/>
      <c r="B76" s="156"/>
      <c r="C76" s="20" t="s">
        <v>80</v>
      </c>
      <c r="D76" s="59" t="s">
        <v>6</v>
      </c>
      <c r="E76" s="59">
        <v>3</v>
      </c>
      <c r="F76" s="83">
        <v>3850000</v>
      </c>
      <c r="G76" s="24">
        <f>E76*F76</f>
        <v>11550000</v>
      </c>
      <c r="H76" s="28">
        <v>5.0999999999999996</v>
      </c>
      <c r="I76" s="26">
        <f t="shared" si="2"/>
        <v>4046350</v>
      </c>
      <c r="J76" s="27">
        <f t="shared" si="3"/>
        <v>12139050</v>
      </c>
    </row>
    <row r="77" spans="1:10" ht="15.75" customHeight="1">
      <c r="A77" s="158" t="s">
        <v>5</v>
      </c>
      <c r="B77" s="159"/>
      <c r="C77" s="159"/>
      <c r="D77" s="159"/>
      <c r="E77" s="159"/>
      <c r="F77" s="160"/>
      <c r="G77" s="62">
        <f>SUM(G75:G76)</f>
        <v>23100000</v>
      </c>
      <c r="H77" s="213"/>
      <c r="I77" s="214"/>
      <c r="J77" s="32">
        <f>SUM(J75:J76)</f>
        <v>24278100</v>
      </c>
    </row>
    <row r="78" spans="1:10" ht="15.75" customHeight="1">
      <c r="A78" s="168" t="s">
        <v>79</v>
      </c>
      <c r="B78" s="169"/>
      <c r="C78" s="169"/>
      <c r="D78" s="169"/>
      <c r="E78" s="169"/>
      <c r="F78" s="170"/>
      <c r="G78" s="84">
        <f>+G77+G74+G26</f>
        <v>354344200</v>
      </c>
      <c r="H78" s="223"/>
      <c r="I78" s="224"/>
      <c r="J78" s="50">
        <f>+J77+J74+J26</f>
        <v>372415754.19999999</v>
      </c>
    </row>
    <row r="79" spans="1:10" ht="15.75" customHeight="1">
      <c r="A79" s="3"/>
      <c r="B79" s="2"/>
      <c r="C79" s="85"/>
      <c r="D79" s="85"/>
      <c r="E79" s="85"/>
      <c r="F79" s="85"/>
      <c r="G79" s="52"/>
      <c r="I79" s="54"/>
    </row>
    <row r="80" spans="1:10" ht="29.4" customHeight="1">
      <c r="A80" s="207" t="s">
        <v>78</v>
      </c>
      <c r="B80" s="207"/>
      <c r="C80" s="207"/>
      <c r="D80" s="207"/>
      <c r="E80" s="207"/>
      <c r="F80" s="207"/>
      <c r="G80" s="207"/>
      <c r="H80" s="207"/>
      <c r="I80" s="207"/>
      <c r="J80" s="207"/>
    </row>
    <row r="81" spans="1:10" ht="26.4" customHeight="1">
      <c r="A81" s="215" t="s">
        <v>77</v>
      </c>
      <c r="B81" s="191"/>
      <c r="C81" s="191"/>
      <c r="D81" s="191"/>
      <c r="E81" s="191"/>
      <c r="F81" s="191"/>
      <c r="G81" s="191"/>
      <c r="H81" s="203" t="s">
        <v>149</v>
      </c>
      <c r="I81" s="204" t="s">
        <v>150</v>
      </c>
      <c r="J81" s="204"/>
    </row>
    <row r="82" spans="1:10" ht="22.25" customHeight="1">
      <c r="A82" s="8" t="s">
        <v>76</v>
      </c>
      <c r="B82" s="8" t="s">
        <v>56</v>
      </c>
      <c r="C82" s="86" t="s">
        <v>55</v>
      </c>
      <c r="D82" s="86" t="s">
        <v>54</v>
      </c>
      <c r="E82" s="86" t="s">
        <v>53</v>
      </c>
      <c r="F82" s="87" t="s">
        <v>52</v>
      </c>
      <c r="G82" s="88" t="s">
        <v>51</v>
      </c>
      <c r="H82" s="203"/>
      <c r="I82" s="18" t="s">
        <v>148</v>
      </c>
      <c r="J82" s="19" t="s">
        <v>51</v>
      </c>
    </row>
    <row r="83" spans="1:10" ht="40" hidden="1">
      <c r="A83" s="216" t="s">
        <v>50</v>
      </c>
      <c r="B83" s="217" t="s">
        <v>75</v>
      </c>
      <c r="C83" s="89" t="s">
        <v>74</v>
      </c>
      <c r="D83" s="90" t="s">
        <v>45</v>
      </c>
      <c r="E83" s="90">
        <v>1</v>
      </c>
      <c r="F83" s="91">
        <v>0</v>
      </c>
      <c r="G83" s="92">
        <v>0</v>
      </c>
      <c r="H83" s="93"/>
      <c r="I83" s="94"/>
      <c r="J83" s="27"/>
    </row>
    <row r="84" spans="1:10" ht="50" hidden="1">
      <c r="A84" s="191"/>
      <c r="B84" s="191"/>
      <c r="C84" s="89" t="s">
        <v>47</v>
      </c>
      <c r="D84" s="90" t="s">
        <v>45</v>
      </c>
      <c r="E84" s="90">
        <v>1</v>
      </c>
      <c r="F84" s="91">
        <v>0</v>
      </c>
      <c r="G84" s="92">
        <v>0</v>
      </c>
      <c r="H84" s="93"/>
      <c r="I84" s="94"/>
      <c r="J84" s="27"/>
    </row>
    <row r="85" spans="1:10" ht="20" hidden="1">
      <c r="A85" s="191"/>
      <c r="B85" s="191"/>
      <c r="C85" s="89" t="s">
        <v>46</v>
      </c>
      <c r="D85" s="90" t="s">
        <v>45</v>
      </c>
      <c r="E85" s="95">
        <v>100</v>
      </c>
      <c r="F85" s="91">
        <v>0</v>
      </c>
      <c r="G85" s="92">
        <v>0</v>
      </c>
      <c r="H85" s="93"/>
      <c r="I85" s="94"/>
      <c r="J85" s="27"/>
    </row>
    <row r="86" spans="1:10" ht="180" hidden="1">
      <c r="A86" s="191"/>
      <c r="B86" s="191"/>
      <c r="C86" s="89" t="s">
        <v>73</v>
      </c>
      <c r="D86" s="90" t="s">
        <v>6</v>
      </c>
      <c r="E86" s="90">
        <v>3</v>
      </c>
      <c r="F86" s="91">
        <v>0</v>
      </c>
      <c r="G86" s="92">
        <v>0</v>
      </c>
      <c r="H86" s="93"/>
      <c r="I86" s="94"/>
      <c r="J86" s="27"/>
    </row>
    <row r="87" spans="1:10" ht="60" hidden="1">
      <c r="A87" s="191"/>
      <c r="B87" s="191"/>
      <c r="C87" s="89" t="s">
        <v>72</v>
      </c>
      <c r="D87" s="90" t="s">
        <v>6</v>
      </c>
      <c r="E87" s="90">
        <v>3</v>
      </c>
      <c r="F87" s="91">
        <v>0</v>
      </c>
      <c r="G87" s="92">
        <v>0</v>
      </c>
      <c r="H87" s="93"/>
      <c r="I87" s="94"/>
      <c r="J87" s="27"/>
    </row>
    <row r="88" spans="1:10" ht="70">
      <c r="A88" s="191"/>
      <c r="B88" s="191"/>
      <c r="C88" s="96" t="s">
        <v>71</v>
      </c>
      <c r="D88" s="90" t="s">
        <v>69</v>
      </c>
      <c r="E88" s="90">
        <v>72</v>
      </c>
      <c r="F88" s="91">
        <v>150000</v>
      </c>
      <c r="G88" s="92">
        <v>10800000</v>
      </c>
      <c r="H88" s="28">
        <v>5.0999999999999996</v>
      </c>
      <c r="I88" s="26">
        <f>+(F88*H88%)+F88</f>
        <v>157650</v>
      </c>
      <c r="J88" s="27">
        <f>+I88*E88</f>
        <v>11350800</v>
      </c>
    </row>
    <row r="89" spans="1:10" ht="50">
      <c r="A89" s="191"/>
      <c r="B89" s="191"/>
      <c r="C89" s="96" t="s">
        <v>70</v>
      </c>
      <c r="D89" s="90" t="s">
        <v>69</v>
      </c>
      <c r="E89" s="90">
        <v>72</v>
      </c>
      <c r="F89" s="91">
        <v>150000</v>
      </c>
      <c r="G89" s="92">
        <v>10800000</v>
      </c>
      <c r="H89" s="28">
        <v>5.0999999999999996</v>
      </c>
      <c r="I89" s="26">
        <f t="shared" ref="I89:I99" si="6">+(F89*H89%)+F89</f>
        <v>157650</v>
      </c>
      <c r="J89" s="27">
        <f t="shared" ref="J89:J99" si="7">+I89*E89</f>
        <v>11350800</v>
      </c>
    </row>
    <row r="90" spans="1:10" ht="41.5">
      <c r="A90" s="191"/>
      <c r="B90" s="191"/>
      <c r="C90" s="97" t="s">
        <v>68</v>
      </c>
      <c r="D90" s="90" t="s">
        <v>6</v>
      </c>
      <c r="E90" s="90">
        <v>3</v>
      </c>
      <c r="F90" s="91">
        <v>8630000</v>
      </c>
      <c r="G90" s="92">
        <v>25890000</v>
      </c>
      <c r="H90" s="28">
        <v>5.0999999999999996</v>
      </c>
      <c r="I90" s="26">
        <f t="shared" si="6"/>
        <v>9070130</v>
      </c>
      <c r="J90" s="27">
        <f t="shared" si="7"/>
        <v>27210390</v>
      </c>
    </row>
    <row r="91" spans="1:10">
      <c r="A91" s="190" t="s">
        <v>41</v>
      </c>
      <c r="B91" s="191"/>
      <c r="C91" s="191"/>
      <c r="D91" s="191"/>
      <c r="E91" s="191"/>
      <c r="F91" s="191"/>
      <c r="G91" s="98">
        <v>47490000</v>
      </c>
      <c r="H91" s="221"/>
      <c r="I91" s="222"/>
      <c r="J91" s="99">
        <f>SUM(J88:J90)</f>
        <v>49911990</v>
      </c>
    </row>
    <row r="92" spans="1:10" ht="25.25" customHeight="1">
      <c r="A92" s="192" t="s">
        <v>40</v>
      </c>
      <c r="B92" s="218" t="s">
        <v>39</v>
      </c>
      <c r="C92" s="89" t="s">
        <v>32</v>
      </c>
      <c r="D92" s="90" t="s">
        <v>6</v>
      </c>
      <c r="E92" s="90">
        <v>100</v>
      </c>
      <c r="F92" s="100">
        <v>38500</v>
      </c>
      <c r="G92" s="101">
        <v>3850000</v>
      </c>
      <c r="H92" s="28">
        <v>5.0999999999999996</v>
      </c>
      <c r="I92" s="26">
        <f t="shared" si="6"/>
        <v>40463.5</v>
      </c>
      <c r="J92" s="27">
        <f t="shared" si="7"/>
        <v>4046350</v>
      </c>
    </row>
    <row r="93" spans="1:10" ht="30">
      <c r="A93" s="193"/>
      <c r="B93" s="219"/>
      <c r="C93" s="89" t="s">
        <v>67</v>
      </c>
      <c r="D93" s="90" t="s">
        <v>6</v>
      </c>
      <c r="E93" s="90">
        <v>100</v>
      </c>
      <c r="F93" s="100">
        <v>15000</v>
      </c>
      <c r="G93" s="101">
        <v>1500000</v>
      </c>
      <c r="H93" s="28">
        <v>5.0999999999999996</v>
      </c>
      <c r="I93" s="26">
        <f t="shared" si="6"/>
        <v>15765</v>
      </c>
      <c r="J93" s="27">
        <f t="shared" si="7"/>
        <v>1576500</v>
      </c>
    </row>
    <row r="94" spans="1:10" ht="20">
      <c r="A94" s="193"/>
      <c r="B94" s="219"/>
      <c r="C94" s="89" t="s">
        <v>66</v>
      </c>
      <c r="D94" s="90" t="s">
        <v>6</v>
      </c>
      <c r="E94" s="90">
        <v>4</v>
      </c>
      <c r="F94" s="100">
        <v>700000</v>
      </c>
      <c r="G94" s="92">
        <v>2800000</v>
      </c>
      <c r="H94" s="28">
        <v>5.0999999999999996</v>
      </c>
      <c r="I94" s="26">
        <f t="shared" si="6"/>
        <v>735700</v>
      </c>
      <c r="J94" s="27">
        <f t="shared" si="7"/>
        <v>2942800</v>
      </c>
    </row>
    <row r="95" spans="1:10">
      <c r="A95" s="193"/>
      <c r="B95" s="219"/>
      <c r="C95" s="102" t="s">
        <v>65</v>
      </c>
      <c r="D95" s="103"/>
      <c r="E95" s="103"/>
      <c r="F95" s="103"/>
      <c r="G95" s="103"/>
      <c r="H95" s="103"/>
      <c r="I95" s="104"/>
      <c r="J95" s="105"/>
    </row>
    <row r="96" spans="1:10" ht="46.75" customHeight="1">
      <c r="A96" s="193"/>
      <c r="B96" s="219"/>
      <c r="C96" s="89" t="s">
        <v>64</v>
      </c>
      <c r="D96" s="90" t="s">
        <v>6</v>
      </c>
      <c r="E96" s="90">
        <v>100</v>
      </c>
      <c r="F96" s="106">
        <v>600000</v>
      </c>
      <c r="G96" s="92">
        <v>60000000</v>
      </c>
      <c r="H96" s="28">
        <v>5.0999999999999996</v>
      </c>
      <c r="I96" s="26">
        <f t="shared" si="6"/>
        <v>630600</v>
      </c>
      <c r="J96" s="27">
        <f t="shared" si="7"/>
        <v>63060000</v>
      </c>
    </row>
    <row r="97" spans="1:12">
      <c r="A97" s="193"/>
      <c r="B97" s="219"/>
      <c r="C97" s="107" t="s">
        <v>63</v>
      </c>
      <c r="D97" s="108"/>
      <c r="E97" s="108"/>
      <c r="F97" s="108"/>
      <c r="G97" s="108"/>
      <c r="H97" s="108"/>
      <c r="I97" s="109"/>
      <c r="J97" s="110"/>
    </row>
    <row r="98" spans="1:12" ht="22">
      <c r="A98" s="193"/>
      <c r="B98" s="219"/>
      <c r="C98" s="107" t="s">
        <v>62</v>
      </c>
      <c r="D98" s="108"/>
      <c r="E98" s="108"/>
      <c r="F98" s="108"/>
      <c r="G98" s="108"/>
      <c r="H98" s="108"/>
      <c r="I98" s="109"/>
      <c r="J98" s="110"/>
    </row>
    <row r="99" spans="1:12" ht="49.75" customHeight="1">
      <c r="A99" s="193"/>
      <c r="B99" s="219"/>
      <c r="C99" s="89" t="s">
        <v>61</v>
      </c>
      <c r="D99" s="111" t="s">
        <v>6</v>
      </c>
      <c r="E99" s="111">
        <v>1</v>
      </c>
      <c r="F99" s="100">
        <v>10000000</v>
      </c>
      <c r="G99" s="92">
        <v>10000000</v>
      </c>
      <c r="H99" s="28">
        <v>5.0999999999999996</v>
      </c>
      <c r="I99" s="26">
        <f t="shared" si="6"/>
        <v>10510000</v>
      </c>
      <c r="J99" s="27">
        <f t="shared" si="7"/>
        <v>10510000</v>
      </c>
    </row>
    <row r="100" spans="1:12">
      <c r="A100" s="190" t="s">
        <v>11</v>
      </c>
      <c r="B100" s="191"/>
      <c r="C100" s="191"/>
      <c r="D100" s="191"/>
      <c r="E100" s="191"/>
      <c r="F100" s="191"/>
      <c r="G100" s="112">
        <v>78150000</v>
      </c>
      <c r="H100" s="213"/>
      <c r="I100" s="214"/>
      <c r="J100" s="27">
        <f>SUM(J92:J99)</f>
        <v>82135650</v>
      </c>
    </row>
    <row r="101" spans="1:12">
      <c r="A101" s="201" t="s">
        <v>60</v>
      </c>
      <c r="B101" s="202"/>
      <c r="C101" s="202"/>
      <c r="D101" s="202"/>
      <c r="E101" s="202"/>
      <c r="F101" s="202"/>
      <c r="G101" s="113">
        <f>+G100+G91</f>
        <v>125640000</v>
      </c>
      <c r="H101" s="223"/>
      <c r="I101" s="224"/>
      <c r="J101" s="50">
        <f>+J100+J91</f>
        <v>132047640</v>
      </c>
    </row>
    <row r="102" spans="1:12" s="12" customFormat="1">
      <c r="A102" s="10"/>
      <c r="B102" s="11"/>
      <c r="C102" s="114"/>
      <c r="D102" s="114"/>
      <c r="E102" s="114"/>
      <c r="F102" s="114"/>
      <c r="G102" s="115"/>
      <c r="H102" s="116"/>
      <c r="I102" s="117"/>
      <c r="J102" s="118"/>
    </row>
    <row r="103" spans="1:12" ht="45" customHeight="1">
      <c r="A103" s="234" t="s">
        <v>59</v>
      </c>
      <c r="B103" s="234"/>
      <c r="C103" s="234"/>
      <c r="D103" s="234"/>
      <c r="E103" s="234"/>
      <c r="F103" s="234"/>
      <c r="G103" s="234"/>
      <c r="H103" s="234"/>
      <c r="I103" s="234"/>
      <c r="J103" s="234"/>
    </row>
    <row r="104" spans="1:12">
      <c r="A104" s="198" t="s">
        <v>58</v>
      </c>
      <c r="B104" s="199"/>
      <c r="C104" s="199"/>
      <c r="D104" s="199"/>
      <c r="E104" s="199"/>
      <c r="F104" s="199"/>
      <c r="G104" s="200"/>
      <c r="H104" s="205" t="s">
        <v>149</v>
      </c>
      <c r="I104" s="206" t="s">
        <v>150</v>
      </c>
      <c r="J104" s="206"/>
    </row>
    <row r="105" spans="1:12" ht="21">
      <c r="A105" s="1" t="s">
        <v>57</v>
      </c>
      <c r="B105" s="1" t="s">
        <v>56</v>
      </c>
      <c r="C105" s="119" t="s">
        <v>55</v>
      </c>
      <c r="D105" s="119" t="s">
        <v>54</v>
      </c>
      <c r="E105" s="119" t="s">
        <v>53</v>
      </c>
      <c r="F105" s="120" t="s">
        <v>52</v>
      </c>
      <c r="G105" s="121" t="s">
        <v>51</v>
      </c>
      <c r="H105" s="203"/>
      <c r="I105" s="18" t="s">
        <v>148</v>
      </c>
      <c r="J105" s="19" t="s">
        <v>51</v>
      </c>
    </row>
    <row r="106" spans="1:12" ht="40">
      <c r="A106" s="165" t="s">
        <v>50</v>
      </c>
      <c r="B106" s="163" t="s">
        <v>49</v>
      </c>
      <c r="C106" s="122" t="s">
        <v>48</v>
      </c>
      <c r="D106" s="123" t="s">
        <v>45</v>
      </c>
      <c r="E106" s="22">
        <v>1</v>
      </c>
      <c r="F106" s="83">
        <v>1000000</v>
      </c>
      <c r="G106" s="24">
        <f t="shared" ref="G106:G111" si="8">E106*F106</f>
        <v>1000000</v>
      </c>
      <c r="H106" s="28">
        <v>5.0999999999999996</v>
      </c>
      <c r="I106" s="26">
        <f>+(F106*H106%)+F106</f>
        <v>1051000</v>
      </c>
      <c r="J106" s="27">
        <f>+I106*E106</f>
        <v>1051000</v>
      </c>
    </row>
    <row r="107" spans="1:12" ht="50">
      <c r="A107" s="155"/>
      <c r="B107" s="155"/>
      <c r="C107" s="122" t="s">
        <v>47</v>
      </c>
      <c r="D107" s="123" t="s">
        <v>45</v>
      </c>
      <c r="E107" s="22">
        <v>1</v>
      </c>
      <c r="F107" s="83">
        <v>1000000</v>
      </c>
      <c r="G107" s="24">
        <f t="shared" si="8"/>
        <v>1000000</v>
      </c>
      <c r="H107" s="28">
        <v>5.0999999999999996</v>
      </c>
      <c r="I107" s="26">
        <f t="shared" ref="I107:I142" si="9">+(F107*H107%)+F107</f>
        <v>1051000</v>
      </c>
      <c r="J107" s="27">
        <f t="shared" ref="J107:J142" si="10">+I107*E107</f>
        <v>1051000</v>
      </c>
    </row>
    <row r="108" spans="1:12" ht="18" customHeight="1">
      <c r="A108" s="155"/>
      <c r="B108" s="155"/>
      <c r="C108" s="122" t="s">
        <v>46</v>
      </c>
      <c r="D108" s="123" t="s">
        <v>45</v>
      </c>
      <c r="E108" s="124">
        <v>130</v>
      </c>
      <c r="F108" s="83">
        <v>30000</v>
      </c>
      <c r="G108" s="24">
        <f t="shared" si="8"/>
        <v>3900000</v>
      </c>
      <c r="H108" s="28">
        <v>5.0999999999999996</v>
      </c>
      <c r="I108" s="26">
        <f t="shared" si="9"/>
        <v>31530</v>
      </c>
      <c r="J108" s="27">
        <f t="shared" si="10"/>
        <v>4098900</v>
      </c>
    </row>
    <row r="109" spans="1:12" ht="20">
      <c r="A109" s="155"/>
      <c r="B109" s="155"/>
      <c r="C109" s="122" t="s">
        <v>44</v>
      </c>
      <c r="D109" s="123" t="s">
        <v>6</v>
      </c>
      <c r="E109" s="22">
        <v>70</v>
      </c>
      <c r="F109" s="83">
        <v>650000</v>
      </c>
      <c r="G109" s="24">
        <f t="shared" si="8"/>
        <v>45500000</v>
      </c>
      <c r="H109" s="28">
        <v>5.0999999999999996</v>
      </c>
      <c r="I109" s="26">
        <f t="shared" si="9"/>
        <v>683150</v>
      </c>
      <c r="J109" s="27">
        <f t="shared" si="10"/>
        <v>47820500</v>
      </c>
    </row>
    <row r="110" spans="1:12" ht="20">
      <c r="A110" s="155"/>
      <c r="B110" s="155"/>
      <c r="C110" s="122" t="s">
        <v>43</v>
      </c>
      <c r="D110" s="123" t="s">
        <v>6</v>
      </c>
      <c r="E110" s="22">
        <v>60</v>
      </c>
      <c r="F110" s="83">
        <v>750000</v>
      </c>
      <c r="G110" s="24">
        <f t="shared" si="8"/>
        <v>45000000</v>
      </c>
      <c r="H110" s="28">
        <v>5.0999999999999996</v>
      </c>
      <c r="I110" s="26">
        <f t="shared" si="9"/>
        <v>788250</v>
      </c>
      <c r="J110" s="27">
        <f t="shared" si="10"/>
        <v>47295000</v>
      </c>
    </row>
    <row r="111" spans="1:12" ht="20">
      <c r="A111" s="155"/>
      <c r="B111" s="155"/>
      <c r="C111" s="122" t="s">
        <v>42</v>
      </c>
      <c r="D111" s="123" t="s">
        <v>6</v>
      </c>
      <c r="E111" s="22">
        <v>2</v>
      </c>
      <c r="F111" s="83">
        <f>2800000*3</f>
        <v>8400000</v>
      </c>
      <c r="G111" s="24">
        <f t="shared" si="8"/>
        <v>16800000</v>
      </c>
      <c r="H111" s="28">
        <v>5.0999999999999996</v>
      </c>
      <c r="I111" s="26">
        <f t="shared" si="9"/>
        <v>8828400</v>
      </c>
      <c r="J111" s="27">
        <f t="shared" si="10"/>
        <v>17656800</v>
      </c>
    </row>
    <row r="112" spans="1:12">
      <c r="A112" s="164" t="s">
        <v>41</v>
      </c>
      <c r="B112" s="159"/>
      <c r="C112" s="159"/>
      <c r="D112" s="159"/>
      <c r="E112" s="159"/>
      <c r="F112" s="160"/>
      <c r="G112" s="125">
        <f>SUM(G106:G111)</f>
        <v>113200000</v>
      </c>
      <c r="H112" s="213"/>
      <c r="I112" s="214"/>
      <c r="J112" s="32">
        <f>SUM(J106:J111)</f>
        <v>118973200</v>
      </c>
      <c r="L112" s="9"/>
    </row>
    <row r="113" spans="1:11" ht="18" customHeight="1">
      <c r="A113" s="165" t="s">
        <v>40</v>
      </c>
      <c r="B113" s="163" t="s">
        <v>39</v>
      </c>
      <c r="C113" s="126" t="s">
        <v>38</v>
      </c>
      <c r="D113" s="127" t="s">
        <v>6</v>
      </c>
      <c r="E113" s="64">
        <v>60</v>
      </c>
      <c r="F113" s="128">
        <v>7000</v>
      </c>
      <c r="G113" s="37">
        <f>F113*E113</f>
        <v>420000</v>
      </c>
      <c r="H113" s="28">
        <v>5.0999999999999996</v>
      </c>
      <c r="I113" s="26">
        <f t="shared" si="9"/>
        <v>7357</v>
      </c>
      <c r="J113" s="27">
        <f t="shared" si="10"/>
        <v>441420</v>
      </c>
    </row>
    <row r="114" spans="1:11" ht="16.5" customHeight="1">
      <c r="A114" s="155"/>
      <c r="B114" s="155"/>
      <c r="C114" s="126" t="s">
        <v>37</v>
      </c>
      <c r="D114" s="127" t="s">
        <v>6</v>
      </c>
      <c r="E114" s="35">
        <v>120</v>
      </c>
      <c r="F114" s="128">
        <v>4100</v>
      </c>
      <c r="G114" s="37">
        <f>F114*E114</f>
        <v>492000</v>
      </c>
      <c r="H114" s="28">
        <v>5.0999999999999996</v>
      </c>
      <c r="I114" s="26">
        <f t="shared" si="9"/>
        <v>4309.1000000000004</v>
      </c>
      <c r="J114" s="27">
        <f t="shared" si="10"/>
        <v>517092.00000000006</v>
      </c>
      <c r="K114" s="9"/>
    </row>
    <row r="115" spans="1:11" ht="22.75" hidden="1" customHeight="1">
      <c r="A115" s="155"/>
      <c r="B115" s="155"/>
      <c r="C115" s="122" t="s">
        <v>36</v>
      </c>
      <c r="D115" s="123" t="s">
        <v>6</v>
      </c>
      <c r="E115" s="22">
        <v>0</v>
      </c>
      <c r="F115" s="83">
        <v>8500</v>
      </c>
      <c r="G115" s="24">
        <v>0</v>
      </c>
      <c r="H115" s="28">
        <v>5.0999999999999996</v>
      </c>
      <c r="I115" s="26">
        <f t="shared" si="9"/>
        <v>8933.5</v>
      </c>
      <c r="J115" s="27">
        <f t="shared" si="10"/>
        <v>0</v>
      </c>
    </row>
    <row r="116" spans="1:11" ht="24" hidden="1" customHeight="1">
      <c r="A116" s="155"/>
      <c r="B116" s="155"/>
      <c r="C116" s="122" t="s">
        <v>35</v>
      </c>
      <c r="D116" s="123" t="s">
        <v>6</v>
      </c>
      <c r="E116" s="22">
        <v>0</v>
      </c>
      <c r="F116" s="83">
        <v>4100</v>
      </c>
      <c r="G116" s="24">
        <v>0</v>
      </c>
      <c r="H116" s="28">
        <v>5.0999999999999996</v>
      </c>
      <c r="I116" s="26">
        <f t="shared" si="9"/>
        <v>4309.1000000000004</v>
      </c>
      <c r="J116" s="27">
        <f t="shared" si="10"/>
        <v>0</v>
      </c>
    </row>
    <row r="117" spans="1:11" ht="27" hidden="1" customHeight="1">
      <c r="A117" s="155"/>
      <c r="B117" s="155"/>
      <c r="C117" s="122" t="s">
        <v>34</v>
      </c>
      <c r="D117" s="123" t="s">
        <v>6</v>
      </c>
      <c r="E117" s="22">
        <v>0</v>
      </c>
      <c r="F117" s="83">
        <v>12000</v>
      </c>
      <c r="G117" s="24">
        <f>E117*F117</f>
        <v>0</v>
      </c>
      <c r="H117" s="28">
        <v>5.0999999999999996</v>
      </c>
      <c r="I117" s="26">
        <f t="shared" si="9"/>
        <v>12612</v>
      </c>
      <c r="J117" s="27">
        <f t="shared" si="10"/>
        <v>0</v>
      </c>
    </row>
    <row r="118" spans="1:11" ht="70">
      <c r="A118" s="155"/>
      <c r="B118" s="155"/>
      <c r="C118" s="122" t="s">
        <v>33</v>
      </c>
      <c r="D118" s="123" t="s">
        <v>6</v>
      </c>
      <c r="E118" s="22">
        <v>1600</v>
      </c>
      <c r="F118" s="83">
        <v>18000</v>
      </c>
      <c r="G118" s="24">
        <f>E118*F118</f>
        <v>28800000</v>
      </c>
      <c r="H118" s="28">
        <v>5.0999999999999996</v>
      </c>
      <c r="I118" s="26">
        <f t="shared" si="9"/>
        <v>18918</v>
      </c>
      <c r="J118" s="27">
        <f t="shared" si="10"/>
        <v>30268800</v>
      </c>
    </row>
    <row r="119" spans="1:11" ht="20" hidden="1">
      <c r="A119" s="155"/>
      <c r="B119" s="155"/>
      <c r="C119" s="122" t="s">
        <v>32</v>
      </c>
      <c r="D119" s="123" t="s">
        <v>6</v>
      </c>
      <c r="E119" s="22">
        <v>0</v>
      </c>
      <c r="F119" s="83">
        <v>45000</v>
      </c>
      <c r="G119" s="24">
        <v>0</v>
      </c>
      <c r="H119" s="28">
        <v>5.0999999999999996</v>
      </c>
      <c r="I119" s="26">
        <f t="shared" si="9"/>
        <v>47295</v>
      </c>
      <c r="J119" s="27">
        <f t="shared" si="10"/>
        <v>0</v>
      </c>
    </row>
    <row r="120" spans="1:11" ht="20" hidden="1">
      <c r="A120" s="155"/>
      <c r="B120" s="155"/>
      <c r="C120" s="122" t="s">
        <v>31</v>
      </c>
      <c r="D120" s="123" t="s">
        <v>6</v>
      </c>
      <c r="E120" s="22">
        <v>0</v>
      </c>
      <c r="F120" s="83">
        <v>750000</v>
      </c>
      <c r="G120" s="24">
        <v>0</v>
      </c>
      <c r="H120" s="28">
        <v>5.0999999999999996</v>
      </c>
      <c r="I120" s="26">
        <f t="shared" si="9"/>
        <v>788250</v>
      </c>
      <c r="J120" s="27">
        <f t="shared" si="10"/>
        <v>0</v>
      </c>
    </row>
    <row r="121" spans="1:11" ht="20">
      <c r="A121" s="155"/>
      <c r="B121" s="155"/>
      <c r="C121" s="122" t="s">
        <v>30</v>
      </c>
      <c r="D121" s="123" t="s">
        <v>6</v>
      </c>
      <c r="E121" s="22">
        <v>3</v>
      </c>
      <c r="F121" s="83">
        <f>750000*(1+5.8%)</f>
        <v>793500</v>
      </c>
      <c r="G121" s="24">
        <f>E121*F121</f>
        <v>2380500</v>
      </c>
      <c r="H121" s="28">
        <v>5.0999999999999996</v>
      </c>
      <c r="I121" s="26">
        <f t="shared" si="9"/>
        <v>833968.5</v>
      </c>
      <c r="J121" s="27">
        <f t="shared" si="10"/>
        <v>2501905.5</v>
      </c>
    </row>
    <row r="122" spans="1:11">
      <c r="A122" s="155"/>
      <c r="B122" s="155"/>
      <c r="C122" s="231" t="s">
        <v>29</v>
      </c>
      <c r="D122" s="232"/>
      <c r="E122" s="232"/>
      <c r="F122" s="232"/>
      <c r="G122" s="232"/>
      <c r="H122" s="232"/>
      <c r="I122" s="232"/>
      <c r="J122" s="233"/>
    </row>
    <row r="123" spans="1:11">
      <c r="A123" s="155"/>
      <c r="B123" s="155"/>
      <c r="C123" s="129" t="s">
        <v>28</v>
      </c>
      <c r="D123" s="130" t="s">
        <v>6</v>
      </c>
      <c r="E123" s="131">
        <v>70</v>
      </c>
      <c r="F123" s="81">
        <f>36000*(1+5.8%)</f>
        <v>38088</v>
      </c>
      <c r="G123" s="132">
        <f t="shared" ref="G123:G132" si="11">E123*F123</f>
        <v>2666160</v>
      </c>
      <c r="H123" s="28">
        <v>5.0999999999999996</v>
      </c>
      <c r="I123" s="26">
        <f t="shared" si="9"/>
        <v>40030.487999999998</v>
      </c>
      <c r="J123" s="27">
        <f t="shared" si="10"/>
        <v>2802134.1599999997</v>
      </c>
    </row>
    <row r="124" spans="1:11">
      <c r="A124" s="155"/>
      <c r="B124" s="155"/>
      <c r="C124" s="129" t="s">
        <v>27</v>
      </c>
      <c r="D124" s="130" t="s">
        <v>6</v>
      </c>
      <c r="E124" s="131">
        <v>70</v>
      </c>
      <c r="F124" s="81">
        <f>3600*(1+5.8%)</f>
        <v>3808.8</v>
      </c>
      <c r="G124" s="132">
        <f t="shared" si="11"/>
        <v>266616</v>
      </c>
      <c r="H124" s="28">
        <v>5.0999999999999996</v>
      </c>
      <c r="I124" s="26">
        <f t="shared" si="9"/>
        <v>4003.0488</v>
      </c>
      <c r="J124" s="27">
        <f t="shared" si="10"/>
        <v>280213.41600000003</v>
      </c>
    </row>
    <row r="125" spans="1:11">
      <c r="A125" s="155"/>
      <c r="B125" s="155"/>
      <c r="C125" s="129" t="s">
        <v>26</v>
      </c>
      <c r="D125" s="130" t="s">
        <v>6</v>
      </c>
      <c r="E125" s="131">
        <v>70</v>
      </c>
      <c r="F125" s="81">
        <f>3600*(1+5.8%)</f>
        <v>3808.8</v>
      </c>
      <c r="G125" s="132">
        <f t="shared" si="11"/>
        <v>266616</v>
      </c>
      <c r="H125" s="28">
        <v>5.0999999999999996</v>
      </c>
      <c r="I125" s="26">
        <f t="shared" si="9"/>
        <v>4003.0488</v>
      </c>
      <c r="J125" s="27">
        <f t="shared" si="10"/>
        <v>280213.41600000003</v>
      </c>
    </row>
    <row r="126" spans="1:11">
      <c r="A126" s="155"/>
      <c r="B126" s="155"/>
      <c r="C126" s="129" t="s">
        <v>25</v>
      </c>
      <c r="D126" s="130" t="s">
        <v>6</v>
      </c>
      <c r="E126" s="131">
        <v>70</v>
      </c>
      <c r="F126" s="81">
        <f>24000*(1+5.8%)</f>
        <v>25392</v>
      </c>
      <c r="G126" s="132">
        <f t="shared" si="11"/>
        <v>1777440</v>
      </c>
      <c r="H126" s="28">
        <v>5.0999999999999996</v>
      </c>
      <c r="I126" s="26">
        <f t="shared" si="9"/>
        <v>26686.991999999998</v>
      </c>
      <c r="J126" s="27">
        <f t="shared" si="10"/>
        <v>1868089.44</v>
      </c>
    </row>
    <row r="127" spans="1:11">
      <c r="A127" s="155"/>
      <c r="B127" s="155"/>
      <c r="C127" s="129" t="s">
        <v>24</v>
      </c>
      <c r="D127" s="130" t="s">
        <v>6</v>
      </c>
      <c r="E127" s="131">
        <v>70</v>
      </c>
      <c r="F127" s="81">
        <f>24000*(1+5.8%)</f>
        <v>25392</v>
      </c>
      <c r="G127" s="132">
        <f t="shared" si="11"/>
        <v>1777440</v>
      </c>
      <c r="H127" s="28">
        <v>5.0999999999999996</v>
      </c>
      <c r="I127" s="26">
        <f t="shared" si="9"/>
        <v>26686.991999999998</v>
      </c>
      <c r="J127" s="27">
        <f t="shared" si="10"/>
        <v>1868089.44</v>
      </c>
    </row>
    <row r="128" spans="1:11">
      <c r="A128" s="155"/>
      <c r="B128" s="155"/>
      <c r="C128" s="129" t="s">
        <v>23</v>
      </c>
      <c r="D128" s="130" t="s">
        <v>6</v>
      </c>
      <c r="E128" s="131">
        <v>70</v>
      </c>
      <c r="F128" s="81">
        <f>216000*(1+5.8%)</f>
        <v>228528</v>
      </c>
      <c r="G128" s="132">
        <f t="shared" si="11"/>
        <v>15996960</v>
      </c>
      <c r="H128" s="28">
        <v>5.0999999999999996</v>
      </c>
      <c r="I128" s="26">
        <f t="shared" si="9"/>
        <v>240182.92800000001</v>
      </c>
      <c r="J128" s="27">
        <f t="shared" si="10"/>
        <v>16812804.960000001</v>
      </c>
    </row>
    <row r="129" spans="1:10" hidden="1">
      <c r="A129" s="155"/>
      <c r="B129" s="155"/>
      <c r="C129" s="129" t="s">
        <v>22</v>
      </c>
      <c r="D129" s="130" t="s">
        <v>6</v>
      </c>
      <c r="E129" s="131">
        <v>0</v>
      </c>
      <c r="F129" s="81">
        <f>36000*(1+5.8%)</f>
        <v>38088</v>
      </c>
      <c r="G129" s="132">
        <f t="shared" si="11"/>
        <v>0</v>
      </c>
      <c r="H129" s="28">
        <v>5.0999999999999996</v>
      </c>
      <c r="I129" s="26">
        <f t="shared" si="9"/>
        <v>40030.487999999998</v>
      </c>
      <c r="J129" s="27">
        <f t="shared" si="10"/>
        <v>0</v>
      </c>
    </row>
    <row r="130" spans="1:10">
      <c r="A130" s="155"/>
      <c r="B130" s="155"/>
      <c r="C130" s="129" t="s">
        <v>21</v>
      </c>
      <c r="D130" s="130" t="s">
        <v>6</v>
      </c>
      <c r="E130" s="131">
        <v>70</v>
      </c>
      <c r="F130" s="81">
        <f>12000*(1+5.8%)</f>
        <v>12696</v>
      </c>
      <c r="G130" s="132">
        <f t="shared" si="11"/>
        <v>888720</v>
      </c>
      <c r="H130" s="28">
        <v>5.0999999999999996</v>
      </c>
      <c r="I130" s="26">
        <f t="shared" si="9"/>
        <v>13343.495999999999</v>
      </c>
      <c r="J130" s="27">
        <f t="shared" si="10"/>
        <v>934044.72</v>
      </c>
    </row>
    <row r="131" spans="1:10">
      <c r="A131" s="155"/>
      <c r="B131" s="155"/>
      <c r="C131" s="129" t="s">
        <v>20</v>
      </c>
      <c r="D131" s="130" t="s">
        <v>6</v>
      </c>
      <c r="E131" s="131">
        <v>70</v>
      </c>
      <c r="F131" s="81">
        <f>12000*(1+5.8%)</f>
        <v>12696</v>
      </c>
      <c r="G131" s="132">
        <f t="shared" si="11"/>
        <v>888720</v>
      </c>
      <c r="H131" s="28">
        <v>5.0999999999999996</v>
      </c>
      <c r="I131" s="26">
        <f t="shared" si="9"/>
        <v>13343.495999999999</v>
      </c>
      <c r="J131" s="27">
        <f t="shared" si="10"/>
        <v>934044.72</v>
      </c>
    </row>
    <row r="132" spans="1:10">
      <c r="A132" s="155"/>
      <c r="B132" s="155"/>
      <c r="C132" s="129" t="s">
        <v>19</v>
      </c>
      <c r="D132" s="130" t="s">
        <v>6</v>
      </c>
      <c r="E132" s="131">
        <v>70</v>
      </c>
      <c r="F132" s="81">
        <v>85744.685714285704</v>
      </c>
      <c r="G132" s="132">
        <f t="shared" si="11"/>
        <v>6002127.9999999991</v>
      </c>
      <c r="H132" s="28">
        <v>5.0999999999999996</v>
      </c>
      <c r="I132" s="26">
        <f t="shared" si="9"/>
        <v>90117.664685714277</v>
      </c>
      <c r="J132" s="27">
        <f t="shared" si="10"/>
        <v>6308236.527999999</v>
      </c>
    </row>
    <row r="133" spans="1:10">
      <c r="A133" s="155"/>
      <c r="B133" s="155"/>
      <c r="C133" s="166" t="s">
        <v>18</v>
      </c>
      <c r="D133" s="167"/>
      <c r="E133" s="167"/>
      <c r="F133" s="167"/>
      <c r="G133" s="133"/>
      <c r="H133" s="133"/>
      <c r="I133" s="133"/>
      <c r="J133" s="134"/>
    </row>
    <row r="134" spans="1:10" ht="21.5">
      <c r="A134" s="155"/>
      <c r="B134" s="155"/>
      <c r="C134" s="129" t="s">
        <v>17</v>
      </c>
      <c r="D134" s="123" t="s">
        <v>6</v>
      </c>
      <c r="E134" s="22">
        <v>130</v>
      </c>
      <c r="F134" s="83">
        <f>15000*(1+5.8%)</f>
        <v>15870</v>
      </c>
      <c r="G134" s="24">
        <f t="shared" ref="G134:G139" si="12">E134*F134</f>
        <v>2063100</v>
      </c>
      <c r="H134" s="28">
        <v>5.0999999999999996</v>
      </c>
      <c r="I134" s="26">
        <f t="shared" si="9"/>
        <v>16679.37</v>
      </c>
      <c r="J134" s="27">
        <f t="shared" si="10"/>
        <v>2168318.1</v>
      </c>
    </row>
    <row r="135" spans="1:10">
      <c r="A135" s="155"/>
      <c r="B135" s="155"/>
      <c r="C135" s="129" t="s">
        <v>16</v>
      </c>
      <c r="D135" s="123" t="s">
        <v>6</v>
      </c>
      <c r="E135" s="22">
        <v>130</v>
      </c>
      <c r="F135" s="83">
        <f>45000*(1+5.8%)</f>
        <v>47610</v>
      </c>
      <c r="G135" s="24">
        <f t="shared" si="12"/>
        <v>6189300</v>
      </c>
      <c r="H135" s="28">
        <v>5.0999999999999996</v>
      </c>
      <c r="I135" s="26">
        <f t="shared" si="9"/>
        <v>50038.11</v>
      </c>
      <c r="J135" s="27">
        <f t="shared" si="10"/>
        <v>6504954.2999999998</v>
      </c>
    </row>
    <row r="136" spans="1:10">
      <c r="A136" s="155"/>
      <c r="B136" s="155"/>
      <c r="C136" s="129" t="s">
        <v>15</v>
      </c>
      <c r="D136" s="123" t="s">
        <v>6</v>
      </c>
      <c r="E136" s="22">
        <v>130</v>
      </c>
      <c r="F136" s="83">
        <f>20000*(1+5.8%)</f>
        <v>21160</v>
      </c>
      <c r="G136" s="24">
        <f t="shared" si="12"/>
        <v>2750800</v>
      </c>
      <c r="H136" s="28">
        <v>5.0999999999999996</v>
      </c>
      <c r="I136" s="26">
        <f t="shared" si="9"/>
        <v>22239.16</v>
      </c>
      <c r="J136" s="27">
        <f t="shared" si="10"/>
        <v>2891090.8</v>
      </c>
    </row>
    <row r="137" spans="1:10" ht="18" customHeight="1">
      <c r="A137" s="155"/>
      <c r="B137" s="155"/>
      <c r="C137" s="129" t="s">
        <v>14</v>
      </c>
      <c r="D137" s="123" t="s">
        <v>6</v>
      </c>
      <c r="E137" s="22">
        <v>4</v>
      </c>
      <c r="F137" s="83">
        <f>800000*(1+5.8%)</f>
        <v>846400</v>
      </c>
      <c r="G137" s="24">
        <f t="shared" si="12"/>
        <v>3385600</v>
      </c>
      <c r="H137" s="28">
        <v>5.0999999999999996</v>
      </c>
      <c r="I137" s="26">
        <f t="shared" si="9"/>
        <v>889566.4</v>
      </c>
      <c r="J137" s="27">
        <f t="shared" si="10"/>
        <v>3558265.6</v>
      </c>
    </row>
    <row r="138" spans="1:10" ht="13.5" customHeight="1">
      <c r="A138" s="155"/>
      <c r="B138" s="155"/>
      <c r="C138" s="135" t="s">
        <v>13</v>
      </c>
      <c r="D138" s="123" t="s">
        <v>6</v>
      </c>
      <c r="E138" s="22">
        <v>3</v>
      </c>
      <c r="F138" s="83">
        <f>650000*(1+5.8%)</f>
        <v>687700</v>
      </c>
      <c r="G138" s="24">
        <f t="shared" si="12"/>
        <v>2063100</v>
      </c>
      <c r="H138" s="28">
        <v>5.0999999999999996</v>
      </c>
      <c r="I138" s="26">
        <f t="shared" si="9"/>
        <v>722772.7</v>
      </c>
      <c r="J138" s="27">
        <f t="shared" si="10"/>
        <v>2168318.0999999996</v>
      </c>
    </row>
    <row r="139" spans="1:10" ht="21.5">
      <c r="A139" s="155"/>
      <c r="B139" s="155"/>
      <c r="C139" s="129" t="s">
        <v>12</v>
      </c>
      <c r="D139" s="123" t="s">
        <v>6</v>
      </c>
      <c r="E139" s="22">
        <v>1</v>
      </c>
      <c r="F139" s="83">
        <f>600000*(1+5.8%)</f>
        <v>634800</v>
      </c>
      <c r="G139" s="24">
        <f t="shared" si="12"/>
        <v>634800</v>
      </c>
      <c r="H139" s="28">
        <v>5.0999999999999996</v>
      </c>
      <c r="I139" s="26">
        <f t="shared" si="9"/>
        <v>667174.80000000005</v>
      </c>
      <c r="J139" s="27">
        <f t="shared" si="10"/>
        <v>667174.80000000005</v>
      </c>
    </row>
    <row r="140" spans="1:10">
      <c r="A140" s="164" t="s">
        <v>11</v>
      </c>
      <c r="B140" s="159"/>
      <c r="C140" s="159"/>
      <c r="D140" s="159"/>
      <c r="E140" s="159"/>
      <c r="F140" s="160"/>
      <c r="G140" s="62">
        <f>SUM(G113:G139)</f>
        <v>79710000</v>
      </c>
      <c r="H140" s="213"/>
      <c r="I140" s="214"/>
      <c r="J140" s="32">
        <f>SUM(J113:J139)</f>
        <v>83775209.99999997</v>
      </c>
    </row>
    <row r="141" spans="1:10" ht="31.5">
      <c r="A141" s="165" t="s">
        <v>10</v>
      </c>
      <c r="B141" s="163" t="s">
        <v>9</v>
      </c>
      <c r="C141" s="80" t="s">
        <v>8</v>
      </c>
      <c r="D141" s="123" t="s">
        <v>6</v>
      </c>
      <c r="E141" s="22">
        <v>1</v>
      </c>
      <c r="F141" s="83">
        <v>3500000</v>
      </c>
      <c r="G141" s="24">
        <f>E141*F141</f>
        <v>3500000</v>
      </c>
      <c r="H141" s="28">
        <v>5.0999999999999996</v>
      </c>
      <c r="I141" s="26">
        <f t="shared" si="9"/>
        <v>3678500</v>
      </c>
      <c r="J141" s="27">
        <f t="shared" si="10"/>
        <v>3678500</v>
      </c>
    </row>
    <row r="142" spans="1:10" ht="36.5" customHeight="1">
      <c r="A142" s="155"/>
      <c r="B142" s="155"/>
      <c r="C142" s="136" t="s">
        <v>7</v>
      </c>
      <c r="D142" s="137" t="s">
        <v>6</v>
      </c>
      <c r="E142" s="138">
        <v>1</v>
      </c>
      <c r="F142" s="139">
        <v>3500000</v>
      </c>
      <c r="G142" s="24">
        <f>E142*F142</f>
        <v>3500000</v>
      </c>
      <c r="H142" s="28">
        <v>5.0999999999999996</v>
      </c>
      <c r="I142" s="26">
        <f t="shared" si="9"/>
        <v>3678500</v>
      </c>
      <c r="J142" s="27">
        <f t="shared" si="10"/>
        <v>3678500</v>
      </c>
    </row>
    <row r="143" spans="1:10">
      <c r="A143" s="152" t="s">
        <v>5</v>
      </c>
      <c r="B143" s="153"/>
      <c r="C143" s="153"/>
      <c r="D143" s="153"/>
      <c r="E143" s="153"/>
      <c r="F143" s="153"/>
      <c r="G143" s="140">
        <f>SUM(G141:G142)</f>
        <v>7000000</v>
      </c>
      <c r="H143" s="213"/>
      <c r="I143" s="214"/>
      <c r="J143" s="32">
        <f>SUM(J141:J142)</f>
        <v>7357000</v>
      </c>
    </row>
    <row r="144" spans="1:10">
      <c r="A144" s="161" t="s">
        <v>4</v>
      </c>
      <c r="B144" s="162"/>
      <c r="C144" s="162"/>
      <c r="D144" s="162"/>
      <c r="E144" s="162"/>
      <c r="F144" s="162"/>
      <c r="G144" s="141">
        <f>+G143+G140+G112</f>
        <v>199910000</v>
      </c>
      <c r="H144" s="235"/>
      <c r="I144" s="236"/>
      <c r="J144" s="142">
        <f>+J143+J140+J112</f>
        <v>210105409.99999997</v>
      </c>
    </row>
    <row r="145" spans="1:10" ht="39">
      <c r="A145" s="13" t="s">
        <v>3</v>
      </c>
      <c r="B145" s="14"/>
      <c r="C145" s="143"/>
      <c r="D145" s="143"/>
      <c r="E145" s="143"/>
      <c r="F145" s="144" t="s">
        <v>151</v>
      </c>
      <c r="G145" s="145">
        <f>G17+G101+G144+G78</f>
        <v>795104500</v>
      </c>
      <c r="H145" s="237" t="s">
        <v>152</v>
      </c>
      <c r="I145" s="237"/>
      <c r="J145" s="146">
        <f>+J144+J101+J78+J17</f>
        <v>835654829.5</v>
      </c>
    </row>
    <row r="146" spans="1:10">
      <c r="A146" s="178" t="s">
        <v>2</v>
      </c>
      <c r="B146" s="178"/>
      <c r="C146" s="178"/>
      <c r="D146" s="178"/>
      <c r="E146" s="178"/>
      <c r="F146" s="178"/>
      <c r="G146" s="147">
        <f>+G145*9.5%</f>
        <v>75534927.5</v>
      </c>
      <c r="H146" s="230"/>
      <c r="I146" s="230"/>
      <c r="J146" s="148">
        <f>+J145*9.5%</f>
        <v>79387208.802499995</v>
      </c>
    </row>
    <row r="147" spans="1:10" ht="52.75" customHeight="1" thickBot="1"/>
    <row r="148" spans="1:10" ht="36" customHeight="1" thickBot="1">
      <c r="A148" s="171" t="s">
        <v>1</v>
      </c>
      <c r="B148" s="172"/>
      <c r="C148" s="172"/>
      <c r="D148" s="173"/>
    </row>
    <row r="153" spans="1:10" ht="39.65" customHeight="1"/>
    <row r="160" spans="1:10" ht="63" customHeight="1" thickBot="1"/>
    <row r="161" spans="1:4" ht="63" customHeight="1" thickBot="1">
      <c r="A161" s="174" t="s">
        <v>0</v>
      </c>
      <c r="B161" s="175"/>
      <c r="C161" s="176"/>
      <c r="D161" s="177"/>
    </row>
  </sheetData>
  <mergeCells count="73">
    <mergeCell ref="A1:J1"/>
    <mergeCell ref="A2:C2"/>
    <mergeCell ref="D2:G2"/>
    <mergeCell ref="H146:I146"/>
    <mergeCell ref="H140:I140"/>
    <mergeCell ref="C122:J122"/>
    <mergeCell ref="H112:I112"/>
    <mergeCell ref="A103:J103"/>
    <mergeCell ref="H104:H105"/>
    <mergeCell ref="I104:J104"/>
    <mergeCell ref="H143:I143"/>
    <mergeCell ref="H144:I144"/>
    <mergeCell ref="H145:I145"/>
    <mergeCell ref="H100:I100"/>
    <mergeCell ref="H101:I101"/>
    <mergeCell ref="H81:H82"/>
    <mergeCell ref="B106:B111"/>
    <mergeCell ref="H74:I74"/>
    <mergeCell ref="A81:G81"/>
    <mergeCell ref="A83:A90"/>
    <mergeCell ref="B83:B90"/>
    <mergeCell ref="A91:F91"/>
    <mergeCell ref="B92:B99"/>
    <mergeCell ref="I81:J81"/>
    <mergeCell ref="A80:J80"/>
    <mergeCell ref="H91:I91"/>
    <mergeCell ref="H77:I77"/>
    <mergeCell ref="H78:I78"/>
    <mergeCell ref="A101:F101"/>
    <mergeCell ref="H2:H3"/>
    <mergeCell ref="I2:J2"/>
    <mergeCell ref="H20:H21"/>
    <mergeCell ref="I20:J20"/>
    <mergeCell ref="A19:J19"/>
    <mergeCell ref="A20:G20"/>
    <mergeCell ref="C50:J50"/>
    <mergeCell ref="C32:J32"/>
    <mergeCell ref="C31:J31"/>
    <mergeCell ref="H26:I26"/>
    <mergeCell ref="A27:A73"/>
    <mergeCell ref="B27:B73"/>
    <mergeCell ref="A141:A142"/>
    <mergeCell ref="A148:D148"/>
    <mergeCell ref="A161:D161"/>
    <mergeCell ref="A146:F146"/>
    <mergeCell ref="A4:A7"/>
    <mergeCell ref="B4:B7"/>
    <mergeCell ref="A8:F8"/>
    <mergeCell ref="A16:F16"/>
    <mergeCell ref="A17:F17"/>
    <mergeCell ref="A100:F100"/>
    <mergeCell ref="A92:A99"/>
    <mergeCell ref="A9:A15"/>
    <mergeCell ref="B9:B15"/>
    <mergeCell ref="C14:F14"/>
    <mergeCell ref="A104:G104"/>
    <mergeCell ref="A106:A111"/>
    <mergeCell ref="A143:F143"/>
    <mergeCell ref="A22:A25"/>
    <mergeCell ref="B22:B25"/>
    <mergeCell ref="A26:F26"/>
    <mergeCell ref="A144:F144"/>
    <mergeCell ref="B113:B139"/>
    <mergeCell ref="A112:F112"/>
    <mergeCell ref="A113:A139"/>
    <mergeCell ref="C133:F133"/>
    <mergeCell ref="A74:F74"/>
    <mergeCell ref="A75:A76"/>
    <mergeCell ref="B75:B76"/>
    <mergeCell ref="A77:F77"/>
    <mergeCell ref="A78:F78"/>
    <mergeCell ref="B141:B142"/>
    <mergeCell ref="A140:F140"/>
  </mergeCells>
  <conditionalFormatting sqref="B106">
    <cfRule type="cellIs" dxfId="1" priority="2" stopIfTrue="1" operator="equal">
      <formula>"ESCRIBA AQUÍ EL NOMBRE DEL CAPITULO"</formula>
    </cfRule>
  </conditionalFormatting>
  <conditionalFormatting sqref="B22:B23">
    <cfRule type="cellIs" dxfId="0" priority="1" stopIfTrue="1" operator="equal">
      <formula>"ESCRIBA AQUÍ EL NOMBRE DEL CAPITULO"</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PROYECTOS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wady</dc:creator>
  <cp:lastModifiedBy>Yonne Galvis Agredo</cp:lastModifiedBy>
  <dcterms:created xsi:type="dcterms:W3CDTF">2026-04-10T21:59:55Z</dcterms:created>
  <dcterms:modified xsi:type="dcterms:W3CDTF">2026-05-27T21:24:01Z</dcterms:modified>
</cp:coreProperties>
</file>